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bookViews>
    <workbookView xWindow="0" yWindow="0" windowWidth="19200" windowHeight="10440" tabRatio="778" activeTab="1"/>
  </bookViews>
  <sheets>
    <sheet name="Echipe" sheetId="19" r:id="rId1"/>
    <sheet name="#ligaSYR" sheetId="8" r:id="rId2"/>
    <sheet name="Open F" sheetId="12" r:id="rId3"/>
    <sheet name="Open M" sheetId="13" r:id="rId4"/>
    <sheet name="Data_echipe" sheetId="17" r:id="rId5"/>
    <sheet name="Regulament S8" sheetId="7" r:id="rId6"/>
    <sheet name="Barem" sheetId="3" r:id="rId7"/>
    <sheet name="Prezente" sheetId="18" r:id="rId8"/>
    <sheet name="Data" sheetId="4" r:id="rId9"/>
    <sheet name="Participanti" sheetId="5" r:id="rId10"/>
    <sheet name="Istoric" sheetId="1" r:id="rId11"/>
    <sheet name="propuneri" sheetId="20" r:id="rId12"/>
    <sheet name="Propuneri S7" sheetId="15" state="hidden" r:id="rId13"/>
  </sheets>
  <definedNames>
    <definedName name="_xlnm._FilterDatabase" localSheetId="1" hidden="1">'#ligaSYR'!$A$1:$Y$41</definedName>
    <definedName name="_xlnm._FilterDatabase" localSheetId="6" hidden="1">Barem!$L$1:$Q$16</definedName>
    <definedName name="_xlnm._FilterDatabase" localSheetId="8" hidden="1">Data!$A$1:$X$414</definedName>
    <definedName name="_xlnm._FilterDatabase" localSheetId="2" hidden="1">'Open F'!$A$1:$U$10</definedName>
    <definedName name="_xlnm._FilterDatabase" localSheetId="3" hidden="1">'Open M'!$A$1:$U$31</definedName>
    <definedName name="_xlnm._FilterDatabase" localSheetId="9" hidden="1">Participanti!$A$1:$J$49</definedName>
  </definedNames>
  <calcPr calcId="125725" calcOnSave="0"/>
  <pivotCaches>
    <pivotCache cacheId="63" r:id="rId14"/>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 i="8"/>
  <c r="T3" s="1"/>
  <c r="S3"/>
  <c r="U3"/>
  <c r="V3"/>
  <c r="W3"/>
  <c r="R4"/>
  <c r="S4"/>
  <c r="T4"/>
  <c r="U4"/>
  <c r="V4"/>
  <c r="W4"/>
  <c r="R5"/>
  <c r="T5" s="1"/>
  <c r="S5"/>
  <c r="U5"/>
  <c r="V5"/>
  <c r="W5"/>
  <c r="R6"/>
  <c r="S6"/>
  <c r="T6"/>
  <c r="U6"/>
  <c r="V6"/>
  <c r="W6"/>
  <c r="R7"/>
  <c r="T7" s="1"/>
  <c r="S7"/>
  <c r="U7"/>
  <c r="V7"/>
  <c r="W7"/>
  <c r="R8"/>
  <c r="S8"/>
  <c r="T8"/>
  <c r="U8"/>
  <c r="V8"/>
  <c r="W8"/>
  <c r="R9"/>
  <c r="T9" s="1"/>
  <c r="S9"/>
  <c r="U9"/>
  <c r="V9"/>
  <c r="W9"/>
  <c r="R10"/>
  <c r="S10"/>
  <c r="T10"/>
  <c r="U10"/>
  <c r="V10"/>
  <c r="W10"/>
  <c r="R11"/>
  <c r="T11" s="1"/>
  <c r="S11"/>
  <c r="U11"/>
  <c r="V11"/>
  <c r="W11"/>
  <c r="R12"/>
  <c r="S12"/>
  <c r="T12"/>
  <c r="U12"/>
  <c r="V12"/>
  <c r="W12"/>
  <c r="R13"/>
  <c r="T13" s="1"/>
  <c r="S13"/>
  <c r="U13"/>
  <c r="V13"/>
  <c r="W13"/>
  <c r="R14"/>
  <c r="S14"/>
  <c r="T14"/>
  <c r="U14"/>
  <c r="V14"/>
  <c r="W14"/>
  <c r="R15"/>
  <c r="T15" s="1"/>
  <c r="S15"/>
  <c r="U15"/>
  <c r="V15"/>
  <c r="W15"/>
  <c r="R16"/>
  <c r="S16"/>
  <c r="T16"/>
  <c r="U16"/>
  <c r="V16"/>
  <c r="W16"/>
  <c r="R17"/>
  <c r="T17" s="1"/>
  <c r="S17"/>
  <c r="U17"/>
  <c r="V17"/>
  <c r="W17"/>
  <c r="R18"/>
  <c r="S18"/>
  <c r="T18"/>
  <c r="U18"/>
  <c r="V18"/>
  <c r="W18"/>
  <c r="R19"/>
  <c r="T19" s="1"/>
  <c r="S19"/>
  <c r="U19"/>
  <c r="V19"/>
  <c r="W19"/>
  <c r="R20"/>
  <c r="S20"/>
  <c r="T20"/>
  <c r="U20"/>
  <c r="V20"/>
  <c r="W20"/>
  <c r="R21"/>
  <c r="T21" s="1"/>
  <c r="S21"/>
  <c r="U21"/>
  <c r="V21"/>
  <c r="W21"/>
  <c r="R22"/>
  <c r="S22"/>
  <c r="T22"/>
  <c r="U22"/>
  <c r="V22"/>
  <c r="W22"/>
  <c r="R23"/>
  <c r="T23" s="1"/>
  <c r="S23"/>
  <c r="U23"/>
  <c r="V23"/>
  <c r="W23"/>
  <c r="R24"/>
  <c r="S24"/>
  <c r="T24"/>
  <c r="U24"/>
  <c r="V24"/>
  <c r="W24"/>
  <c r="R25"/>
  <c r="T25" s="1"/>
  <c r="S25"/>
  <c r="U25"/>
  <c r="V25"/>
  <c r="W25"/>
  <c r="R26"/>
  <c r="S26"/>
  <c r="T26"/>
  <c r="U26"/>
  <c r="V26"/>
  <c r="W26"/>
  <c r="R27"/>
  <c r="T27" s="1"/>
  <c r="S27"/>
  <c r="U27"/>
  <c r="V27"/>
  <c r="W27"/>
  <c r="R28"/>
  <c r="S28"/>
  <c r="T28"/>
  <c r="U28"/>
  <c r="V28"/>
  <c r="W28"/>
  <c r="R29"/>
  <c r="T29" s="1"/>
  <c r="S29"/>
  <c r="U29"/>
  <c r="V29"/>
  <c r="W29"/>
  <c r="R30"/>
  <c r="S30"/>
  <c r="T30"/>
  <c r="U30"/>
  <c r="V30"/>
  <c r="W30"/>
  <c r="R31"/>
  <c r="T31" s="1"/>
  <c r="S31"/>
  <c r="U31"/>
  <c r="V31"/>
  <c r="W31"/>
  <c r="R32"/>
  <c r="S32"/>
  <c r="T32"/>
  <c r="U32"/>
  <c r="V32"/>
  <c r="W32"/>
  <c r="R33"/>
  <c r="T33" s="1"/>
  <c r="S33"/>
  <c r="U33"/>
  <c r="V33"/>
  <c r="W33"/>
  <c r="R34"/>
  <c r="S34"/>
  <c r="T34"/>
  <c r="U34"/>
  <c r="V34"/>
  <c r="W34"/>
  <c r="R35"/>
  <c r="T35" s="1"/>
  <c r="S35"/>
  <c r="U35"/>
  <c r="V35"/>
  <c r="W35"/>
  <c r="R36"/>
  <c r="S36"/>
  <c r="T36"/>
  <c r="U36"/>
  <c r="V36"/>
  <c r="W36"/>
  <c r="R37"/>
  <c r="T37" s="1"/>
  <c r="S37"/>
  <c r="U37"/>
  <c r="V37"/>
  <c r="W37"/>
  <c r="R38"/>
  <c r="S38"/>
  <c r="T38"/>
  <c r="U38"/>
  <c r="V38"/>
  <c r="W38"/>
  <c r="R39"/>
  <c r="T39" s="1"/>
  <c r="S39"/>
  <c r="U39"/>
  <c r="V39"/>
  <c r="W39"/>
  <c r="R40"/>
  <c r="S40"/>
  <c r="T40"/>
  <c r="U40"/>
  <c r="V40"/>
  <c r="W40"/>
  <c r="R41"/>
  <c r="T41" s="1"/>
  <c r="S41"/>
  <c r="U41"/>
  <c r="V41"/>
  <c r="W41"/>
  <c r="R3" i="12"/>
  <c r="T3" s="1"/>
  <c r="S3"/>
  <c r="U3"/>
  <c r="R4"/>
  <c r="T4" s="1"/>
  <c r="S4"/>
  <c r="U4"/>
  <c r="R5"/>
  <c r="T5" s="1"/>
  <c r="S5"/>
  <c r="U5"/>
  <c r="R6"/>
  <c r="T6" s="1"/>
  <c r="S6"/>
  <c r="U6"/>
  <c r="R7"/>
  <c r="T7" s="1"/>
  <c r="S7"/>
  <c r="U7"/>
  <c r="R8"/>
  <c r="T8" s="1"/>
  <c r="S8"/>
  <c r="U8"/>
  <c r="R9"/>
  <c r="T9" s="1"/>
  <c r="S9"/>
  <c r="U9"/>
  <c r="R10"/>
  <c r="T10" s="1"/>
  <c r="S10"/>
  <c r="U10"/>
  <c r="R3" i="13"/>
  <c r="T3" s="1"/>
  <c r="S3"/>
  <c r="U3"/>
  <c r="R4"/>
  <c r="T4" s="1"/>
  <c r="S4"/>
  <c r="U4"/>
  <c r="R5"/>
  <c r="T5" s="1"/>
  <c r="S5"/>
  <c r="U5"/>
  <c r="R6"/>
  <c r="T6" s="1"/>
  <c r="S6"/>
  <c r="U6"/>
  <c r="R7"/>
  <c r="T7" s="1"/>
  <c r="S7"/>
  <c r="U7"/>
  <c r="R8"/>
  <c r="T8" s="1"/>
  <c r="S8"/>
  <c r="U8"/>
  <c r="R9"/>
  <c r="T9" s="1"/>
  <c r="S9"/>
  <c r="U9"/>
  <c r="R10"/>
  <c r="T10" s="1"/>
  <c r="S10"/>
  <c r="U10"/>
  <c r="R11"/>
  <c r="T11" s="1"/>
  <c r="S11"/>
  <c r="U11"/>
  <c r="R12"/>
  <c r="T12" s="1"/>
  <c r="S12"/>
  <c r="U12"/>
  <c r="R13"/>
  <c r="T13" s="1"/>
  <c r="S13"/>
  <c r="U13"/>
  <c r="R14"/>
  <c r="T14" s="1"/>
  <c r="S14"/>
  <c r="U14"/>
  <c r="R15"/>
  <c r="T15" s="1"/>
  <c r="S15"/>
  <c r="U15"/>
  <c r="R16"/>
  <c r="T16" s="1"/>
  <c r="S16"/>
  <c r="U16"/>
  <c r="R17"/>
  <c r="T17" s="1"/>
  <c r="S17"/>
  <c r="U17"/>
  <c r="R18"/>
  <c r="T18" s="1"/>
  <c r="S18"/>
  <c r="U18"/>
  <c r="R19"/>
  <c r="T19" s="1"/>
  <c r="S19"/>
  <c r="U19"/>
  <c r="R20"/>
  <c r="T20" s="1"/>
  <c r="S20"/>
  <c r="U20"/>
  <c r="R21"/>
  <c r="T21" s="1"/>
  <c r="S21"/>
  <c r="U21"/>
  <c r="R22"/>
  <c r="T22" s="1"/>
  <c r="S22"/>
  <c r="U22"/>
  <c r="R23"/>
  <c r="T23" s="1"/>
  <c r="S23"/>
  <c r="U23"/>
  <c r="R24"/>
  <c r="T24" s="1"/>
  <c r="S24"/>
  <c r="U24"/>
  <c r="R25"/>
  <c r="T25" s="1"/>
  <c r="S25"/>
  <c r="U25"/>
  <c r="R26"/>
  <c r="T26" s="1"/>
  <c r="S26"/>
  <c r="U26"/>
  <c r="R27"/>
  <c r="T27" s="1"/>
  <c r="S27"/>
  <c r="U27"/>
  <c r="R28"/>
  <c r="T28" s="1"/>
  <c r="S28"/>
  <c r="U28"/>
  <c r="R29"/>
  <c r="T29" s="1"/>
  <c r="S29"/>
  <c r="U29"/>
  <c r="R30"/>
  <c r="T30" s="1"/>
  <c r="S30"/>
  <c r="U30"/>
  <c r="R31"/>
  <c r="T31" s="1"/>
  <c r="S31"/>
  <c r="U31"/>
  <c r="R32"/>
  <c r="T32" s="1"/>
  <c r="S32"/>
  <c r="U32"/>
  <c r="M9" i="17"/>
  <c r="M18"/>
  <c r="M20"/>
  <c r="M24"/>
  <c r="M37"/>
  <c r="M40"/>
  <c r="M49"/>
  <c r="U2" i="13"/>
  <c r="U2" i="8"/>
  <c r="W408" i="4"/>
  <c r="U408"/>
  <c r="R408"/>
  <c r="P408"/>
  <c r="O408"/>
  <c r="N408"/>
  <c r="M408"/>
  <c r="L408"/>
  <c r="G408"/>
  <c r="B408"/>
  <c r="K392"/>
  <c r="L392" s="1"/>
  <c r="P387"/>
  <c r="K387"/>
  <c r="N388"/>
  <c r="K389"/>
  <c r="L389" s="1"/>
  <c r="K391"/>
  <c r="L391" s="1"/>
  <c r="K394"/>
  <c r="K395"/>
  <c r="M395" s="1"/>
  <c r="K396"/>
  <c r="L396" s="1"/>
  <c r="K397"/>
  <c r="M397" s="1"/>
  <c r="K398"/>
  <c r="K399"/>
  <c r="M399" s="1"/>
  <c r="K400"/>
  <c r="M400" s="1"/>
  <c r="K401"/>
  <c r="L401" s="1"/>
  <c r="M403"/>
  <c r="L404"/>
  <c r="K405"/>
  <c r="L405" s="1"/>
  <c r="K407"/>
  <c r="L407" s="1"/>
  <c r="K409"/>
  <c r="M409" s="1"/>
  <c r="K410"/>
  <c r="L410" s="1"/>
  <c r="K411"/>
  <c r="M411" s="1"/>
  <c r="M379"/>
  <c r="K380"/>
  <c r="L380" s="1"/>
  <c r="K382"/>
  <c r="M383"/>
  <c r="K384"/>
  <c r="L384" s="1"/>
  <c r="W411"/>
  <c r="U411"/>
  <c r="R411"/>
  <c r="P411"/>
  <c r="O411"/>
  <c r="G411"/>
  <c r="B411"/>
  <c r="W410"/>
  <c r="U410"/>
  <c r="R410"/>
  <c r="P410"/>
  <c r="O410"/>
  <c r="M410"/>
  <c r="G410"/>
  <c r="B410"/>
  <c r="Q410" s="1"/>
  <c r="W409"/>
  <c r="U409"/>
  <c r="R409"/>
  <c r="P409"/>
  <c r="O409"/>
  <c r="G409"/>
  <c r="B409"/>
  <c r="Q409" s="1"/>
  <c r="W407"/>
  <c r="U407"/>
  <c r="R407"/>
  <c r="P407"/>
  <c r="O407"/>
  <c r="N407"/>
  <c r="G407"/>
  <c r="B407"/>
  <c r="Q407" s="1"/>
  <c r="W406"/>
  <c r="U406"/>
  <c r="R406"/>
  <c r="P406"/>
  <c r="O406"/>
  <c r="N406"/>
  <c r="M406"/>
  <c r="L406"/>
  <c r="H406"/>
  <c r="G406"/>
  <c r="B406"/>
  <c r="W405"/>
  <c r="U405"/>
  <c r="R405"/>
  <c r="P405"/>
  <c r="O405"/>
  <c r="G405"/>
  <c r="B405"/>
  <c r="W404"/>
  <c r="U404"/>
  <c r="R404"/>
  <c r="P404"/>
  <c r="O404"/>
  <c r="G404"/>
  <c r="B404"/>
  <c r="W403"/>
  <c r="U403"/>
  <c r="R403"/>
  <c r="P403"/>
  <c r="O403"/>
  <c r="G403"/>
  <c r="B403"/>
  <c r="W402"/>
  <c r="U402"/>
  <c r="R402"/>
  <c r="P402"/>
  <c r="O402"/>
  <c r="N402"/>
  <c r="M402"/>
  <c r="L402"/>
  <c r="G402"/>
  <c r="Q402" s="1"/>
  <c r="B402"/>
  <c r="W401"/>
  <c r="U401"/>
  <c r="R401"/>
  <c r="P401"/>
  <c r="O401"/>
  <c r="M401"/>
  <c r="G401"/>
  <c r="B401"/>
  <c r="W400"/>
  <c r="U400"/>
  <c r="R400"/>
  <c r="P400"/>
  <c r="O400"/>
  <c r="G400"/>
  <c r="B400"/>
  <c r="W399"/>
  <c r="U399"/>
  <c r="R399"/>
  <c r="P399"/>
  <c r="O399"/>
  <c r="G399"/>
  <c r="B399"/>
  <c r="W398"/>
  <c r="U398"/>
  <c r="R398"/>
  <c r="P398"/>
  <c r="O398"/>
  <c r="N398"/>
  <c r="M398"/>
  <c r="L398"/>
  <c r="G398"/>
  <c r="Q398" s="1"/>
  <c r="B398"/>
  <c r="W397"/>
  <c r="U397"/>
  <c r="R397"/>
  <c r="P397"/>
  <c r="O397"/>
  <c r="L397"/>
  <c r="G397"/>
  <c r="Q397" s="1"/>
  <c r="B397"/>
  <c r="W396"/>
  <c r="U396"/>
  <c r="R396"/>
  <c r="P396"/>
  <c r="O396"/>
  <c r="N396"/>
  <c r="G396"/>
  <c r="Q396" s="1"/>
  <c r="B396"/>
  <c r="W395"/>
  <c r="U395"/>
  <c r="R395"/>
  <c r="P395"/>
  <c r="O395"/>
  <c r="G395"/>
  <c r="B395"/>
  <c r="W394"/>
  <c r="U394"/>
  <c r="R394"/>
  <c r="Q394"/>
  <c r="P394"/>
  <c r="O394"/>
  <c r="L394"/>
  <c r="N394"/>
  <c r="G394"/>
  <c r="B394"/>
  <c r="W393"/>
  <c r="U393"/>
  <c r="R393"/>
  <c r="P393"/>
  <c r="O393"/>
  <c r="M393"/>
  <c r="L393"/>
  <c r="G393"/>
  <c r="B393"/>
  <c r="Q393" s="1"/>
  <c r="W392"/>
  <c r="U392"/>
  <c r="R392"/>
  <c r="P392"/>
  <c r="O392"/>
  <c r="G392"/>
  <c r="B392"/>
  <c r="W391"/>
  <c r="U391"/>
  <c r="R391"/>
  <c r="P391"/>
  <c r="O391"/>
  <c r="G391"/>
  <c r="Q391" s="1"/>
  <c r="B391"/>
  <c r="W390"/>
  <c r="U390"/>
  <c r="R390"/>
  <c r="P390"/>
  <c r="O390"/>
  <c r="M390"/>
  <c r="L390"/>
  <c r="N390"/>
  <c r="G390"/>
  <c r="B390"/>
  <c r="W389"/>
  <c r="U389"/>
  <c r="R389"/>
  <c r="P389"/>
  <c r="O389"/>
  <c r="G389"/>
  <c r="H389" s="1"/>
  <c r="I389" s="1"/>
  <c r="X389" s="1"/>
  <c r="B389"/>
  <c r="W388"/>
  <c r="U388"/>
  <c r="R388"/>
  <c r="P388"/>
  <c r="O388"/>
  <c r="M388"/>
  <c r="L388"/>
  <c r="G388"/>
  <c r="B388"/>
  <c r="Q388" s="1"/>
  <c r="W387"/>
  <c r="U387"/>
  <c r="R387"/>
  <c r="O387"/>
  <c r="M387"/>
  <c r="B387"/>
  <c r="W386"/>
  <c r="U386"/>
  <c r="R386"/>
  <c r="P386"/>
  <c r="O386"/>
  <c r="L386"/>
  <c r="G386"/>
  <c r="Q386" s="1"/>
  <c r="B386"/>
  <c r="W385"/>
  <c r="U385"/>
  <c r="R385"/>
  <c r="P385"/>
  <c r="O385"/>
  <c r="N385"/>
  <c r="M385"/>
  <c r="L385"/>
  <c r="G385"/>
  <c r="B385"/>
  <c r="Q385" s="1"/>
  <c r="W384"/>
  <c r="U384"/>
  <c r="R384"/>
  <c r="P384"/>
  <c r="O384"/>
  <c r="N384"/>
  <c r="G384"/>
  <c r="B384"/>
  <c r="W383"/>
  <c r="U383"/>
  <c r="R383"/>
  <c r="P383"/>
  <c r="O383"/>
  <c r="L383"/>
  <c r="G383"/>
  <c r="B383"/>
  <c r="W382"/>
  <c r="U382"/>
  <c r="R382"/>
  <c r="P382"/>
  <c r="O382"/>
  <c r="N382"/>
  <c r="M382"/>
  <c r="L382"/>
  <c r="G382"/>
  <c r="B382"/>
  <c r="W381"/>
  <c r="R381"/>
  <c r="P381"/>
  <c r="O381"/>
  <c r="M381"/>
  <c r="L381"/>
  <c r="G381"/>
  <c r="B381"/>
  <c r="W380"/>
  <c r="R380"/>
  <c r="P380"/>
  <c r="O380"/>
  <c r="N380"/>
  <c r="G380"/>
  <c r="Q380" s="1"/>
  <c r="B380"/>
  <c r="W379"/>
  <c r="U379"/>
  <c r="R379"/>
  <c r="P379"/>
  <c r="O379"/>
  <c r="L379"/>
  <c r="G379"/>
  <c r="Q379" s="1"/>
  <c r="B379"/>
  <c r="L18" i="17"/>
  <c r="L20"/>
  <c r="L24"/>
  <c r="L37"/>
  <c r="L39"/>
  <c r="L40"/>
  <c r="L49"/>
  <c r="W2" i="8"/>
  <c r="K371" i="4"/>
  <c r="M371" s="1"/>
  <c r="M351"/>
  <c r="W376"/>
  <c r="U376"/>
  <c r="R376"/>
  <c r="P376"/>
  <c r="O376"/>
  <c r="N376"/>
  <c r="M376"/>
  <c r="L376"/>
  <c r="G376"/>
  <c r="B376"/>
  <c r="W375"/>
  <c r="U375"/>
  <c r="R375"/>
  <c r="P375"/>
  <c r="O375"/>
  <c r="K375"/>
  <c r="M375" s="1"/>
  <c r="G375"/>
  <c r="B375"/>
  <c r="K348"/>
  <c r="L348" s="1"/>
  <c r="L349"/>
  <c r="L350"/>
  <c r="K353"/>
  <c r="N353" s="1"/>
  <c r="K354"/>
  <c r="M354" s="1"/>
  <c r="K356"/>
  <c r="N356" s="1"/>
  <c r="K357"/>
  <c r="L357" s="1"/>
  <c r="N358"/>
  <c r="K360"/>
  <c r="M360" s="1"/>
  <c r="K361"/>
  <c r="L361" s="1"/>
  <c r="L362"/>
  <c r="K364"/>
  <c r="L364" s="1"/>
  <c r="K365"/>
  <c r="M365" s="1"/>
  <c r="K366"/>
  <c r="M366" s="1"/>
  <c r="K367"/>
  <c r="L367" s="1"/>
  <c r="K368"/>
  <c r="M368" s="1"/>
  <c r="K369"/>
  <c r="L369" s="1"/>
  <c r="N370"/>
  <c r="K372"/>
  <c r="L372" s="1"/>
  <c r="N373"/>
  <c r="K374"/>
  <c r="N374" s="1"/>
  <c r="K377"/>
  <c r="N377" s="1"/>
  <c r="K378"/>
  <c r="L378" s="1"/>
  <c r="W378"/>
  <c r="U378"/>
  <c r="R378"/>
  <c r="P378"/>
  <c r="O378"/>
  <c r="G378"/>
  <c r="B378"/>
  <c r="W377"/>
  <c r="U377"/>
  <c r="R377"/>
  <c r="P377"/>
  <c r="O377"/>
  <c r="G377"/>
  <c r="B377"/>
  <c r="W374"/>
  <c r="U374"/>
  <c r="R374"/>
  <c r="P374"/>
  <c r="O374"/>
  <c r="G374"/>
  <c r="B374"/>
  <c r="W373"/>
  <c r="U373"/>
  <c r="R373"/>
  <c r="P373"/>
  <c r="O373"/>
  <c r="G373"/>
  <c r="B373"/>
  <c r="W372"/>
  <c r="U372"/>
  <c r="R372"/>
  <c r="P372"/>
  <c r="O372"/>
  <c r="G372"/>
  <c r="B372"/>
  <c r="W371"/>
  <c r="U371"/>
  <c r="R371"/>
  <c r="P371"/>
  <c r="O371"/>
  <c r="G371"/>
  <c r="B371"/>
  <c r="W370"/>
  <c r="U370"/>
  <c r="R370"/>
  <c r="P370"/>
  <c r="O370"/>
  <c r="L370"/>
  <c r="G370"/>
  <c r="B370"/>
  <c r="W369"/>
  <c r="U369"/>
  <c r="R369"/>
  <c r="P369"/>
  <c r="O369"/>
  <c r="G369"/>
  <c r="B369"/>
  <c r="W368"/>
  <c r="U368"/>
  <c r="R368"/>
  <c r="P368"/>
  <c r="O368"/>
  <c r="G368"/>
  <c r="B368"/>
  <c r="W367"/>
  <c r="U367"/>
  <c r="R367"/>
  <c r="P367"/>
  <c r="O367"/>
  <c r="G367"/>
  <c r="B367"/>
  <c r="W366"/>
  <c r="U366"/>
  <c r="R366"/>
  <c r="P366"/>
  <c r="O366"/>
  <c r="L366"/>
  <c r="G366"/>
  <c r="H366" s="1"/>
  <c r="I366" s="1"/>
  <c r="X366" s="1"/>
  <c r="B366"/>
  <c r="W365"/>
  <c r="U365"/>
  <c r="R365"/>
  <c r="P365"/>
  <c r="O365"/>
  <c r="G365"/>
  <c r="B365"/>
  <c r="W364"/>
  <c r="U364"/>
  <c r="R364"/>
  <c r="P364"/>
  <c r="O364"/>
  <c r="M364"/>
  <c r="G364"/>
  <c r="B364"/>
  <c r="W363"/>
  <c r="U363"/>
  <c r="R363"/>
  <c r="P363"/>
  <c r="O363"/>
  <c r="N363"/>
  <c r="L363"/>
  <c r="M363"/>
  <c r="G363"/>
  <c r="B363"/>
  <c r="Q363" s="1"/>
  <c r="W362"/>
  <c r="U362"/>
  <c r="R362"/>
  <c r="P362"/>
  <c r="O362"/>
  <c r="N362"/>
  <c r="G362"/>
  <c r="B362"/>
  <c r="W361"/>
  <c r="U361"/>
  <c r="R361"/>
  <c r="P361"/>
  <c r="O361"/>
  <c r="G361"/>
  <c r="B361"/>
  <c r="W360"/>
  <c r="U360"/>
  <c r="R360"/>
  <c r="P360"/>
  <c r="O360"/>
  <c r="N360"/>
  <c r="L360"/>
  <c r="G360"/>
  <c r="B360"/>
  <c r="W359"/>
  <c r="U359"/>
  <c r="R359"/>
  <c r="P359"/>
  <c r="O359"/>
  <c r="L359"/>
  <c r="G359"/>
  <c r="B359"/>
  <c r="W358"/>
  <c r="U358"/>
  <c r="R358"/>
  <c r="P358"/>
  <c r="O358"/>
  <c r="M358"/>
  <c r="L358"/>
  <c r="G358"/>
  <c r="B358"/>
  <c r="W357"/>
  <c r="U357"/>
  <c r="R357"/>
  <c r="P357"/>
  <c r="O357"/>
  <c r="G357"/>
  <c r="B357"/>
  <c r="W356"/>
  <c r="U356"/>
  <c r="R356"/>
  <c r="P356"/>
  <c r="O356"/>
  <c r="M356"/>
  <c r="L356"/>
  <c r="G356"/>
  <c r="B356"/>
  <c r="W355"/>
  <c r="U355"/>
  <c r="R355"/>
  <c r="P355"/>
  <c r="O355"/>
  <c r="N355"/>
  <c r="M355"/>
  <c r="L355"/>
  <c r="G355"/>
  <c r="B355"/>
  <c r="W354"/>
  <c r="U354"/>
  <c r="R354"/>
  <c r="P354"/>
  <c r="O354"/>
  <c r="G354"/>
  <c r="B354"/>
  <c r="W353"/>
  <c r="U353"/>
  <c r="R353"/>
  <c r="P353"/>
  <c r="O353"/>
  <c r="L353"/>
  <c r="G353"/>
  <c r="B353"/>
  <c r="W352"/>
  <c r="U352"/>
  <c r="R352"/>
  <c r="P352"/>
  <c r="O352"/>
  <c r="N352"/>
  <c r="M352"/>
  <c r="L352"/>
  <c r="G352"/>
  <c r="B352"/>
  <c r="H352" s="1"/>
  <c r="W351"/>
  <c r="U351"/>
  <c r="R351"/>
  <c r="P351"/>
  <c r="O351"/>
  <c r="N351"/>
  <c r="G351"/>
  <c r="B351"/>
  <c r="W350"/>
  <c r="U350"/>
  <c r="R350"/>
  <c r="P350"/>
  <c r="O350"/>
  <c r="N350"/>
  <c r="M350"/>
  <c r="G350"/>
  <c r="B350"/>
  <c r="W349"/>
  <c r="U349"/>
  <c r="R349"/>
  <c r="P349"/>
  <c r="O349"/>
  <c r="N349"/>
  <c r="G349"/>
  <c r="B349"/>
  <c r="W348"/>
  <c r="R348"/>
  <c r="P348"/>
  <c r="O348"/>
  <c r="M348"/>
  <c r="G348"/>
  <c r="B348"/>
  <c r="W347"/>
  <c r="R347"/>
  <c r="P347"/>
  <c r="O347"/>
  <c r="N347"/>
  <c r="M347"/>
  <c r="L347"/>
  <c r="G347"/>
  <c r="B347"/>
  <c r="W346"/>
  <c r="U346"/>
  <c r="R346"/>
  <c r="P346"/>
  <c r="O346"/>
  <c r="N346"/>
  <c r="M346"/>
  <c r="L346"/>
  <c r="G346"/>
  <c r="B346"/>
  <c r="K327"/>
  <c r="M327" s="1"/>
  <c r="K49" i="17"/>
  <c r="K40"/>
  <c r="K38"/>
  <c r="K37"/>
  <c r="K24"/>
  <c r="K20"/>
  <c r="K18"/>
  <c r="K9"/>
  <c r="W341" i="4"/>
  <c r="U341"/>
  <c r="R341"/>
  <c r="P341"/>
  <c r="O341"/>
  <c r="M341"/>
  <c r="K341"/>
  <c r="L341" s="1"/>
  <c r="G341"/>
  <c r="B341"/>
  <c r="K315"/>
  <c r="L315" s="1"/>
  <c r="L318"/>
  <c r="K319"/>
  <c r="N319" s="1"/>
  <c r="N321"/>
  <c r="K322"/>
  <c r="L322" s="1"/>
  <c r="K323"/>
  <c r="L323" s="1"/>
  <c r="K324"/>
  <c r="M324" s="1"/>
  <c r="K325"/>
  <c r="N325" s="1"/>
  <c r="K329"/>
  <c r="N329" s="1"/>
  <c r="K330"/>
  <c r="K331"/>
  <c r="M331" s="1"/>
  <c r="K332"/>
  <c r="L332" s="1"/>
  <c r="K333"/>
  <c r="L333" s="1"/>
  <c r="K334"/>
  <c r="K335"/>
  <c r="L335" s="1"/>
  <c r="K336"/>
  <c r="M336" s="1"/>
  <c r="N337"/>
  <c r="L342"/>
  <c r="K343"/>
  <c r="N343" s="1"/>
  <c r="K345"/>
  <c r="N345" s="1"/>
  <c r="K314"/>
  <c r="M314" s="1"/>
  <c r="W345"/>
  <c r="U345"/>
  <c r="R345"/>
  <c r="P345"/>
  <c r="O345"/>
  <c r="G345"/>
  <c r="B345"/>
  <c r="W344"/>
  <c r="U344"/>
  <c r="R344"/>
  <c r="P344"/>
  <c r="O344"/>
  <c r="N344"/>
  <c r="M344"/>
  <c r="L344"/>
  <c r="G344"/>
  <c r="B344"/>
  <c r="W343"/>
  <c r="U343"/>
  <c r="R343"/>
  <c r="P343"/>
  <c r="O343"/>
  <c r="G343"/>
  <c r="B343"/>
  <c r="W342"/>
  <c r="U342"/>
  <c r="R342"/>
  <c r="P342"/>
  <c r="O342"/>
  <c r="N342"/>
  <c r="G342"/>
  <c r="B342"/>
  <c r="W340"/>
  <c r="U340"/>
  <c r="R340"/>
  <c r="P340"/>
  <c r="O340"/>
  <c r="N340"/>
  <c r="M340"/>
  <c r="L340"/>
  <c r="G340"/>
  <c r="B340"/>
  <c r="W339"/>
  <c r="U339"/>
  <c r="R339"/>
  <c r="P339"/>
  <c r="O339"/>
  <c r="M339"/>
  <c r="L339"/>
  <c r="N339"/>
  <c r="G339"/>
  <c r="B339"/>
  <c r="W338"/>
  <c r="U338"/>
  <c r="R338"/>
  <c r="P338"/>
  <c r="O338"/>
  <c r="L338"/>
  <c r="G338"/>
  <c r="B338"/>
  <c r="W337"/>
  <c r="U337"/>
  <c r="R337"/>
  <c r="P337"/>
  <c r="O337"/>
  <c r="L337"/>
  <c r="G337"/>
  <c r="B337"/>
  <c r="W336"/>
  <c r="U336"/>
  <c r="R336"/>
  <c r="P336"/>
  <c r="O336"/>
  <c r="N336"/>
  <c r="L336"/>
  <c r="G336"/>
  <c r="B336"/>
  <c r="W335"/>
  <c r="U335"/>
  <c r="R335"/>
  <c r="P335"/>
  <c r="O335"/>
  <c r="G335"/>
  <c r="B335"/>
  <c r="W334"/>
  <c r="U334"/>
  <c r="R334"/>
  <c r="P334"/>
  <c r="O334"/>
  <c r="L334"/>
  <c r="G334"/>
  <c r="B334"/>
  <c r="W333"/>
  <c r="U333"/>
  <c r="R333"/>
  <c r="P333"/>
  <c r="O333"/>
  <c r="G333"/>
  <c r="B333"/>
  <c r="W332"/>
  <c r="U332"/>
  <c r="R332"/>
  <c r="P332"/>
  <c r="O332"/>
  <c r="N332"/>
  <c r="M332"/>
  <c r="G332"/>
  <c r="B332"/>
  <c r="W331"/>
  <c r="U331"/>
  <c r="R331"/>
  <c r="P331"/>
  <c r="O331"/>
  <c r="G331"/>
  <c r="B331"/>
  <c r="W330"/>
  <c r="U330"/>
  <c r="R330"/>
  <c r="P330"/>
  <c r="O330"/>
  <c r="N330"/>
  <c r="G330"/>
  <c r="B330"/>
  <c r="W329"/>
  <c r="U329"/>
  <c r="R329"/>
  <c r="P329"/>
  <c r="O329"/>
  <c r="G329"/>
  <c r="B329"/>
  <c r="W328"/>
  <c r="U328"/>
  <c r="R328"/>
  <c r="P328"/>
  <c r="O328"/>
  <c r="N328"/>
  <c r="M328"/>
  <c r="L328"/>
  <c r="G328"/>
  <c r="B328"/>
  <c r="W327"/>
  <c r="U327"/>
  <c r="R327"/>
  <c r="P327"/>
  <c r="O327"/>
  <c r="G327"/>
  <c r="B327"/>
  <c r="W326"/>
  <c r="U326"/>
  <c r="R326"/>
  <c r="P326"/>
  <c r="O326"/>
  <c r="M326"/>
  <c r="G326"/>
  <c r="B326"/>
  <c r="W325"/>
  <c r="U325"/>
  <c r="R325"/>
  <c r="P325"/>
  <c r="O325"/>
  <c r="M325"/>
  <c r="G325"/>
  <c r="B325"/>
  <c r="W324"/>
  <c r="U324"/>
  <c r="R324"/>
  <c r="P324"/>
  <c r="O324"/>
  <c r="L324"/>
  <c r="G324"/>
  <c r="B324"/>
  <c r="W323"/>
  <c r="U323"/>
  <c r="R323"/>
  <c r="P323"/>
  <c r="O323"/>
  <c r="N323"/>
  <c r="G323"/>
  <c r="B323"/>
  <c r="W322"/>
  <c r="U322"/>
  <c r="R322"/>
  <c r="P322"/>
  <c r="O322"/>
  <c r="G322"/>
  <c r="B322"/>
  <c r="W321"/>
  <c r="U321"/>
  <c r="R321"/>
  <c r="P321"/>
  <c r="O321"/>
  <c r="M321"/>
  <c r="G321"/>
  <c r="B321"/>
  <c r="W320"/>
  <c r="U320"/>
  <c r="R320"/>
  <c r="P320"/>
  <c r="O320"/>
  <c r="N320"/>
  <c r="M320"/>
  <c r="L320"/>
  <c r="G320"/>
  <c r="B320"/>
  <c r="W319"/>
  <c r="U319"/>
  <c r="R319"/>
  <c r="P319"/>
  <c r="O319"/>
  <c r="G319"/>
  <c r="B319"/>
  <c r="W318"/>
  <c r="U318"/>
  <c r="R318"/>
  <c r="P318"/>
  <c r="O318"/>
  <c r="G318"/>
  <c r="B318"/>
  <c r="W317"/>
  <c r="U317"/>
  <c r="R317"/>
  <c r="P317"/>
  <c r="O317"/>
  <c r="N317"/>
  <c r="M317"/>
  <c r="L317"/>
  <c r="G317"/>
  <c r="B317"/>
  <c r="W316"/>
  <c r="R316"/>
  <c r="P316"/>
  <c r="O316"/>
  <c r="N316"/>
  <c r="M316"/>
  <c r="L316"/>
  <c r="G316"/>
  <c r="B316"/>
  <c r="W315"/>
  <c r="R315"/>
  <c r="P315"/>
  <c r="O315"/>
  <c r="G315"/>
  <c r="B315"/>
  <c r="W314"/>
  <c r="U314"/>
  <c r="R314"/>
  <c r="P314"/>
  <c r="O314"/>
  <c r="L314"/>
  <c r="G314"/>
  <c r="B314"/>
  <c r="K295"/>
  <c r="L295" s="1"/>
  <c r="J9" i="17"/>
  <c r="J18"/>
  <c r="J20"/>
  <c r="J37"/>
  <c r="J39"/>
  <c r="J40"/>
  <c r="K311" i="4"/>
  <c r="M311" s="1"/>
  <c r="W311"/>
  <c r="U311"/>
  <c r="R311"/>
  <c r="P311"/>
  <c r="O311"/>
  <c r="G311"/>
  <c r="B311"/>
  <c r="W303"/>
  <c r="U303"/>
  <c r="R303"/>
  <c r="P303"/>
  <c r="O303"/>
  <c r="K303"/>
  <c r="M303" s="1"/>
  <c r="G303"/>
  <c r="B303"/>
  <c r="W304"/>
  <c r="U304"/>
  <c r="R304"/>
  <c r="P304"/>
  <c r="O304"/>
  <c r="K304"/>
  <c r="L304" s="1"/>
  <c r="G304"/>
  <c r="B304"/>
  <c r="W306"/>
  <c r="U306"/>
  <c r="R306"/>
  <c r="P306"/>
  <c r="O306"/>
  <c r="K306"/>
  <c r="M306" s="1"/>
  <c r="G306"/>
  <c r="B306"/>
  <c r="W308"/>
  <c r="U308"/>
  <c r="R308"/>
  <c r="P308"/>
  <c r="O308"/>
  <c r="N308"/>
  <c r="M308"/>
  <c r="L308"/>
  <c r="G308"/>
  <c r="B308"/>
  <c r="G296"/>
  <c r="K290"/>
  <c r="N290" s="1"/>
  <c r="K313"/>
  <c r="L313" s="1"/>
  <c r="M312"/>
  <c r="L310"/>
  <c r="M309"/>
  <c r="K307"/>
  <c r="M307" s="1"/>
  <c r="K305"/>
  <c r="M305" s="1"/>
  <c r="K302"/>
  <c r="M302" s="1"/>
  <c r="K301"/>
  <c r="M301" s="1"/>
  <c r="K300"/>
  <c r="M300" s="1"/>
  <c r="M299"/>
  <c r="K298"/>
  <c r="N298" s="1"/>
  <c r="K297"/>
  <c r="L297" s="1"/>
  <c r="L296"/>
  <c r="K294"/>
  <c r="L294" s="1"/>
  <c r="K292"/>
  <c r="N292" s="1"/>
  <c r="N291"/>
  <c r="K289"/>
  <c r="M289" s="1"/>
  <c r="K288"/>
  <c r="L288" s="1"/>
  <c r="K283"/>
  <c r="N283" s="1"/>
  <c r="K282"/>
  <c r="L282" s="1"/>
  <c r="W313"/>
  <c r="U313"/>
  <c r="R313"/>
  <c r="P313"/>
  <c r="O313"/>
  <c r="G313"/>
  <c r="B313"/>
  <c r="W312"/>
  <c r="U312"/>
  <c r="R312"/>
  <c r="P312"/>
  <c r="O312"/>
  <c r="N312"/>
  <c r="G312"/>
  <c r="B312"/>
  <c r="W310"/>
  <c r="U310"/>
  <c r="R310"/>
  <c r="P310"/>
  <c r="O310"/>
  <c r="G310"/>
  <c r="B310"/>
  <c r="W309"/>
  <c r="U309"/>
  <c r="R309"/>
  <c r="P309"/>
  <c r="O309"/>
  <c r="N309"/>
  <c r="L309"/>
  <c r="G309"/>
  <c r="B309"/>
  <c r="W307"/>
  <c r="U307"/>
  <c r="R307"/>
  <c r="P307"/>
  <c r="O307"/>
  <c r="G307"/>
  <c r="B307"/>
  <c r="W305"/>
  <c r="U305"/>
  <c r="R305"/>
  <c r="P305"/>
  <c r="O305"/>
  <c r="G305"/>
  <c r="B305"/>
  <c r="W302"/>
  <c r="U302"/>
  <c r="R302"/>
  <c r="P302"/>
  <c r="O302"/>
  <c r="G302"/>
  <c r="B302"/>
  <c r="W301"/>
  <c r="U301"/>
  <c r="R301"/>
  <c r="P301"/>
  <c r="O301"/>
  <c r="G301"/>
  <c r="B301"/>
  <c r="W300"/>
  <c r="U300"/>
  <c r="R300"/>
  <c r="P300"/>
  <c r="O300"/>
  <c r="G300"/>
  <c r="B300"/>
  <c r="W299"/>
  <c r="U299"/>
  <c r="R299"/>
  <c r="P299"/>
  <c r="O299"/>
  <c r="L299"/>
  <c r="G299"/>
  <c r="B299"/>
  <c r="W298"/>
  <c r="U298"/>
  <c r="R298"/>
  <c r="P298"/>
  <c r="O298"/>
  <c r="G298"/>
  <c r="B298"/>
  <c r="W297"/>
  <c r="U297"/>
  <c r="R297"/>
  <c r="P297"/>
  <c r="O297"/>
  <c r="G297"/>
  <c r="B297"/>
  <c r="W296"/>
  <c r="U296"/>
  <c r="R296"/>
  <c r="P296"/>
  <c r="O296"/>
  <c r="N296"/>
  <c r="B296"/>
  <c r="W295"/>
  <c r="U295"/>
  <c r="R295"/>
  <c r="P295"/>
  <c r="O295"/>
  <c r="G295"/>
  <c r="B295"/>
  <c r="W294"/>
  <c r="U294"/>
  <c r="R294"/>
  <c r="P294"/>
  <c r="O294"/>
  <c r="G294"/>
  <c r="B294"/>
  <c r="W293"/>
  <c r="U293"/>
  <c r="R293"/>
  <c r="P293"/>
  <c r="O293"/>
  <c r="N293"/>
  <c r="M293"/>
  <c r="L293"/>
  <c r="G293"/>
  <c r="B293"/>
  <c r="W292"/>
  <c r="U292"/>
  <c r="R292"/>
  <c r="P292"/>
  <c r="O292"/>
  <c r="G292"/>
  <c r="B292"/>
  <c r="W291"/>
  <c r="U291"/>
  <c r="R291"/>
  <c r="P291"/>
  <c r="O291"/>
  <c r="G291"/>
  <c r="B291"/>
  <c r="W290"/>
  <c r="U290"/>
  <c r="R290"/>
  <c r="P290"/>
  <c r="O290"/>
  <c r="G290"/>
  <c r="B290"/>
  <c r="W289"/>
  <c r="U289"/>
  <c r="R289"/>
  <c r="P289"/>
  <c r="O289"/>
  <c r="G289"/>
  <c r="B289"/>
  <c r="W288"/>
  <c r="U288"/>
  <c r="R288"/>
  <c r="P288"/>
  <c r="O288"/>
  <c r="G288"/>
  <c r="B288"/>
  <c r="W287"/>
  <c r="U287"/>
  <c r="R287"/>
  <c r="P287"/>
  <c r="O287"/>
  <c r="L287"/>
  <c r="M287"/>
  <c r="G287"/>
  <c r="B287"/>
  <c r="W286"/>
  <c r="U286"/>
  <c r="R286"/>
  <c r="P286"/>
  <c r="O286"/>
  <c r="K286"/>
  <c r="M286" s="1"/>
  <c r="G286"/>
  <c r="B286"/>
  <c r="W285"/>
  <c r="U285"/>
  <c r="R285"/>
  <c r="P285"/>
  <c r="O285"/>
  <c r="M285"/>
  <c r="G285"/>
  <c r="B285"/>
  <c r="W284"/>
  <c r="U284"/>
  <c r="R284"/>
  <c r="P284"/>
  <c r="O284"/>
  <c r="N284"/>
  <c r="M284"/>
  <c r="L284"/>
  <c r="G284"/>
  <c r="B284"/>
  <c r="W283"/>
  <c r="R283"/>
  <c r="P283"/>
  <c r="O283"/>
  <c r="G283"/>
  <c r="B283"/>
  <c r="W282"/>
  <c r="R282"/>
  <c r="P282"/>
  <c r="O282"/>
  <c r="G282"/>
  <c r="B282"/>
  <c r="W281"/>
  <c r="R281"/>
  <c r="P281"/>
  <c r="O281"/>
  <c r="N281"/>
  <c r="M281"/>
  <c r="L281"/>
  <c r="G281"/>
  <c r="B281"/>
  <c r="W280"/>
  <c r="U280"/>
  <c r="R280"/>
  <c r="P280"/>
  <c r="O280"/>
  <c r="N280"/>
  <c r="M280"/>
  <c r="L280"/>
  <c r="G280"/>
  <c r="B280"/>
  <c r="I5" i="17"/>
  <c r="I6"/>
  <c r="I9"/>
  <c r="I16"/>
  <c r="I18"/>
  <c r="I19"/>
  <c r="I37"/>
  <c r="I39"/>
  <c r="I40"/>
  <c r="I47"/>
  <c r="M252" i="4"/>
  <c r="K255"/>
  <c r="L255" s="1"/>
  <c r="K256"/>
  <c r="M256" s="1"/>
  <c r="K257"/>
  <c r="M257" s="1"/>
  <c r="K258"/>
  <c r="L258" s="1"/>
  <c r="K260"/>
  <c r="N260" s="1"/>
  <c r="K261"/>
  <c r="L261" s="1"/>
  <c r="K262"/>
  <c r="M262" s="1"/>
  <c r="K264"/>
  <c r="N264" s="1"/>
  <c r="K265"/>
  <c r="N265" s="1"/>
  <c r="K267"/>
  <c r="N267" s="1"/>
  <c r="K269"/>
  <c r="M269" s="1"/>
  <c r="K270"/>
  <c r="M270" s="1"/>
  <c r="K271"/>
  <c r="M271" s="1"/>
  <c r="K272"/>
  <c r="M272" s="1"/>
  <c r="K274"/>
  <c r="L274" s="1"/>
  <c r="N275"/>
  <c r="K276"/>
  <c r="L276" s="1"/>
  <c r="L277"/>
  <c r="K278"/>
  <c r="L278" s="1"/>
  <c r="K279"/>
  <c r="M279" s="1"/>
  <c r="L253"/>
  <c r="L268"/>
  <c r="M254"/>
  <c r="W279"/>
  <c r="U279"/>
  <c r="R279"/>
  <c r="P279"/>
  <c r="O279"/>
  <c r="G279"/>
  <c r="B279"/>
  <c r="W278"/>
  <c r="U278"/>
  <c r="R278"/>
  <c r="P278"/>
  <c r="O278"/>
  <c r="G278"/>
  <c r="B278"/>
  <c r="W277"/>
  <c r="U277"/>
  <c r="R277"/>
  <c r="P277"/>
  <c r="O277"/>
  <c r="M277"/>
  <c r="G277"/>
  <c r="B277"/>
  <c r="W276"/>
  <c r="U276"/>
  <c r="R276"/>
  <c r="P276"/>
  <c r="O276"/>
  <c r="G276"/>
  <c r="B276"/>
  <c r="W275"/>
  <c r="U275"/>
  <c r="R275"/>
  <c r="P275"/>
  <c r="O275"/>
  <c r="G275"/>
  <c r="B275"/>
  <c r="W274"/>
  <c r="U274"/>
  <c r="R274"/>
  <c r="P274"/>
  <c r="O274"/>
  <c r="G274"/>
  <c r="B274"/>
  <c r="W273"/>
  <c r="U273"/>
  <c r="R273"/>
  <c r="P273"/>
  <c r="O273"/>
  <c r="M273"/>
  <c r="G273"/>
  <c r="B273"/>
  <c r="W272"/>
  <c r="U272"/>
  <c r="R272"/>
  <c r="P272"/>
  <c r="O272"/>
  <c r="G272"/>
  <c r="B272"/>
  <c r="W271"/>
  <c r="U271"/>
  <c r="R271"/>
  <c r="P271"/>
  <c r="O271"/>
  <c r="G271"/>
  <c r="B271"/>
  <c r="W270"/>
  <c r="U270"/>
  <c r="R270"/>
  <c r="P270"/>
  <c r="O270"/>
  <c r="G270"/>
  <c r="B270"/>
  <c r="W269"/>
  <c r="U269"/>
  <c r="R269"/>
  <c r="P269"/>
  <c r="O269"/>
  <c r="G269"/>
  <c r="B269"/>
  <c r="W268"/>
  <c r="U268"/>
  <c r="R268"/>
  <c r="P268"/>
  <c r="O268"/>
  <c r="G268"/>
  <c r="B268"/>
  <c r="W267"/>
  <c r="U267"/>
  <c r="R267"/>
  <c r="P267"/>
  <c r="O267"/>
  <c r="G267"/>
  <c r="B267"/>
  <c r="W266"/>
  <c r="U266"/>
  <c r="R266"/>
  <c r="P266"/>
  <c r="O266"/>
  <c r="M266"/>
  <c r="L266"/>
  <c r="N266"/>
  <c r="G266"/>
  <c r="B266"/>
  <c r="W265"/>
  <c r="U265"/>
  <c r="R265"/>
  <c r="P265"/>
  <c r="O265"/>
  <c r="G265"/>
  <c r="B265"/>
  <c r="W264"/>
  <c r="U264"/>
  <c r="R264"/>
  <c r="P264"/>
  <c r="O264"/>
  <c r="G264"/>
  <c r="B264"/>
  <c r="W263"/>
  <c r="U263"/>
  <c r="R263"/>
  <c r="P263"/>
  <c r="O263"/>
  <c r="N263"/>
  <c r="M263"/>
  <c r="L263"/>
  <c r="G263"/>
  <c r="B263"/>
  <c r="W262"/>
  <c r="U262"/>
  <c r="R262"/>
  <c r="P262"/>
  <c r="O262"/>
  <c r="G262"/>
  <c r="B262"/>
  <c r="W261"/>
  <c r="U261"/>
  <c r="R261"/>
  <c r="P261"/>
  <c r="O261"/>
  <c r="G261"/>
  <c r="B261"/>
  <c r="W260"/>
  <c r="U260"/>
  <c r="R260"/>
  <c r="P260"/>
  <c r="O260"/>
  <c r="G260"/>
  <c r="B260"/>
  <c r="W259"/>
  <c r="U259"/>
  <c r="R259"/>
  <c r="P259"/>
  <c r="O259"/>
  <c r="N259"/>
  <c r="M259"/>
  <c r="L259"/>
  <c r="G259"/>
  <c r="B259"/>
  <c r="W258"/>
  <c r="U258"/>
  <c r="R258"/>
  <c r="P258"/>
  <c r="O258"/>
  <c r="G258"/>
  <c r="B258"/>
  <c r="W257"/>
  <c r="U257"/>
  <c r="R257"/>
  <c r="P257"/>
  <c r="O257"/>
  <c r="G257"/>
  <c r="B257"/>
  <c r="W256"/>
  <c r="U256"/>
  <c r="R256"/>
  <c r="P256"/>
  <c r="O256"/>
  <c r="G256"/>
  <c r="B256"/>
  <c r="W255"/>
  <c r="U255"/>
  <c r="R255"/>
  <c r="P255"/>
  <c r="O255"/>
  <c r="G255"/>
  <c r="B255"/>
  <c r="W254"/>
  <c r="U254"/>
  <c r="R254"/>
  <c r="P254"/>
  <c r="O254"/>
  <c r="N254"/>
  <c r="L254"/>
  <c r="G254"/>
  <c r="B254"/>
  <c r="W253"/>
  <c r="R253"/>
  <c r="P253"/>
  <c r="O253"/>
  <c r="G253"/>
  <c r="B253"/>
  <c r="W252"/>
  <c r="R252"/>
  <c r="P252"/>
  <c r="O252"/>
  <c r="G252"/>
  <c r="B252"/>
  <c r="W251"/>
  <c r="R251"/>
  <c r="P251"/>
  <c r="O251"/>
  <c r="M251"/>
  <c r="L251"/>
  <c r="N251"/>
  <c r="G251"/>
  <c r="B251"/>
  <c r="W250"/>
  <c r="U250"/>
  <c r="R250"/>
  <c r="P250"/>
  <c r="O250"/>
  <c r="M250"/>
  <c r="L250"/>
  <c r="N250"/>
  <c r="G250"/>
  <c r="B250"/>
  <c r="H9" i="17"/>
  <c r="H18"/>
  <c r="H37"/>
  <c r="H40"/>
  <c r="H47"/>
  <c r="W241" i="4"/>
  <c r="U241"/>
  <c r="R241"/>
  <c r="P241"/>
  <c r="O241"/>
  <c r="K241"/>
  <c r="L241" s="1"/>
  <c r="G241"/>
  <c r="B241"/>
  <c r="W245"/>
  <c r="W246"/>
  <c r="W247"/>
  <c r="W248"/>
  <c r="K246"/>
  <c r="M246" s="1"/>
  <c r="U246"/>
  <c r="R246"/>
  <c r="P246"/>
  <c r="O246"/>
  <c r="G246"/>
  <c r="B246"/>
  <c r="K216"/>
  <c r="M216" s="1"/>
  <c r="L219"/>
  <c r="L220"/>
  <c r="K221"/>
  <c r="N221" s="1"/>
  <c r="N223"/>
  <c r="L224"/>
  <c r="K225"/>
  <c r="L225" s="1"/>
  <c r="K227"/>
  <c r="L227" s="1"/>
  <c r="M228"/>
  <c r="K229"/>
  <c r="M229" s="1"/>
  <c r="K230"/>
  <c r="L230" s="1"/>
  <c r="K231"/>
  <c r="L231" s="1"/>
  <c r="K232"/>
  <c r="L232" s="1"/>
  <c r="N235"/>
  <c r="K236"/>
  <c r="L236" s="1"/>
  <c r="K237"/>
  <c r="N237" s="1"/>
  <c r="K238"/>
  <c r="N238" s="1"/>
  <c r="K239"/>
  <c r="M239" s="1"/>
  <c r="K240"/>
  <c r="N240" s="1"/>
  <c r="K243"/>
  <c r="M243" s="1"/>
  <c r="K244"/>
  <c r="N244" s="1"/>
  <c r="M245"/>
  <c r="K247"/>
  <c r="L247" s="1"/>
  <c r="K248"/>
  <c r="N248" s="1"/>
  <c r="K249"/>
  <c r="M249" s="1"/>
  <c r="W249"/>
  <c r="U249"/>
  <c r="R249"/>
  <c r="P249"/>
  <c r="O249"/>
  <c r="G249"/>
  <c r="B249"/>
  <c r="U248"/>
  <c r="R248"/>
  <c r="P248"/>
  <c r="O248"/>
  <c r="G248"/>
  <c r="B248"/>
  <c r="U247"/>
  <c r="R247"/>
  <c r="P247"/>
  <c r="O247"/>
  <c r="G247"/>
  <c r="B247"/>
  <c r="U245"/>
  <c r="R245"/>
  <c r="P245"/>
  <c r="O245"/>
  <c r="N245"/>
  <c r="L245"/>
  <c r="G245"/>
  <c r="B245"/>
  <c r="W244"/>
  <c r="U244"/>
  <c r="R244"/>
  <c r="P244"/>
  <c r="O244"/>
  <c r="G244"/>
  <c r="B244"/>
  <c r="W243"/>
  <c r="U243"/>
  <c r="R243"/>
  <c r="P243"/>
  <c r="O243"/>
  <c r="G243"/>
  <c r="B243"/>
  <c r="W242"/>
  <c r="U242"/>
  <c r="R242"/>
  <c r="P242"/>
  <c r="O242"/>
  <c r="M242"/>
  <c r="G242"/>
  <c r="B242"/>
  <c r="W240"/>
  <c r="U240"/>
  <c r="R240"/>
  <c r="P240"/>
  <c r="O240"/>
  <c r="G240"/>
  <c r="B240"/>
  <c r="W239"/>
  <c r="U239"/>
  <c r="R239"/>
  <c r="P239"/>
  <c r="O239"/>
  <c r="G239"/>
  <c r="B239"/>
  <c r="W238"/>
  <c r="U238"/>
  <c r="R238"/>
  <c r="P238"/>
  <c r="O238"/>
  <c r="G238"/>
  <c r="B238"/>
  <c r="W237"/>
  <c r="U237"/>
  <c r="R237"/>
  <c r="P237"/>
  <c r="O237"/>
  <c r="G237"/>
  <c r="B237"/>
  <c r="W236"/>
  <c r="U236"/>
  <c r="R236"/>
  <c r="P236"/>
  <c r="O236"/>
  <c r="G236"/>
  <c r="B236"/>
  <c r="W235"/>
  <c r="U235"/>
  <c r="R235"/>
  <c r="P235"/>
  <c r="O235"/>
  <c r="L235"/>
  <c r="G235"/>
  <c r="B235"/>
  <c r="W234"/>
  <c r="U234"/>
  <c r="R234"/>
  <c r="P234"/>
  <c r="O234"/>
  <c r="N234"/>
  <c r="M234"/>
  <c r="L234"/>
  <c r="G234"/>
  <c r="B234"/>
  <c r="W233"/>
  <c r="U233"/>
  <c r="R233"/>
  <c r="P233"/>
  <c r="O233"/>
  <c r="L233"/>
  <c r="G233"/>
  <c r="B233"/>
  <c r="W232"/>
  <c r="U232"/>
  <c r="R232"/>
  <c r="P232"/>
  <c r="O232"/>
  <c r="G232"/>
  <c r="B232"/>
  <c r="W231"/>
  <c r="U231"/>
  <c r="R231"/>
  <c r="P231"/>
  <c r="O231"/>
  <c r="G231"/>
  <c r="B231"/>
  <c r="W230"/>
  <c r="U230"/>
  <c r="R230"/>
  <c r="P230"/>
  <c r="O230"/>
  <c r="G230"/>
  <c r="B230"/>
  <c r="W229"/>
  <c r="U229"/>
  <c r="R229"/>
  <c r="P229"/>
  <c r="O229"/>
  <c r="G229"/>
  <c r="B229"/>
  <c r="W228"/>
  <c r="U228"/>
  <c r="R228"/>
  <c r="P228"/>
  <c r="O228"/>
  <c r="N228"/>
  <c r="G228"/>
  <c r="B228"/>
  <c r="W227"/>
  <c r="U227"/>
  <c r="R227"/>
  <c r="P227"/>
  <c r="O227"/>
  <c r="N227"/>
  <c r="G227"/>
  <c r="B227"/>
  <c r="W226"/>
  <c r="U226"/>
  <c r="R226"/>
  <c r="P226"/>
  <c r="O226"/>
  <c r="N226"/>
  <c r="M226"/>
  <c r="L226"/>
  <c r="G226"/>
  <c r="B226"/>
  <c r="W225"/>
  <c r="U225"/>
  <c r="R225"/>
  <c r="P225"/>
  <c r="O225"/>
  <c r="G225"/>
  <c r="B225"/>
  <c r="W224"/>
  <c r="U224"/>
  <c r="R224"/>
  <c r="P224"/>
  <c r="O224"/>
  <c r="N224"/>
  <c r="M224"/>
  <c r="G224"/>
  <c r="B224"/>
  <c r="W223"/>
  <c r="U223"/>
  <c r="R223"/>
  <c r="P223"/>
  <c r="O223"/>
  <c r="L223"/>
  <c r="G223"/>
  <c r="B223"/>
  <c r="W222"/>
  <c r="U222"/>
  <c r="R222"/>
  <c r="P222"/>
  <c r="O222"/>
  <c r="N222"/>
  <c r="M222"/>
  <c r="L222"/>
  <c r="G222"/>
  <c r="B222"/>
  <c r="W221"/>
  <c r="U221"/>
  <c r="R221"/>
  <c r="P221"/>
  <c r="O221"/>
  <c r="L221"/>
  <c r="G221"/>
  <c r="B221"/>
  <c r="W220"/>
  <c r="U220"/>
  <c r="R220"/>
  <c r="P220"/>
  <c r="O220"/>
  <c r="M220"/>
  <c r="G220"/>
  <c r="B220"/>
  <c r="W219"/>
  <c r="U219"/>
  <c r="R219"/>
  <c r="P219"/>
  <c r="O219"/>
  <c r="N219"/>
  <c r="G219"/>
  <c r="B219"/>
  <c r="W218"/>
  <c r="U218"/>
  <c r="R218"/>
  <c r="P218"/>
  <c r="O218"/>
  <c r="N218"/>
  <c r="M218"/>
  <c r="L218"/>
  <c r="G218"/>
  <c r="B218"/>
  <c r="W217"/>
  <c r="U217"/>
  <c r="R217"/>
  <c r="P217"/>
  <c r="O217"/>
  <c r="K217"/>
  <c r="L217" s="1"/>
  <c r="G217"/>
  <c r="B217"/>
  <c r="W216"/>
  <c r="U216"/>
  <c r="R216"/>
  <c r="P216"/>
  <c r="O216"/>
  <c r="G216"/>
  <c r="B216"/>
  <c r="W215"/>
  <c r="U215"/>
  <c r="R215"/>
  <c r="P215"/>
  <c r="O215"/>
  <c r="N215"/>
  <c r="G215"/>
  <c r="B215"/>
  <c r="U210"/>
  <c r="W210"/>
  <c r="O210"/>
  <c r="P210"/>
  <c r="R210"/>
  <c r="K210"/>
  <c r="L210" s="1"/>
  <c r="G210"/>
  <c r="B210"/>
  <c r="G9" i="17"/>
  <c r="G16"/>
  <c r="G18"/>
  <c r="G40"/>
  <c r="G47"/>
  <c r="G49"/>
  <c r="K102" i="4"/>
  <c r="L102" s="1"/>
  <c r="W214"/>
  <c r="U214"/>
  <c r="R214"/>
  <c r="P214"/>
  <c r="O214"/>
  <c r="K214"/>
  <c r="N214" s="1"/>
  <c r="G214"/>
  <c r="B214"/>
  <c r="W213"/>
  <c r="U213"/>
  <c r="R213"/>
  <c r="P213"/>
  <c r="O213"/>
  <c r="K213"/>
  <c r="N213" s="1"/>
  <c r="G213"/>
  <c r="B213"/>
  <c r="W212"/>
  <c r="U212"/>
  <c r="R212"/>
  <c r="P212"/>
  <c r="O212"/>
  <c r="K212"/>
  <c r="N212" s="1"/>
  <c r="G212"/>
  <c r="B212"/>
  <c r="W211"/>
  <c r="U211"/>
  <c r="R211"/>
  <c r="P211"/>
  <c r="O211"/>
  <c r="N211"/>
  <c r="G211"/>
  <c r="B211"/>
  <c r="W209"/>
  <c r="U209"/>
  <c r="R209"/>
  <c r="P209"/>
  <c r="O209"/>
  <c r="M209"/>
  <c r="N209"/>
  <c r="G209"/>
  <c r="B209"/>
  <c r="W208"/>
  <c r="U208"/>
  <c r="R208"/>
  <c r="P208"/>
  <c r="O208"/>
  <c r="K208"/>
  <c r="N208" s="1"/>
  <c r="G208"/>
  <c r="B208"/>
  <c r="W207"/>
  <c r="U207"/>
  <c r="R207"/>
  <c r="P207"/>
  <c r="O207"/>
  <c r="K207"/>
  <c r="N207" s="1"/>
  <c r="G207"/>
  <c r="B207"/>
  <c r="W206"/>
  <c r="U206"/>
  <c r="R206"/>
  <c r="Q206"/>
  <c r="P206"/>
  <c r="O206"/>
  <c r="N206"/>
  <c r="G206"/>
  <c r="B206"/>
  <c r="W205"/>
  <c r="U205"/>
  <c r="R205"/>
  <c r="P205"/>
  <c r="O205"/>
  <c r="M205"/>
  <c r="N205"/>
  <c r="G205"/>
  <c r="B205"/>
  <c r="W204"/>
  <c r="U204"/>
  <c r="R204"/>
  <c r="P204"/>
  <c r="O204"/>
  <c r="K204"/>
  <c r="L204" s="1"/>
  <c r="G204"/>
  <c r="B204"/>
  <c r="W203"/>
  <c r="U203"/>
  <c r="R203"/>
  <c r="P203"/>
  <c r="O203"/>
  <c r="K203"/>
  <c r="L203" s="1"/>
  <c r="G203"/>
  <c r="B203"/>
  <c r="W202"/>
  <c r="U202"/>
  <c r="R202"/>
  <c r="P202"/>
  <c r="O202"/>
  <c r="N202"/>
  <c r="M202"/>
  <c r="L202"/>
  <c r="G202"/>
  <c r="B202"/>
  <c r="W201"/>
  <c r="U201"/>
  <c r="R201"/>
  <c r="P201"/>
  <c r="O201"/>
  <c r="K201"/>
  <c r="L201" s="1"/>
  <c r="G201"/>
  <c r="B201"/>
  <c r="W200"/>
  <c r="U200"/>
  <c r="R200"/>
  <c r="P200"/>
  <c r="O200"/>
  <c r="K200"/>
  <c r="L200" s="1"/>
  <c r="G200"/>
  <c r="B200"/>
  <c r="W199"/>
  <c r="U199"/>
  <c r="R199"/>
  <c r="P199"/>
  <c r="O199"/>
  <c r="N199"/>
  <c r="L199"/>
  <c r="G199"/>
  <c r="B199"/>
  <c r="W198"/>
  <c r="U198"/>
  <c r="R198"/>
  <c r="P198"/>
  <c r="O198"/>
  <c r="K198"/>
  <c r="L198" s="1"/>
  <c r="G198"/>
  <c r="B198"/>
  <c r="W197"/>
  <c r="U197"/>
  <c r="R197"/>
  <c r="P197"/>
  <c r="O197"/>
  <c r="K197"/>
  <c r="L197" s="1"/>
  <c r="G197"/>
  <c r="B197"/>
  <c r="W196"/>
  <c r="U196"/>
  <c r="R196"/>
  <c r="P196"/>
  <c r="O196"/>
  <c r="K196"/>
  <c r="L196" s="1"/>
  <c r="G196"/>
  <c r="B196"/>
  <c r="W195"/>
  <c r="U195"/>
  <c r="R195"/>
  <c r="P195"/>
  <c r="O195"/>
  <c r="K195"/>
  <c r="L195" s="1"/>
  <c r="G195"/>
  <c r="B195"/>
  <c r="W194"/>
  <c r="U194"/>
  <c r="R194"/>
  <c r="P194"/>
  <c r="O194"/>
  <c r="L194"/>
  <c r="G194"/>
  <c r="B194"/>
  <c r="W193"/>
  <c r="U193"/>
  <c r="R193"/>
  <c r="P193"/>
  <c r="O193"/>
  <c r="L193"/>
  <c r="G193"/>
  <c r="B193"/>
  <c r="W192"/>
  <c r="U192"/>
  <c r="R192"/>
  <c r="P192"/>
  <c r="O192"/>
  <c r="L192"/>
  <c r="G192"/>
  <c r="B192"/>
  <c r="W191"/>
  <c r="U191"/>
  <c r="R191"/>
  <c r="P191"/>
  <c r="O191"/>
  <c r="L191"/>
  <c r="G191"/>
  <c r="B191"/>
  <c r="W190"/>
  <c r="U190"/>
  <c r="R190"/>
  <c r="P190"/>
  <c r="O190"/>
  <c r="K190"/>
  <c r="L190" s="1"/>
  <c r="G190"/>
  <c r="B190"/>
  <c r="W189"/>
  <c r="U189"/>
  <c r="R189"/>
  <c r="P189"/>
  <c r="O189"/>
  <c r="L189"/>
  <c r="G189"/>
  <c r="B189"/>
  <c r="W188"/>
  <c r="U188"/>
  <c r="R188"/>
  <c r="P188"/>
  <c r="O188"/>
  <c r="L188"/>
  <c r="G188"/>
  <c r="B188"/>
  <c r="W187"/>
  <c r="U187"/>
  <c r="R187"/>
  <c r="P187"/>
  <c r="O187"/>
  <c r="K187"/>
  <c r="L187" s="1"/>
  <c r="G187"/>
  <c r="B187"/>
  <c r="W186"/>
  <c r="U186"/>
  <c r="R186"/>
  <c r="P186"/>
  <c r="O186"/>
  <c r="L186"/>
  <c r="G186"/>
  <c r="B186"/>
  <c r="W185"/>
  <c r="U185"/>
  <c r="R185"/>
  <c r="P185"/>
  <c r="O185"/>
  <c r="K185"/>
  <c r="L185" s="1"/>
  <c r="G185"/>
  <c r="B185"/>
  <c r="W184"/>
  <c r="U184"/>
  <c r="R184"/>
  <c r="P184"/>
  <c r="O184"/>
  <c r="L184"/>
  <c r="G184"/>
  <c r="B184"/>
  <c r="W183"/>
  <c r="U183"/>
  <c r="R183"/>
  <c r="P183"/>
  <c r="O183"/>
  <c r="N183"/>
  <c r="M183"/>
  <c r="L183"/>
  <c r="G183"/>
  <c r="B183"/>
  <c r="F16" i="17"/>
  <c r="F18"/>
  <c r="F37"/>
  <c r="F40"/>
  <c r="F47"/>
  <c r="O3" i="13"/>
  <c r="P3"/>
  <c r="Q3"/>
  <c r="O2"/>
  <c r="P2"/>
  <c r="Q2"/>
  <c r="I26"/>
  <c r="J26"/>
  <c r="K26"/>
  <c r="L26"/>
  <c r="O26"/>
  <c r="P26"/>
  <c r="Q26"/>
  <c r="O7"/>
  <c r="P7"/>
  <c r="Q7"/>
  <c r="O5"/>
  <c r="P5"/>
  <c r="Q5"/>
  <c r="O15"/>
  <c r="P15"/>
  <c r="Q15"/>
  <c r="O8"/>
  <c r="P8"/>
  <c r="Q8"/>
  <c r="O6"/>
  <c r="P6"/>
  <c r="Q6"/>
  <c r="O17"/>
  <c r="P17"/>
  <c r="Q17"/>
  <c r="O11"/>
  <c r="P11"/>
  <c r="Q11"/>
  <c r="O9"/>
  <c r="P9"/>
  <c r="Q9"/>
  <c r="O12"/>
  <c r="P12"/>
  <c r="Q12"/>
  <c r="O10"/>
  <c r="P10"/>
  <c r="Q10"/>
  <c r="M27"/>
  <c r="N27"/>
  <c r="O27"/>
  <c r="P27"/>
  <c r="Q27"/>
  <c r="O4"/>
  <c r="P4"/>
  <c r="Q4"/>
  <c r="C13"/>
  <c r="O13"/>
  <c r="P13"/>
  <c r="Q13"/>
  <c r="O19"/>
  <c r="P19"/>
  <c r="Q19"/>
  <c r="O20"/>
  <c r="P20"/>
  <c r="Q20"/>
  <c r="O25"/>
  <c r="P25"/>
  <c r="Q25"/>
  <c r="O16"/>
  <c r="P16"/>
  <c r="Q16"/>
  <c r="M28"/>
  <c r="N28"/>
  <c r="O28"/>
  <c r="P28"/>
  <c r="Q28"/>
  <c r="O22"/>
  <c r="P22"/>
  <c r="Q22"/>
  <c r="F21"/>
  <c r="O21"/>
  <c r="P21"/>
  <c r="Q21"/>
  <c r="O23"/>
  <c r="P23"/>
  <c r="Q23"/>
  <c r="C14"/>
  <c r="O14"/>
  <c r="P14"/>
  <c r="Q14"/>
  <c r="O24"/>
  <c r="P24"/>
  <c r="Q24"/>
  <c r="E30"/>
  <c r="G30"/>
  <c r="J30"/>
  <c r="K30"/>
  <c r="L30"/>
  <c r="M30"/>
  <c r="N30"/>
  <c r="O30"/>
  <c r="P30"/>
  <c r="Q30"/>
  <c r="D29"/>
  <c r="F29"/>
  <c r="G29"/>
  <c r="H29"/>
  <c r="O29"/>
  <c r="P29"/>
  <c r="Q29"/>
  <c r="C31"/>
  <c r="D31"/>
  <c r="E31"/>
  <c r="F31"/>
  <c r="L31"/>
  <c r="M31"/>
  <c r="N31"/>
  <c r="O31"/>
  <c r="P31"/>
  <c r="Q31"/>
  <c r="C32"/>
  <c r="E32"/>
  <c r="F32"/>
  <c r="G32"/>
  <c r="H32"/>
  <c r="I32"/>
  <c r="J32"/>
  <c r="K32"/>
  <c r="L32"/>
  <c r="M32"/>
  <c r="N32"/>
  <c r="O32"/>
  <c r="P32"/>
  <c r="Q32"/>
  <c r="O4" i="12"/>
  <c r="P4"/>
  <c r="Q4"/>
  <c r="O3"/>
  <c r="P3"/>
  <c r="Q3"/>
  <c r="O5"/>
  <c r="P5"/>
  <c r="Q5"/>
  <c r="F6"/>
  <c r="O6"/>
  <c r="P6"/>
  <c r="Q6"/>
  <c r="O7"/>
  <c r="P7"/>
  <c r="Q7"/>
  <c r="C8"/>
  <c r="O8"/>
  <c r="P8"/>
  <c r="Q8"/>
  <c r="D10"/>
  <c r="G10"/>
  <c r="H10"/>
  <c r="I10"/>
  <c r="J10"/>
  <c r="K10"/>
  <c r="L10"/>
  <c r="M10"/>
  <c r="N10"/>
  <c r="O10"/>
  <c r="P10"/>
  <c r="Q10"/>
  <c r="E9"/>
  <c r="F9"/>
  <c r="G9"/>
  <c r="H9"/>
  <c r="I9"/>
  <c r="J9"/>
  <c r="O9"/>
  <c r="P9"/>
  <c r="Q9"/>
  <c r="I33" i="8"/>
  <c r="J33"/>
  <c r="K33"/>
  <c r="L33"/>
  <c r="M34"/>
  <c r="N34"/>
  <c r="C15"/>
  <c r="M35"/>
  <c r="N35"/>
  <c r="F24"/>
  <c r="C17"/>
  <c r="F30"/>
  <c r="C32"/>
  <c r="E38"/>
  <c r="G38"/>
  <c r="J38"/>
  <c r="K38"/>
  <c r="L38"/>
  <c r="M38"/>
  <c r="N38"/>
  <c r="D40"/>
  <c r="G40"/>
  <c r="H40"/>
  <c r="I40"/>
  <c r="J40"/>
  <c r="K40"/>
  <c r="L40"/>
  <c r="M40"/>
  <c r="N40"/>
  <c r="E37"/>
  <c r="F37"/>
  <c r="G37"/>
  <c r="H37"/>
  <c r="I37"/>
  <c r="J37"/>
  <c r="D36"/>
  <c r="F36"/>
  <c r="G36"/>
  <c r="H36"/>
  <c r="C39"/>
  <c r="D39"/>
  <c r="E39"/>
  <c r="F39"/>
  <c r="L39"/>
  <c r="M39"/>
  <c r="N39"/>
  <c r="C41"/>
  <c r="E41"/>
  <c r="F41"/>
  <c r="G41"/>
  <c r="H41"/>
  <c r="I41"/>
  <c r="J41"/>
  <c r="K41"/>
  <c r="L41"/>
  <c r="M41"/>
  <c r="N41"/>
  <c r="W182" i="4"/>
  <c r="U182"/>
  <c r="R182"/>
  <c r="P182"/>
  <c r="O182"/>
  <c r="K182"/>
  <c r="N182" s="1"/>
  <c r="G182"/>
  <c r="B182"/>
  <c r="W181"/>
  <c r="U181"/>
  <c r="R181"/>
  <c r="P181"/>
  <c r="O181"/>
  <c r="N181"/>
  <c r="G181"/>
  <c r="B181"/>
  <c r="W180"/>
  <c r="U180"/>
  <c r="R180"/>
  <c r="P180"/>
  <c r="O180"/>
  <c r="K180"/>
  <c r="N180" s="1"/>
  <c r="G180"/>
  <c r="B180"/>
  <c r="W179"/>
  <c r="U179"/>
  <c r="R179"/>
  <c r="P179"/>
  <c r="O179"/>
  <c r="K179"/>
  <c r="N179" s="1"/>
  <c r="G179"/>
  <c r="B179"/>
  <c r="W178"/>
  <c r="U178"/>
  <c r="R178"/>
  <c r="P178"/>
  <c r="O178"/>
  <c r="K178"/>
  <c r="N178" s="1"/>
  <c r="G178"/>
  <c r="B178"/>
  <c r="W177"/>
  <c r="U177"/>
  <c r="R177"/>
  <c r="P177"/>
  <c r="O177"/>
  <c r="N177"/>
  <c r="G177"/>
  <c r="B177"/>
  <c r="W176"/>
  <c r="U176"/>
  <c r="R176"/>
  <c r="P176"/>
  <c r="O176"/>
  <c r="K176"/>
  <c r="N176" s="1"/>
  <c r="G176"/>
  <c r="B176"/>
  <c r="W175"/>
  <c r="U175"/>
  <c r="R175"/>
  <c r="P175"/>
  <c r="O175"/>
  <c r="N175"/>
  <c r="G175"/>
  <c r="B175"/>
  <c r="W174"/>
  <c r="U174"/>
  <c r="R174"/>
  <c r="P174"/>
  <c r="O174"/>
  <c r="K174"/>
  <c r="N174" s="1"/>
  <c r="G174"/>
  <c r="B174"/>
  <c r="W173"/>
  <c r="U173"/>
  <c r="R173"/>
  <c r="P173"/>
  <c r="O173"/>
  <c r="K173"/>
  <c r="N173" s="1"/>
  <c r="G173"/>
  <c r="B173"/>
  <c r="W172"/>
  <c r="U172"/>
  <c r="R172"/>
  <c r="P172"/>
  <c r="O172"/>
  <c r="N172"/>
  <c r="G172"/>
  <c r="B172"/>
  <c r="W171"/>
  <c r="U171"/>
  <c r="R171"/>
  <c r="P171"/>
  <c r="O171"/>
  <c r="N171"/>
  <c r="G171"/>
  <c r="B171"/>
  <c r="W170"/>
  <c r="U170"/>
  <c r="R170"/>
  <c r="P170"/>
  <c r="O170"/>
  <c r="K170"/>
  <c r="N170" s="1"/>
  <c r="G170"/>
  <c r="B170"/>
  <c r="W169"/>
  <c r="U169"/>
  <c r="R169"/>
  <c r="P169"/>
  <c r="O169"/>
  <c r="K169"/>
  <c r="N169" s="1"/>
  <c r="G169"/>
  <c r="B169"/>
  <c r="W168"/>
  <c r="U168"/>
  <c r="R168"/>
  <c r="P168"/>
  <c r="O168"/>
  <c r="K168"/>
  <c r="N168" s="1"/>
  <c r="G168"/>
  <c r="B168"/>
  <c r="W167"/>
  <c r="U167"/>
  <c r="R167"/>
  <c r="P167"/>
  <c r="O167"/>
  <c r="K167"/>
  <c r="N167" s="1"/>
  <c r="G167"/>
  <c r="B167"/>
  <c r="W166"/>
  <c r="U166"/>
  <c r="R166"/>
  <c r="P166"/>
  <c r="O166"/>
  <c r="K166"/>
  <c r="N166" s="1"/>
  <c r="G166"/>
  <c r="B166"/>
  <c r="W165"/>
  <c r="U165"/>
  <c r="R165"/>
  <c r="P165"/>
  <c r="O165"/>
  <c r="K165"/>
  <c r="N165" s="1"/>
  <c r="G165"/>
  <c r="B165"/>
  <c r="W164"/>
  <c r="U164"/>
  <c r="R164"/>
  <c r="P164"/>
  <c r="O164"/>
  <c r="K164"/>
  <c r="N164" s="1"/>
  <c r="G164"/>
  <c r="B164"/>
  <c r="W163"/>
  <c r="U163"/>
  <c r="R163"/>
  <c r="P163"/>
  <c r="O163"/>
  <c r="N163"/>
  <c r="G163"/>
  <c r="B163"/>
  <c r="W162"/>
  <c r="U162"/>
  <c r="R162"/>
  <c r="P162"/>
  <c r="O162"/>
  <c r="K162"/>
  <c r="N162" s="1"/>
  <c r="G162"/>
  <c r="B162"/>
  <c r="W161"/>
  <c r="U161"/>
  <c r="R161"/>
  <c r="P161"/>
  <c r="O161"/>
  <c r="K161"/>
  <c r="N161" s="1"/>
  <c r="G161"/>
  <c r="B161"/>
  <c r="W160"/>
  <c r="U160"/>
  <c r="R160"/>
  <c r="P160"/>
  <c r="O160"/>
  <c r="K160"/>
  <c r="N160" s="1"/>
  <c r="G160"/>
  <c r="B160"/>
  <c r="W159"/>
  <c r="U159"/>
  <c r="R159"/>
  <c r="P159"/>
  <c r="O159"/>
  <c r="N159"/>
  <c r="G159"/>
  <c r="B159"/>
  <c r="W158"/>
  <c r="U158"/>
  <c r="R158"/>
  <c r="P158"/>
  <c r="O158"/>
  <c r="N158"/>
  <c r="G158"/>
  <c r="B158"/>
  <c r="W157"/>
  <c r="U157"/>
  <c r="R157"/>
  <c r="P157"/>
  <c r="O157"/>
  <c r="N157"/>
  <c r="G157"/>
  <c r="B157"/>
  <c r="W156"/>
  <c r="U156"/>
  <c r="R156"/>
  <c r="P156"/>
  <c r="O156"/>
  <c r="N156"/>
  <c r="G156"/>
  <c r="B156"/>
  <c r="W155"/>
  <c r="U155"/>
  <c r="R155"/>
  <c r="P155"/>
  <c r="O155"/>
  <c r="K155"/>
  <c r="N155" s="1"/>
  <c r="G155"/>
  <c r="B155"/>
  <c r="W154"/>
  <c r="U154"/>
  <c r="R154"/>
  <c r="P154"/>
  <c r="O154"/>
  <c r="N154"/>
  <c r="G154"/>
  <c r="B154"/>
  <c r="W153"/>
  <c r="U153"/>
  <c r="R153"/>
  <c r="P153"/>
  <c r="O153"/>
  <c r="N153"/>
  <c r="G153"/>
  <c r="B153"/>
  <c r="W152"/>
  <c r="U152"/>
  <c r="R152"/>
  <c r="P152"/>
  <c r="O152"/>
  <c r="N152"/>
  <c r="K152"/>
  <c r="L152" s="1"/>
  <c r="G152"/>
  <c r="B152"/>
  <c r="W151"/>
  <c r="U151"/>
  <c r="R151"/>
  <c r="P151"/>
  <c r="O151"/>
  <c r="N151"/>
  <c r="M151"/>
  <c r="L151"/>
  <c r="G151"/>
  <c r="B151"/>
  <c r="W150"/>
  <c r="U150"/>
  <c r="R150"/>
  <c r="P150"/>
  <c r="O150"/>
  <c r="K150"/>
  <c r="M150" s="1"/>
  <c r="G150"/>
  <c r="B150"/>
  <c r="W149"/>
  <c r="U149"/>
  <c r="R149"/>
  <c r="P149"/>
  <c r="O149"/>
  <c r="K149"/>
  <c r="L149" s="1"/>
  <c r="G149"/>
  <c r="B149"/>
  <c r="W148"/>
  <c r="U148"/>
  <c r="R148"/>
  <c r="P148"/>
  <c r="O148"/>
  <c r="K148"/>
  <c r="M148" s="1"/>
  <c r="G148"/>
  <c r="B148"/>
  <c r="W102"/>
  <c r="U102"/>
  <c r="R102"/>
  <c r="P102"/>
  <c r="O102"/>
  <c r="G102"/>
  <c r="Q102" s="1"/>
  <c r="B102"/>
  <c r="K18" i="13"/>
  <c r="O18"/>
  <c r="P18"/>
  <c r="Q18"/>
  <c r="K21" i="8"/>
  <c r="C11" i="12"/>
  <c r="E11"/>
  <c r="F11"/>
  <c r="G11"/>
  <c r="H11"/>
  <c r="I11"/>
  <c r="J11"/>
  <c r="K11"/>
  <c r="L11"/>
  <c r="M11"/>
  <c r="N11"/>
  <c r="O11"/>
  <c r="P11"/>
  <c r="Q11"/>
  <c r="W147" i="4"/>
  <c r="U147"/>
  <c r="R147"/>
  <c r="P147"/>
  <c r="O147"/>
  <c r="K147"/>
  <c r="N147" s="1"/>
  <c r="G147"/>
  <c r="B147"/>
  <c r="W146"/>
  <c r="U146"/>
  <c r="R146"/>
  <c r="P146"/>
  <c r="O146"/>
  <c r="N146"/>
  <c r="G146"/>
  <c r="B146"/>
  <c r="W145"/>
  <c r="U145"/>
  <c r="R145"/>
  <c r="P145"/>
  <c r="O145"/>
  <c r="K145"/>
  <c r="N145" s="1"/>
  <c r="G145"/>
  <c r="B145"/>
  <c r="W144"/>
  <c r="U144"/>
  <c r="R144"/>
  <c r="P144"/>
  <c r="O144"/>
  <c r="N144"/>
  <c r="G144"/>
  <c r="B144"/>
  <c r="W143"/>
  <c r="U143"/>
  <c r="R143"/>
  <c r="P143"/>
  <c r="O143"/>
  <c r="N143"/>
  <c r="G143"/>
  <c r="B143"/>
  <c r="W142"/>
  <c r="U142"/>
  <c r="R142"/>
  <c r="P142"/>
  <c r="O142"/>
  <c r="K142"/>
  <c r="N142" s="1"/>
  <c r="G142"/>
  <c r="B142"/>
  <c r="W141"/>
  <c r="U141"/>
  <c r="R141"/>
  <c r="P141"/>
  <c r="O141"/>
  <c r="K141"/>
  <c r="N141" s="1"/>
  <c r="G141"/>
  <c r="B141"/>
  <c r="W140"/>
  <c r="U140"/>
  <c r="R140"/>
  <c r="P140"/>
  <c r="O140"/>
  <c r="N140"/>
  <c r="G140"/>
  <c r="B140"/>
  <c r="W139"/>
  <c r="U139"/>
  <c r="R139"/>
  <c r="P139"/>
  <c r="O139"/>
  <c r="K139"/>
  <c r="N139" s="1"/>
  <c r="G139"/>
  <c r="B139"/>
  <c r="W138"/>
  <c r="U138"/>
  <c r="R138"/>
  <c r="P138"/>
  <c r="O138"/>
  <c r="K138"/>
  <c r="M138" s="1"/>
  <c r="G138"/>
  <c r="B138"/>
  <c r="W137"/>
  <c r="U137"/>
  <c r="R137"/>
  <c r="P137"/>
  <c r="O137"/>
  <c r="K137"/>
  <c r="N137" s="1"/>
  <c r="G137"/>
  <c r="B137"/>
  <c r="W136"/>
  <c r="U136"/>
  <c r="R136"/>
  <c r="P136"/>
  <c r="O136"/>
  <c r="M136"/>
  <c r="G136"/>
  <c r="B136"/>
  <c r="W135"/>
  <c r="U135"/>
  <c r="R135"/>
  <c r="P135"/>
  <c r="O135"/>
  <c r="K135"/>
  <c r="N135" s="1"/>
  <c r="G135"/>
  <c r="B135"/>
  <c r="W134"/>
  <c r="U134"/>
  <c r="R134"/>
  <c r="P134"/>
  <c r="O134"/>
  <c r="K134"/>
  <c r="M134" s="1"/>
  <c r="G134"/>
  <c r="B134"/>
  <c r="W133"/>
  <c r="U133"/>
  <c r="R133"/>
  <c r="P133"/>
  <c r="O133"/>
  <c r="M133"/>
  <c r="L133"/>
  <c r="N133"/>
  <c r="G133"/>
  <c r="B133"/>
  <c r="W132"/>
  <c r="U132"/>
  <c r="R132"/>
  <c r="P132"/>
  <c r="O132"/>
  <c r="K132"/>
  <c r="M132" s="1"/>
  <c r="G132"/>
  <c r="B132"/>
  <c r="W131"/>
  <c r="U131"/>
  <c r="R131"/>
  <c r="P131"/>
  <c r="O131"/>
  <c r="L131"/>
  <c r="N131"/>
  <c r="G131"/>
  <c r="B131"/>
  <c r="W130"/>
  <c r="U130"/>
  <c r="R130"/>
  <c r="P130"/>
  <c r="O130"/>
  <c r="K130"/>
  <c r="M130" s="1"/>
  <c r="G130"/>
  <c r="B130"/>
  <c r="W129"/>
  <c r="U129"/>
  <c r="R129"/>
  <c r="P129"/>
  <c r="O129"/>
  <c r="K129"/>
  <c r="M129" s="1"/>
  <c r="G129"/>
  <c r="B129"/>
  <c r="W128"/>
  <c r="U128"/>
  <c r="R128"/>
  <c r="P128"/>
  <c r="O128"/>
  <c r="M128"/>
  <c r="G128"/>
  <c r="B128"/>
  <c r="W127"/>
  <c r="U127"/>
  <c r="R127"/>
  <c r="P127"/>
  <c r="O127"/>
  <c r="K127"/>
  <c r="M127" s="1"/>
  <c r="G127"/>
  <c r="B127"/>
  <c r="W126"/>
  <c r="U126"/>
  <c r="R126"/>
  <c r="P126"/>
  <c r="O126"/>
  <c r="N126"/>
  <c r="G126"/>
  <c r="B126"/>
  <c r="W125"/>
  <c r="U125"/>
  <c r="R125"/>
  <c r="P125"/>
  <c r="O125"/>
  <c r="N125"/>
  <c r="G125"/>
  <c r="B125"/>
  <c r="W124"/>
  <c r="U124"/>
  <c r="R124"/>
  <c r="P124"/>
  <c r="O124"/>
  <c r="N124"/>
  <c r="G124"/>
  <c r="B124"/>
  <c r="W123"/>
  <c r="U123"/>
  <c r="R123"/>
  <c r="P123"/>
  <c r="O123"/>
  <c r="K123"/>
  <c r="N123" s="1"/>
  <c r="G123"/>
  <c r="B123"/>
  <c r="W122"/>
  <c r="U122"/>
  <c r="R122"/>
  <c r="P122"/>
  <c r="O122"/>
  <c r="N122"/>
  <c r="G122"/>
  <c r="B122"/>
  <c r="W121"/>
  <c r="U121"/>
  <c r="R121"/>
  <c r="P121"/>
  <c r="O121"/>
  <c r="M121"/>
  <c r="N121"/>
  <c r="G121"/>
  <c r="B121"/>
  <c r="W120"/>
  <c r="U120"/>
  <c r="R120"/>
  <c r="P120"/>
  <c r="O120"/>
  <c r="M120"/>
  <c r="L120"/>
  <c r="N120"/>
  <c r="G120"/>
  <c r="B120"/>
  <c r="W119"/>
  <c r="U119"/>
  <c r="R119"/>
  <c r="P119"/>
  <c r="O119"/>
  <c r="K119"/>
  <c r="N119" s="1"/>
  <c r="G119"/>
  <c r="B119"/>
  <c r="W118"/>
  <c r="U118"/>
  <c r="R118"/>
  <c r="P118"/>
  <c r="O118"/>
  <c r="M118"/>
  <c r="L118"/>
  <c r="N118"/>
  <c r="G118"/>
  <c r="B118"/>
  <c r="W117"/>
  <c r="U117"/>
  <c r="R117"/>
  <c r="P117"/>
  <c r="O117"/>
  <c r="K117"/>
  <c r="N117" s="1"/>
  <c r="G117"/>
  <c r="B117"/>
  <c r="W116"/>
  <c r="U116"/>
  <c r="R116"/>
  <c r="P116"/>
  <c r="O116"/>
  <c r="K116"/>
  <c r="N116" s="1"/>
  <c r="G116"/>
  <c r="B116"/>
  <c r="W115"/>
  <c r="U115"/>
  <c r="R115"/>
  <c r="P115"/>
  <c r="O115"/>
  <c r="K115"/>
  <c r="N115" s="1"/>
  <c r="G115"/>
  <c r="B115"/>
  <c r="W114"/>
  <c r="U114"/>
  <c r="R114"/>
  <c r="P114"/>
  <c r="O114"/>
  <c r="K114"/>
  <c r="N114" s="1"/>
  <c r="G114"/>
  <c r="B114"/>
  <c r="W113"/>
  <c r="U113"/>
  <c r="R113"/>
  <c r="P113"/>
  <c r="O113"/>
  <c r="M113"/>
  <c r="L113"/>
  <c r="N113"/>
  <c r="G113"/>
  <c r="B113"/>
  <c r="W112"/>
  <c r="U112"/>
  <c r="R112"/>
  <c r="P112"/>
  <c r="O112"/>
  <c r="M112"/>
  <c r="L112"/>
  <c r="N112"/>
  <c r="G112"/>
  <c r="B112"/>
  <c r="M372" l="1"/>
  <c r="H390"/>
  <c r="I390" s="1"/>
  <c r="X390" s="1"/>
  <c r="Q399"/>
  <c r="Q403"/>
  <c r="N367"/>
  <c r="H373"/>
  <c r="Q395"/>
  <c r="Q404"/>
  <c r="H408"/>
  <c r="Q381"/>
  <c r="Q382"/>
  <c r="M102"/>
  <c r="M255"/>
  <c r="I408"/>
  <c r="X408" s="1"/>
  <c r="Q408"/>
  <c r="H386"/>
  <c r="I386" s="1"/>
  <c r="X386" s="1"/>
  <c r="M405"/>
  <c r="N333"/>
  <c r="Q358"/>
  <c r="N366"/>
  <c r="M367"/>
  <c r="M377"/>
  <c r="N400"/>
  <c r="H407"/>
  <c r="I407" s="1"/>
  <c r="X407" s="1"/>
  <c r="Q383"/>
  <c r="Q384"/>
  <c r="N389"/>
  <c r="Q392"/>
  <c r="Q400"/>
  <c r="H401"/>
  <c r="I401" s="1"/>
  <c r="X401" s="1"/>
  <c r="Q406"/>
  <c r="H411"/>
  <c r="I411" s="1"/>
  <c r="X411" s="1"/>
  <c r="Q411"/>
  <c r="N102"/>
  <c r="H404"/>
  <c r="I404" s="1"/>
  <c r="X404" s="1"/>
  <c r="H403"/>
  <c r="I403" s="1"/>
  <c r="X403" s="1"/>
  <c r="Q401"/>
  <c r="H399"/>
  <c r="I399" s="1"/>
  <c r="X399" s="1"/>
  <c r="H398"/>
  <c r="I398" s="1"/>
  <c r="X398" s="1"/>
  <c r="H396"/>
  <c r="I396" s="1"/>
  <c r="X396" s="1"/>
  <c r="H393"/>
  <c r="I393" s="1"/>
  <c r="X393" s="1"/>
  <c r="N392"/>
  <c r="M392"/>
  <c r="H392"/>
  <c r="I392" s="1"/>
  <c r="X392" s="1"/>
  <c r="Q390"/>
  <c r="S390" s="1"/>
  <c r="M17" i="17" s="1"/>
  <c r="Q389" i="4"/>
  <c r="H388"/>
  <c r="I388" s="1"/>
  <c r="X388" s="1"/>
  <c r="G387"/>
  <c r="H387" s="1"/>
  <c r="I387" s="1"/>
  <c r="X387" s="1"/>
  <c r="H385"/>
  <c r="I385" s="1"/>
  <c r="H381"/>
  <c r="I381" s="1"/>
  <c r="X381" s="1"/>
  <c r="Q377"/>
  <c r="H379"/>
  <c r="I379" s="1"/>
  <c r="X379" s="1"/>
  <c r="H380"/>
  <c r="I380" s="1"/>
  <c r="X380" s="1"/>
  <c r="H409"/>
  <c r="I409" s="1"/>
  <c r="X409" s="1"/>
  <c r="M319"/>
  <c r="H350"/>
  <c r="N357"/>
  <c r="Q362"/>
  <c r="H363"/>
  <c r="I363" s="1"/>
  <c r="X363" s="1"/>
  <c r="Q373"/>
  <c r="Q374"/>
  <c r="L377"/>
  <c r="Q378"/>
  <c r="L375"/>
  <c r="H382"/>
  <c r="I382" s="1"/>
  <c r="X382" s="1"/>
  <c r="H383"/>
  <c r="I383" s="1"/>
  <c r="X383" s="1"/>
  <c r="H384"/>
  <c r="I384" s="1"/>
  <c r="X384" s="1"/>
  <c r="H394"/>
  <c r="I394" s="1"/>
  <c r="X394" s="1"/>
  <c r="H397"/>
  <c r="I397" s="1"/>
  <c r="X397" s="1"/>
  <c r="L400"/>
  <c r="L403"/>
  <c r="Q405"/>
  <c r="L319"/>
  <c r="Q320"/>
  <c r="H391"/>
  <c r="I391" s="1"/>
  <c r="X391" s="1"/>
  <c r="H395"/>
  <c r="I395" s="1"/>
  <c r="X395" s="1"/>
  <c r="H400"/>
  <c r="I400" s="1"/>
  <c r="X400" s="1"/>
  <c r="H402"/>
  <c r="I402" s="1"/>
  <c r="X402" s="1"/>
  <c r="M237"/>
  <c r="M323"/>
  <c r="Q341"/>
  <c r="H356"/>
  <c r="I356" s="1"/>
  <c r="X356" s="1"/>
  <c r="N364"/>
  <c r="H369"/>
  <c r="I369" s="1"/>
  <c r="X369" s="1"/>
  <c r="L371"/>
  <c r="H360"/>
  <c r="I360" s="1"/>
  <c r="X360" s="1"/>
  <c r="Q365"/>
  <c r="Q371"/>
  <c r="Q348"/>
  <c r="Q351"/>
  <c r="H372"/>
  <c r="I372" s="1"/>
  <c r="X372" s="1"/>
  <c r="N375"/>
  <c r="M386"/>
  <c r="N404"/>
  <c r="H376"/>
  <c r="I376" s="1"/>
  <c r="X376" s="1"/>
  <c r="L395"/>
  <c r="H410"/>
  <c r="I410" s="1"/>
  <c r="X410" s="1"/>
  <c r="H405"/>
  <c r="I405" s="1"/>
  <c r="X405" s="1"/>
  <c r="N391"/>
  <c r="M391"/>
  <c r="N395"/>
  <c r="M396"/>
  <c r="N403"/>
  <c r="M404"/>
  <c r="N379"/>
  <c r="S379" s="1"/>
  <c r="M380"/>
  <c r="N383"/>
  <c r="M384"/>
  <c r="N381"/>
  <c r="N386"/>
  <c r="L387"/>
  <c r="M389"/>
  <c r="N393"/>
  <c r="M394"/>
  <c r="N397"/>
  <c r="L399"/>
  <c r="N401"/>
  <c r="N405"/>
  <c r="M407"/>
  <c r="L409"/>
  <c r="N410"/>
  <c r="L411"/>
  <c r="N387"/>
  <c r="N399"/>
  <c r="N409"/>
  <c r="N411"/>
  <c r="I406"/>
  <c r="N371"/>
  <c r="L351"/>
  <c r="Q376"/>
  <c r="Q375"/>
  <c r="H375"/>
  <c r="N311"/>
  <c r="N322"/>
  <c r="H347"/>
  <c r="I347" s="1"/>
  <c r="X347" s="1"/>
  <c r="N348"/>
  <c r="H351"/>
  <c r="I351" s="1"/>
  <c r="X351" s="1"/>
  <c r="Q357"/>
  <c r="Q361"/>
  <c r="H365"/>
  <c r="I365" s="1"/>
  <c r="X365" s="1"/>
  <c r="H367"/>
  <c r="I367" s="1"/>
  <c r="X367" s="1"/>
  <c r="N368"/>
  <c r="Q372"/>
  <c r="H377"/>
  <c r="I377" s="1"/>
  <c r="X377" s="1"/>
  <c r="L368"/>
  <c r="N335"/>
  <c r="N341"/>
  <c r="N354"/>
  <c r="H359"/>
  <c r="I359" s="1"/>
  <c r="X359" s="1"/>
  <c r="Q360"/>
  <c r="Q369"/>
  <c r="Q370"/>
  <c r="H371"/>
  <c r="I371" s="1"/>
  <c r="N372"/>
  <c r="H374"/>
  <c r="I374" s="1"/>
  <c r="X374" s="1"/>
  <c r="H378"/>
  <c r="I378" s="1"/>
  <c r="X378" s="1"/>
  <c r="Q311"/>
  <c r="Q315"/>
  <c r="Q321"/>
  <c r="Q322"/>
  <c r="N331"/>
  <c r="Q352"/>
  <c r="H357"/>
  <c r="I357" s="1"/>
  <c r="X357" s="1"/>
  <c r="N365"/>
  <c r="M369"/>
  <c r="M288"/>
  <c r="L331"/>
  <c r="M335"/>
  <c r="H346"/>
  <c r="I346" s="1"/>
  <c r="X346" s="1"/>
  <c r="H349"/>
  <c r="I349" s="1"/>
  <c r="X349" s="1"/>
  <c r="Q350"/>
  <c r="H353"/>
  <c r="I353" s="1"/>
  <c r="X353" s="1"/>
  <c r="H354"/>
  <c r="I354" s="1"/>
  <c r="X354" s="1"/>
  <c r="H355"/>
  <c r="I355" s="1"/>
  <c r="X355" s="1"/>
  <c r="H364"/>
  <c r="I364" s="1"/>
  <c r="X364" s="1"/>
  <c r="Q368"/>
  <c r="L373"/>
  <c r="M378"/>
  <c r="H370"/>
  <c r="I370" s="1"/>
  <c r="X370" s="1"/>
  <c r="Q367"/>
  <c r="H368"/>
  <c r="I368" s="1"/>
  <c r="X368" s="1"/>
  <c r="Q366"/>
  <c r="Q364"/>
  <c r="H362"/>
  <c r="I362" s="1"/>
  <c r="X362" s="1"/>
  <c r="H361"/>
  <c r="I361" s="1"/>
  <c r="X361" s="1"/>
  <c r="Q359"/>
  <c r="H358"/>
  <c r="I358" s="1"/>
  <c r="X358" s="1"/>
  <c r="Q356"/>
  <c r="Q355"/>
  <c r="Q354"/>
  <c r="Q353"/>
  <c r="Q349"/>
  <c r="H348"/>
  <c r="I348" s="1"/>
  <c r="X348" s="1"/>
  <c r="Q347"/>
  <c r="Q346"/>
  <c r="M353"/>
  <c r="L354"/>
  <c r="M361"/>
  <c r="M362"/>
  <c r="N369"/>
  <c r="M370"/>
  <c r="M373"/>
  <c r="N378"/>
  <c r="M349"/>
  <c r="M357"/>
  <c r="N361"/>
  <c r="L365"/>
  <c r="S377"/>
  <c r="V377" s="1"/>
  <c r="I350"/>
  <c r="I352"/>
  <c r="X352" s="1"/>
  <c r="I373"/>
  <c r="X373" s="1"/>
  <c r="M374"/>
  <c r="N359"/>
  <c r="L374"/>
  <c r="M359"/>
  <c r="N282"/>
  <c r="L303"/>
  <c r="Q323"/>
  <c r="Q333"/>
  <c r="Q334"/>
  <c r="Q335"/>
  <c r="Q337"/>
  <c r="Q338"/>
  <c r="Q339"/>
  <c r="H341"/>
  <c r="N274"/>
  <c r="H324"/>
  <c r="I324" s="1"/>
  <c r="X324" s="1"/>
  <c r="Q325"/>
  <c r="Q332"/>
  <c r="Q336"/>
  <c r="Q340"/>
  <c r="Q345"/>
  <c r="Q344"/>
  <c r="Q343"/>
  <c r="Q342"/>
  <c r="Q331"/>
  <c r="Q330"/>
  <c r="Q329"/>
  <c r="Q327"/>
  <c r="Q326"/>
  <c r="Q324"/>
  <c r="Q319"/>
  <c r="L237"/>
  <c r="L289"/>
  <c r="Q316"/>
  <c r="H342"/>
  <c r="I342" s="1"/>
  <c r="X342" s="1"/>
  <c r="Q317"/>
  <c r="N306"/>
  <c r="Q314"/>
  <c r="H325"/>
  <c r="I325" s="1"/>
  <c r="X325" s="1"/>
  <c r="L306"/>
  <c r="H315"/>
  <c r="I315" s="1"/>
  <c r="X315" s="1"/>
  <c r="H317"/>
  <c r="I317" s="1"/>
  <c r="X317" s="1"/>
  <c r="M345"/>
  <c r="N315"/>
  <c r="N318"/>
  <c r="L321"/>
  <c r="L325"/>
  <c r="M342"/>
  <c r="M315"/>
  <c r="M318"/>
  <c r="N314"/>
  <c r="H318"/>
  <c r="I318" s="1"/>
  <c r="X318" s="1"/>
  <c r="H340"/>
  <c r="I340" s="1"/>
  <c r="X340" s="1"/>
  <c r="H328"/>
  <c r="I328" s="1"/>
  <c r="X328" s="1"/>
  <c r="L345"/>
  <c r="M322"/>
  <c r="M333"/>
  <c r="N334"/>
  <c r="M337"/>
  <c r="N338"/>
  <c r="N327"/>
  <c r="M334"/>
  <c r="M338"/>
  <c r="N326"/>
  <c r="Q318"/>
  <c r="H319"/>
  <c r="L326"/>
  <c r="L327"/>
  <c r="Q328"/>
  <c r="H329"/>
  <c r="M329"/>
  <c r="H330"/>
  <c r="M330"/>
  <c r="H331"/>
  <c r="H343"/>
  <c r="M343"/>
  <c r="H344"/>
  <c r="H314"/>
  <c r="H316"/>
  <c r="H320"/>
  <c r="H321"/>
  <c r="H322"/>
  <c r="H323"/>
  <c r="N324"/>
  <c r="L329"/>
  <c r="L330"/>
  <c r="H332"/>
  <c r="H333"/>
  <c r="H334"/>
  <c r="H335"/>
  <c r="H336"/>
  <c r="H337"/>
  <c r="H338"/>
  <c r="H339"/>
  <c r="L343"/>
  <c r="H345"/>
  <c r="H326"/>
  <c r="H327"/>
  <c r="Q282"/>
  <c r="N255"/>
  <c r="M298"/>
  <c r="Q308"/>
  <c r="N303"/>
  <c r="L311"/>
  <c r="L298"/>
  <c r="L301"/>
  <c r="H311"/>
  <c r="I311" s="1"/>
  <c r="X311" s="1"/>
  <c r="M282"/>
  <c r="Q307"/>
  <c r="Q291"/>
  <c r="L300"/>
  <c r="Q303"/>
  <c r="H303"/>
  <c r="L246"/>
  <c r="M283"/>
  <c r="N304"/>
  <c r="M238"/>
  <c r="M304"/>
  <c r="Q309"/>
  <c r="H312"/>
  <c r="I312" s="1"/>
  <c r="X312" s="1"/>
  <c r="Q304"/>
  <c r="H304"/>
  <c r="I304" s="1"/>
  <c r="X304" s="1"/>
  <c r="Q306"/>
  <c r="Q295"/>
  <c r="Q310"/>
  <c r="H306"/>
  <c r="N236"/>
  <c r="M240"/>
  <c r="M261"/>
  <c r="Q283"/>
  <c r="Q292"/>
  <c r="Q293"/>
  <c r="Q301"/>
  <c r="H305"/>
  <c r="H296"/>
  <c r="I296" s="1"/>
  <c r="X296" s="1"/>
  <c r="H204"/>
  <c r="I204" s="1"/>
  <c r="X204" s="1"/>
  <c r="L207"/>
  <c r="Q251"/>
  <c r="Q312"/>
  <c r="Q313"/>
  <c r="H308"/>
  <c r="H307"/>
  <c r="I307" s="1"/>
  <c r="X307" s="1"/>
  <c r="N258"/>
  <c r="Q281"/>
  <c r="L286"/>
  <c r="Q289"/>
  <c r="M258"/>
  <c r="N289"/>
  <c r="H295"/>
  <c r="I295" s="1"/>
  <c r="X295" s="1"/>
  <c r="N305"/>
  <c r="L248"/>
  <c r="Q280"/>
  <c r="Q290"/>
  <c r="H294"/>
  <c r="I294" s="1"/>
  <c r="X294" s="1"/>
  <c r="Q305"/>
  <c r="H310"/>
  <c r="I310" s="1"/>
  <c r="X310" s="1"/>
  <c r="Q302"/>
  <c r="Q300"/>
  <c r="Q299"/>
  <c r="Q298"/>
  <c r="Q297"/>
  <c r="Q296"/>
  <c r="Q294"/>
  <c r="H293"/>
  <c r="I293" s="1"/>
  <c r="H292"/>
  <c r="I292" s="1"/>
  <c r="X292" s="1"/>
  <c r="H291"/>
  <c r="I291" s="1"/>
  <c r="X291" s="1"/>
  <c r="H290"/>
  <c r="I290" s="1"/>
  <c r="X290" s="1"/>
  <c r="Q288"/>
  <c r="Q287"/>
  <c r="Q286"/>
  <c r="Q285"/>
  <c r="Q284"/>
  <c r="H281"/>
  <c r="I281" s="1"/>
  <c r="X281" s="1"/>
  <c r="L283"/>
  <c r="M296"/>
  <c r="L305"/>
  <c r="L312"/>
  <c r="H283"/>
  <c r="I283" s="1"/>
  <c r="X283" s="1"/>
  <c r="H280"/>
  <c r="I280" s="1"/>
  <c r="X280" s="1"/>
  <c r="H289"/>
  <c r="I289" s="1"/>
  <c r="X289" s="1"/>
  <c r="H309"/>
  <c r="I309" s="1"/>
  <c r="X309" s="1"/>
  <c r="L285"/>
  <c r="M290"/>
  <c r="M291"/>
  <c r="M292"/>
  <c r="N294"/>
  <c r="M295"/>
  <c r="L302"/>
  <c r="L307"/>
  <c r="L290"/>
  <c r="L291"/>
  <c r="L292"/>
  <c r="M294"/>
  <c r="N307"/>
  <c r="N310"/>
  <c r="N295"/>
  <c r="M310"/>
  <c r="I305"/>
  <c r="X305" s="1"/>
  <c r="N297"/>
  <c r="N313"/>
  <c r="H282"/>
  <c r="H284"/>
  <c r="N285"/>
  <c r="N286"/>
  <c r="N287"/>
  <c r="N288"/>
  <c r="H297"/>
  <c r="M297"/>
  <c r="H298"/>
  <c r="N299"/>
  <c r="N300"/>
  <c r="N301"/>
  <c r="N302"/>
  <c r="H313"/>
  <c r="M313"/>
  <c r="H285"/>
  <c r="H286"/>
  <c r="H287"/>
  <c r="H288"/>
  <c r="H299"/>
  <c r="H300"/>
  <c r="H301"/>
  <c r="H302"/>
  <c r="Q279"/>
  <c r="Q278"/>
  <c r="Q277"/>
  <c r="Q276"/>
  <c r="L215"/>
  <c r="L216"/>
  <c r="H223"/>
  <c r="I223" s="1"/>
  <c r="X223" s="1"/>
  <c r="N229"/>
  <c r="Q250"/>
  <c r="Q258"/>
  <c r="N216"/>
  <c r="L244"/>
  <c r="Q259"/>
  <c r="Q273"/>
  <c r="Q275"/>
  <c r="Q274"/>
  <c r="Q221"/>
  <c r="Q252"/>
  <c r="Q254"/>
  <c r="Q255"/>
  <c r="H259"/>
  <c r="I259" s="1"/>
  <c r="Q266"/>
  <c r="M221"/>
  <c r="M248"/>
  <c r="N249"/>
  <c r="H241"/>
  <c r="I241" s="1"/>
  <c r="X241" s="1"/>
  <c r="Q253"/>
  <c r="Q264"/>
  <c r="Q267"/>
  <c r="Q265"/>
  <c r="Q268"/>
  <c r="Q272"/>
  <c r="Q271"/>
  <c r="Q270"/>
  <c r="Q269"/>
  <c r="H267"/>
  <c r="I267" s="1"/>
  <c r="X267" s="1"/>
  <c r="H263"/>
  <c r="I263" s="1"/>
  <c r="X263" s="1"/>
  <c r="Q262"/>
  <c r="Q261"/>
  <c r="Q260"/>
  <c r="H257"/>
  <c r="I257" s="1"/>
  <c r="X257" s="1"/>
  <c r="Q256"/>
  <c r="H254"/>
  <c r="I254" s="1"/>
  <c r="L252"/>
  <c r="L260"/>
  <c r="L264"/>
  <c r="M267"/>
  <c r="M276"/>
  <c r="N253"/>
  <c r="N268"/>
  <c r="M278"/>
  <c r="M265"/>
  <c r="L257"/>
  <c r="N252"/>
  <c r="M253"/>
  <c r="N257"/>
  <c r="N261"/>
  <c r="L265"/>
  <c r="M268"/>
  <c r="L279"/>
  <c r="L267"/>
  <c r="H268"/>
  <c r="I268" s="1"/>
  <c r="X268" s="1"/>
  <c r="M264"/>
  <c r="L275"/>
  <c r="H250"/>
  <c r="H251"/>
  <c r="H252"/>
  <c r="H253"/>
  <c r="L256"/>
  <c r="Q257"/>
  <c r="H258"/>
  <c r="L262"/>
  <c r="Q263"/>
  <c r="H264"/>
  <c r="H265"/>
  <c r="H266"/>
  <c r="L269"/>
  <c r="L270"/>
  <c r="L271"/>
  <c r="L272"/>
  <c r="L273"/>
  <c r="H274"/>
  <c r="M274"/>
  <c r="H275"/>
  <c r="M275"/>
  <c r="N276"/>
  <c r="N277"/>
  <c r="N278"/>
  <c r="N279"/>
  <c r="H276"/>
  <c r="H277"/>
  <c r="H278"/>
  <c r="H279"/>
  <c r="H255"/>
  <c r="N256"/>
  <c r="H260"/>
  <c r="M260"/>
  <c r="H261"/>
  <c r="N262"/>
  <c r="N269"/>
  <c r="N270"/>
  <c r="N271"/>
  <c r="N272"/>
  <c r="N273"/>
  <c r="H256"/>
  <c r="H262"/>
  <c r="H269"/>
  <c r="H270"/>
  <c r="H271"/>
  <c r="H272"/>
  <c r="H273"/>
  <c r="Q239"/>
  <c r="N241"/>
  <c r="L229"/>
  <c r="M241"/>
  <c r="Q210"/>
  <c r="H217"/>
  <c r="I217" s="1"/>
  <c r="X217" s="1"/>
  <c r="N239"/>
  <c r="Q241"/>
  <c r="Q246"/>
  <c r="N246"/>
  <c r="Q216"/>
  <c r="M217"/>
  <c r="Q236"/>
  <c r="H240"/>
  <c r="I240" s="1"/>
  <c r="X240" s="1"/>
  <c r="Q242"/>
  <c r="H246"/>
  <c r="H215"/>
  <c r="I215" s="1"/>
  <c r="X215" s="1"/>
  <c r="H218"/>
  <c r="I218" s="1"/>
  <c r="X218" s="1"/>
  <c r="Q222"/>
  <c r="Q225"/>
  <c r="L240"/>
  <c r="Q247"/>
  <c r="Q249"/>
  <c r="Q248"/>
  <c r="Q245"/>
  <c r="Q153"/>
  <c r="Q155"/>
  <c r="Q157"/>
  <c r="Q161"/>
  <c r="Q237"/>
  <c r="H239"/>
  <c r="I239" s="1"/>
  <c r="X239" s="1"/>
  <c r="H210"/>
  <c r="I210" s="1"/>
  <c r="X210" s="1"/>
  <c r="M210"/>
  <c r="M215"/>
  <c r="N217"/>
  <c r="Q224"/>
  <c r="Q227"/>
  <c r="H228"/>
  <c r="I228" s="1"/>
  <c r="X228" s="1"/>
  <c r="H238"/>
  <c r="I238" s="1"/>
  <c r="X238" s="1"/>
  <c r="N210"/>
  <c r="L249"/>
  <c r="Q243"/>
  <c r="Q240"/>
  <c r="Q238"/>
  <c r="Q215"/>
  <c r="Q235"/>
  <c r="Q234"/>
  <c r="Q233"/>
  <c r="Q232"/>
  <c r="Q231"/>
  <c r="Q230"/>
  <c r="Q229"/>
  <c r="Q228"/>
  <c r="Q226"/>
  <c r="Q223"/>
  <c r="H222"/>
  <c r="I222" s="1"/>
  <c r="X222" s="1"/>
  <c r="Q220"/>
  <c r="Q219"/>
  <c r="Q218"/>
  <c r="Q217"/>
  <c r="M219"/>
  <c r="M227"/>
  <c r="M235"/>
  <c r="N247"/>
  <c r="M223"/>
  <c r="L228"/>
  <c r="M236"/>
  <c r="M244"/>
  <c r="M247"/>
  <c r="H216"/>
  <c r="I216" s="1"/>
  <c r="X216" s="1"/>
  <c r="H237"/>
  <c r="I237" s="1"/>
  <c r="X237" s="1"/>
  <c r="H244"/>
  <c r="I244" s="1"/>
  <c r="X244" s="1"/>
  <c r="H221"/>
  <c r="I221" s="1"/>
  <c r="X221" s="1"/>
  <c r="H224"/>
  <c r="N225"/>
  <c r="H229"/>
  <c r="N230"/>
  <c r="N231"/>
  <c r="N232"/>
  <c r="N233"/>
  <c r="L238"/>
  <c r="L239"/>
  <c r="L242"/>
  <c r="L243"/>
  <c r="Q244"/>
  <c r="H245"/>
  <c r="H219"/>
  <c r="N220"/>
  <c r="H225"/>
  <c r="M225"/>
  <c r="H226"/>
  <c r="H230"/>
  <c r="M230"/>
  <c r="H231"/>
  <c r="M231"/>
  <c r="H232"/>
  <c r="M232"/>
  <c r="H233"/>
  <c r="M233"/>
  <c r="H234"/>
  <c r="H247"/>
  <c r="H248"/>
  <c r="H249"/>
  <c r="H220"/>
  <c r="H227"/>
  <c r="H235"/>
  <c r="H236"/>
  <c r="N242"/>
  <c r="N243"/>
  <c r="H242"/>
  <c r="H243"/>
  <c r="Q170"/>
  <c r="Q171"/>
  <c r="Q174"/>
  <c r="Q175"/>
  <c r="Q176"/>
  <c r="Q178"/>
  <c r="Q179"/>
  <c r="Q180"/>
  <c r="Q181"/>
  <c r="Q182"/>
  <c r="L130"/>
  <c r="L135"/>
  <c r="Q152"/>
  <c r="H150"/>
  <c r="I150" s="1"/>
  <c r="X150" s="1"/>
  <c r="H153"/>
  <c r="I153" s="1"/>
  <c r="X153" s="1"/>
  <c r="H213"/>
  <c r="I213" s="1"/>
  <c r="X213" s="1"/>
  <c r="N197"/>
  <c r="H200"/>
  <c r="I200" s="1"/>
  <c r="X200" s="1"/>
  <c r="H201"/>
  <c r="I201" s="1"/>
  <c r="X201" s="1"/>
  <c r="Q208"/>
  <c r="H161"/>
  <c r="I161" s="1"/>
  <c r="X161" s="1"/>
  <c r="Q165"/>
  <c r="Q167"/>
  <c r="L148"/>
  <c r="Q160"/>
  <c r="Q197"/>
  <c r="H203"/>
  <c r="I203" s="1"/>
  <c r="X203" s="1"/>
  <c r="H198"/>
  <c r="I198" s="1"/>
  <c r="X198" s="1"/>
  <c r="H199"/>
  <c r="I199" s="1"/>
  <c r="X199" s="1"/>
  <c r="H202"/>
  <c r="I202" s="1"/>
  <c r="X202" s="1"/>
  <c r="M203"/>
  <c r="L208"/>
  <c r="H211"/>
  <c r="I211" s="1"/>
  <c r="X211" s="1"/>
  <c r="Q212"/>
  <c r="Q213"/>
  <c r="Q204"/>
  <c r="N204"/>
  <c r="H206"/>
  <c r="I206" s="1"/>
  <c r="H157"/>
  <c r="I157" s="1"/>
  <c r="X157" s="1"/>
  <c r="Q159"/>
  <c r="H167"/>
  <c r="I167" s="1"/>
  <c r="X167" s="1"/>
  <c r="Q169"/>
  <c r="Q173"/>
  <c r="Q177"/>
  <c r="Q199"/>
  <c r="N200"/>
  <c r="M204"/>
  <c r="H205"/>
  <c r="I205" s="1"/>
  <c r="X205" s="1"/>
  <c r="Q209"/>
  <c r="N148"/>
  <c r="Q166"/>
  <c r="Q201"/>
  <c r="H208"/>
  <c r="I208" s="1"/>
  <c r="X208" s="1"/>
  <c r="N149"/>
  <c r="Q154"/>
  <c r="Q158"/>
  <c r="Q162"/>
  <c r="Q163"/>
  <c r="Q164"/>
  <c r="Q168"/>
  <c r="Q172"/>
  <c r="H171"/>
  <c r="I171" s="1"/>
  <c r="X171" s="1"/>
  <c r="H175"/>
  <c r="I175" s="1"/>
  <c r="X175" s="1"/>
  <c r="H183"/>
  <c r="I183" s="1"/>
  <c r="X183" s="1"/>
  <c r="Q145"/>
  <c r="Q146"/>
  <c r="Q147"/>
  <c r="Q149"/>
  <c r="Q156"/>
  <c r="H155"/>
  <c r="I155" s="1"/>
  <c r="X155" s="1"/>
  <c r="H159"/>
  <c r="I159" s="1"/>
  <c r="X159" s="1"/>
  <c r="H165"/>
  <c r="I165" s="1"/>
  <c r="X165" s="1"/>
  <c r="H169"/>
  <c r="I169" s="1"/>
  <c r="X169" s="1"/>
  <c r="H173"/>
  <c r="I173" s="1"/>
  <c r="X173" s="1"/>
  <c r="H177"/>
  <c r="I177" s="1"/>
  <c r="X177" s="1"/>
  <c r="H184"/>
  <c r="I184" s="1"/>
  <c r="X184" s="1"/>
  <c r="H185"/>
  <c r="I185" s="1"/>
  <c r="X185" s="1"/>
  <c r="H186"/>
  <c r="I186" s="1"/>
  <c r="X186" s="1"/>
  <c r="H187"/>
  <c r="I187" s="1"/>
  <c r="X187" s="1"/>
  <c r="H188"/>
  <c r="I188" s="1"/>
  <c r="X188" s="1"/>
  <c r="H189"/>
  <c r="I189" s="1"/>
  <c r="X189" s="1"/>
  <c r="H190"/>
  <c r="I190" s="1"/>
  <c r="X190" s="1"/>
  <c r="H191"/>
  <c r="I191" s="1"/>
  <c r="X191" s="1"/>
  <c r="H192"/>
  <c r="I192" s="1"/>
  <c r="X192" s="1"/>
  <c r="H193"/>
  <c r="I193" s="1"/>
  <c r="X193" s="1"/>
  <c r="H194"/>
  <c r="I194" s="1"/>
  <c r="X194" s="1"/>
  <c r="H195"/>
  <c r="I195" s="1"/>
  <c r="X195" s="1"/>
  <c r="H196"/>
  <c r="I196" s="1"/>
  <c r="X196" s="1"/>
  <c r="H197"/>
  <c r="I197" s="1"/>
  <c r="X197" s="1"/>
  <c r="N198"/>
  <c r="N201"/>
  <c r="N203"/>
  <c r="H207"/>
  <c r="I207" s="1"/>
  <c r="X207" s="1"/>
  <c r="M208"/>
  <c r="H209"/>
  <c r="I209" s="1"/>
  <c r="X209" s="1"/>
  <c r="Q214"/>
  <c r="Q189"/>
  <c r="Q187"/>
  <c r="Q186"/>
  <c r="Q184"/>
  <c r="H182"/>
  <c r="I182" s="1"/>
  <c r="X182" s="1"/>
  <c r="H214"/>
  <c r="I214" s="1"/>
  <c r="X214" s="1"/>
  <c r="H212"/>
  <c r="I212" s="1"/>
  <c r="X212" s="1"/>
  <c r="Q211"/>
  <c r="Q207"/>
  <c r="Q205"/>
  <c r="Q203"/>
  <c r="Q202"/>
  <c r="Q200"/>
  <c r="Q198"/>
  <c r="Q196"/>
  <c r="Q195"/>
  <c r="Q194"/>
  <c r="Q193"/>
  <c r="Q192"/>
  <c r="Q191"/>
  <c r="Q190"/>
  <c r="Q188"/>
  <c r="Q183"/>
  <c r="Q185"/>
  <c r="H181"/>
  <c r="I181" s="1"/>
  <c r="X181" s="1"/>
  <c r="H180"/>
  <c r="I180" s="1"/>
  <c r="X180" s="1"/>
  <c r="N185"/>
  <c r="N186"/>
  <c r="N187"/>
  <c r="N188"/>
  <c r="N189"/>
  <c r="N190"/>
  <c r="N191"/>
  <c r="N192"/>
  <c r="N193"/>
  <c r="N194"/>
  <c r="N195"/>
  <c r="N196"/>
  <c r="M185"/>
  <c r="M186"/>
  <c r="M187"/>
  <c r="M188"/>
  <c r="M189"/>
  <c r="M190"/>
  <c r="M191"/>
  <c r="M192"/>
  <c r="M193"/>
  <c r="M194"/>
  <c r="M195"/>
  <c r="M196"/>
  <c r="M197"/>
  <c r="M198"/>
  <c r="M199"/>
  <c r="M200"/>
  <c r="M201"/>
  <c r="L205"/>
  <c r="M206"/>
  <c r="L209"/>
  <c r="M211"/>
  <c r="M212"/>
  <c r="M213"/>
  <c r="M214"/>
  <c r="L206"/>
  <c r="M207"/>
  <c r="L211"/>
  <c r="L212"/>
  <c r="L213"/>
  <c r="L214"/>
  <c r="N184"/>
  <c r="M184"/>
  <c r="H179"/>
  <c r="I179" s="1"/>
  <c r="X179" s="1"/>
  <c r="H178"/>
  <c r="I178" s="1"/>
  <c r="X178" s="1"/>
  <c r="H176"/>
  <c r="I176" s="1"/>
  <c r="X176" s="1"/>
  <c r="H174"/>
  <c r="I174" s="1"/>
  <c r="X174" s="1"/>
  <c r="H172"/>
  <c r="I172" s="1"/>
  <c r="X172" s="1"/>
  <c r="H170"/>
  <c r="I170" s="1"/>
  <c r="X170" s="1"/>
  <c r="H168"/>
  <c r="I168" s="1"/>
  <c r="X168" s="1"/>
  <c r="H166"/>
  <c r="I166" s="1"/>
  <c r="X166" s="1"/>
  <c r="H164"/>
  <c r="I164" s="1"/>
  <c r="X164" s="1"/>
  <c r="H163"/>
  <c r="I163" s="1"/>
  <c r="X163" s="1"/>
  <c r="H162"/>
  <c r="I162" s="1"/>
  <c r="X162" s="1"/>
  <c r="H160"/>
  <c r="I160" s="1"/>
  <c r="X160" s="1"/>
  <c r="H158"/>
  <c r="I158" s="1"/>
  <c r="X158" s="1"/>
  <c r="H156"/>
  <c r="I156" s="1"/>
  <c r="X156" s="1"/>
  <c r="H154"/>
  <c r="I154" s="1"/>
  <c r="X154" s="1"/>
  <c r="Q148"/>
  <c r="L150"/>
  <c r="M149"/>
  <c r="N150"/>
  <c r="M152"/>
  <c r="M153"/>
  <c r="M154"/>
  <c r="M155"/>
  <c r="M156"/>
  <c r="M157"/>
  <c r="M158"/>
  <c r="M159"/>
  <c r="M160"/>
  <c r="M161"/>
  <c r="M162"/>
  <c r="M163"/>
  <c r="M164"/>
  <c r="M165"/>
  <c r="M166"/>
  <c r="M167"/>
  <c r="M168"/>
  <c r="M169"/>
  <c r="M170"/>
  <c r="M171"/>
  <c r="M172"/>
  <c r="M173"/>
  <c r="M174"/>
  <c r="M175"/>
  <c r="M176"/>
  <c r="M177"/>
  <c r="M178"/>
  <c r="M179"/>
  <c r="M180"/>
  <c r="M181"/>
  <c r="M182"/>
  <c r="Q151"/>
  <c r="L153"/>
  <c r="L154"/>
  <c r="L155"/>
  <c r="L156"/>
  <c r="L157"/>
  <c r="L158"/>
  <c r="L159"/>
  <c r="L160"/>
  <c r="L161"/>
  <c r="L162"/>
  <c r="L163"/>
  <c r="L164"/>
  <c r="L165"/>
  <c r="L166"/>
  <c r="L167"/>
  <c r="L168"/>
  <c r="L169"/>
  <c r="L170"/>
  <c r="L171"/>
  <c r="L172"/>
  <c r="L173"/>
  <c r="L174"/>
  <c r="L175"/>
  <c r="L176"/>
  <c r="L177"/>
  <c r="L178"/>
  <c r="L179"/>
  <c r="L180"/>
  <c r="L181"/>
  <c r="L182"/>
  <c r="H152"/>
  <c r="I152" s="1"/>
  <c r="X152" s="1"/>
  <c r="H151"/>
  <c r="I151" s="1"/>
  <c r="Q150"/>
  <c r="H149"/>
  <c r="I149" s="1"/>
  <c r="X149" s="1"/>
  <c r="H148"/>
  <c r="I148" s="1"/>
  <c r="X148" s="1"/>
  <c r="H147"/>
  <c r="I147" s="1"/>
  <c r="X147" s="1"/>
  <c r="H146"/>
  <c r="I146" s="1"/>
  <c r="X146" s="1"/>
  <c r="H145"/>
  <c r="I145" s="1"/>
  <c r="X145" s="1"/>
  <c r="H102"/>
  <c r="H129"/>
  <c r="I129" s="1"/>
  <c r="X129" s="1"/>
  <c r="Q127"/>
  <c r="Q130"/>
  <c r="H131"/>
  <c r="I131" s="1"/>
  <c r="X131" s="1"/>
  <c r="Q139"/>
  <c r="Q141"/>
  <c r="Q143"/>
  <c r="H141"/>
  <c r="I141" s="1"/>
  <c r="X141" s="1"/>
  <c r="H127"/>
  <c r="I127" s="1"/>
  <c r="X127" s="1"/>
  <c r="N129"/>
  <c r="H135"/>
  <c r="I135" s="1"/>
  <c r="X135" s="1"/>
  <c r="H139"/>
  <c r="I139" s="1"/>
  <c r="X139" s="1"/>
  <c r="H143"/>
  <c r="I143" s="1"/>
  <c r="X143" s="1"/>
  <c r="M137"/>
  <c r="H114"/>
  <c r="I114" s="1"/>
  <c r="X114" s="1"/>
  <c r="N127"/>
  <c r="Q128"/>
  <c r="Q131"/>
  <c r="Q134"/>
  <c r="Q135"/>
  <c r="L137"/>
  <c r="Q138"/>
  <c r="Q142"/>
  <c r="Q123"/>
  <c r="Q124"/>
  <c r="Q125"/>
  <c r="Q126"/>
  <c r="L129"/>
  <c r="Q129"/>
  <c r="H130"/>
  <c r="I130" s="1"/>
  <c r="X130" s="1"/>
  <c r="Q132"/>
  <c r="Q133"/>
  <c r="Q136"/>
  <c r="Q137"/>
  <c r="Q140"/>
  <c r="Q144"/>
  <c r="H144"/>
  <c r="I144" s="1"/>
  <c r="X144" s="1"/>
  <c r="H142"/>
  <c r="I142" s="1"/>
  <c r="X142" s="1"/>
  <c r="H140"/>
  <c r="I140" s="1"/>
  <c r="X140" s="1"/>
  <c r="H138"/>
  <c r="I138" s="1"/>
  <c r="X138" s="1"/>
  <c r="H137"/>
  <c r="I137" s="1"/>
  <c r="X137" s="1"/>
  <c r="H136"/>
  <c r="I136" s="1"/>
  <c r="X136" s="1"/>
  <c r="H134"/>
  <c r="I134" s="1"/>
  <c r="X134" s="1"/>
  <c r="H133"/>
  <c r="I133" s="1"/>
  <c r="H132"/>
  <c r="I132" s="1"/>
  <c r="X132" s="1"/>
  <c r="H128"/>
  <c r="I128" s="1"/>
  <c r="X128" s="1"/>
  <c r="H126"/>
  <c r="I126" s="1"/>
  <c r="X126" s="1"/>
  <c r="H125"/>
  <c r="I125" s="1"/>
  <c r="X125" s="1"/>
  <c r="H124"/>
  <c r="I124" s="1"/>
  <c r="X124" s="1"/>
  <c r="H123"/>
  <c r="I123" s="1"/>
  <c r="X123" s="1"/>
  <c r="N132"/>
  <c r="N136"/>
  <c r="N130"/>
  <c r="M131"/>
  <c r="N134"/>
  <c r="M135"/>
  <c r="N138"/>
  <c r="M139"/>
  <c r="M140"/>
  <c r="M141"/>
  <c r="M142"/>
  <c r="M143"/>
  <c r="M144"/>
  <c r="M145"/>
  <c r="M146"/>
  <c r="M147"/>
  <c r="L139"/>
  <c r="L140"/>
  <c r="L141"/>
  <c r="L142"/>
  <c r="L143"/>
  <c r="L144"/>
  <c r="L145"/>
  <c r="L146"/>
  <c r="L147"/>
  <c r="L127"/>
  <c r="L128"/>
  <c r="L132"/>
  <c r="L134"/>
  <c r="L136"/>
  <c r="L138"/>
  <c r="L117"/>
  <c r="Q122"/>
  <c r="N128"/>
  <c r="M114"/>
  <c r="M125"/>
  <c r="M126"/>
  <c r="L125"/>
  <c r="L126"/>
  <c r="L114"/>
  <c r="H122"/>
  <c r="I122" s="1"/>
  <c r="X122" s="1"/>
  <c r="H119"/>
  <c r="I119" s="1"/>
  <c r="X119" s="1"/>
  <c r="M116"/>
  <c r="Q118"/>
  <c r="Q121"/>
  <c r="H115"/>
  <c r="I115" s="1"/>
  <c r="X115" s="1"/>
  <c r="M115"/>
  <c r="Q112"/>
  <c r="Q114"/>
  <c r="L115"/>
  <c r="Q116"/>
  <c r="Q119"/>
  <c r="H113"/>
  <c r="I113" s="1"/>
  <c r="X113" s="1"/>
  <c r="H112"/>
  <c r="I112" s="1"/>
  <c r="X112" s="1"/>
  <c r="H121"/>
  <c r="I121" s="1"/>
  <c r="X121" s="1"/>
  <c r="Q115"/>
  <c r="Q113"/>
  <c r="L116"/>
  <c r="Q117"/>
  <c r="M119"/>
  <c r="L121"/>
  <c r="M122"/>
  <c r="M123"/>
  <c r="M124"/>
  <c r="M117"/>
  <c r="L119"/>
  <c r="Q120"/>
  <c r="L122"/>
  <c r="L123"/>
  <c r="L124"/>
  <c r="H120"/>
  <c r="I120" s="1"/>
  <c r="H118"/>
  <c r="I118" s="1"/>
  <c r="X118" s="1"/>
  <c r="H117"/>
  <c r="I117" s="1"/>
  <c r="X117" s="1"/>
  <c r="H116"/>
  <c r="I116" s="1"/>
  <c r="X116" s="1"/>
  <c r="W111"/>
  <c r="U111"/>
  <c r="R111"/>
  <c r="P111"/>
  <c r="O111"/>
  <c r="K111"/>
  <c r="M111" s="1"/>
  <c r="G111"/>
  <c r="B111"/>
  <c r="W110"/>
  <c r="U110"/>
  <c r="R110"/>
  <c r="P110"/>
  <c r="O110"/>
  <c r="K110"/>
  <c r="M110" s="1"/>
  <c r="G110"/>
  <c r="B110"/>
  <c r="W109"/>
  <c r="U109"/>
  <c r="R109"/>
  <c r="P109"/>
  <c r="O109"/>
  <c r="K109"/>
  <c r="M109" s="1"/>
  <c r="G109"/>
  <c r="B109"/>
  <c r="W108"/>
  <c r="U108"/>
  <c r="R108"/>
  <c r="P108"/>
  <c r="O108"/>
  <c r="L108"/>
  <c r="M108"/>
  <c r="G108"/>
  <c r="B108"/>
  <c r="W107"/>
  <c r="U107"/>
  <c r="R107"/>
  <c r="P107"/>
  <c r="O107"/>
  <c r="M107"/>
  <c r="G107"/>
  <c r="B107"/>
  <c r="W106"/>
  <c r="U106"/>
  <c r="R106"/>
  <c r="P106"/>
  <c r="O106"/>
  <c r="M106"/>
  <c r="G106"/>
  <c r="B106"/>
  <c r="W105"/>
  <c r="U105"/>
  <c r="R105"/>
  <c r="P105"/>
  <c r="O105"/>
  <c r="M105"/>
  <c r="G105"/>
  <c r="B105"/>
  <c r="W104"/>
  <c r="U104"/>
  <c r="R104"/>
  <c r="P104"/>
  <c r="O104"/>
  <c r="N104"/>
  <c r="L104"/>
  <c r="M104"/>
  <c r="G104"/>
  <c r="B104"/>
  <c r="W103"/>
  <c r="U103"/>
  <c r="R103"/>
  <c r="P103"/>
  <c r="O103"/>
  <c r="M103"/>
  <c r="G103"/>
  <c r="B103"/>
  <c r="W101"/>
  <c r="U101"/>
  <c r="R101"/>
  <c r="P101"/>
  <c r="O101"/>
  <c r="M101"/>
  <c r="G101"/>
  <c r="B101"/>
  <c r="W100"/>
  <c r="U100"/>
  <c r="R100"/>
  <c r="P100"/>
  <c r="O100"/>
  <c r="M100"/>
  <c r="G100"/>
  <c r="B100"/>
  <c r="W99"/>
  <c r="U99"/>
  <c r="R99"/>
  <c r="P99"/>
  <c r="O99"/>
  <c r="K99"/>
  <c r="M99" s="1"/>
  <c r="G99"/>
  <c r="B99"/>
  <c r="W98"/>
  <c r="U98"/>
  <c r="R98"/>
  <c r="P98"/>
  <c r="O98"/>
  <c r="K98"/>
  <c r="M98" s="1"/>
  <c r="G98"/>
  <c r="B98"/>
  <c r="W97"/>
  <c r="U97"/>
  <c r="R97"/>
  <c r="P97"/>
  <c r="O97"/>
  <c r="M97"/>
  <c r="G97"/>
  <c r="B97"/>
  <c r="W96"/>
  <c r="U96"/>
  <c r="R96"/>
  <c r="P96"/>
  <c r="O96"/>
  <c r="L96"/>
  <c r="M96"/>
  <c r="G96"/>
  <c r="B96"/>
  <c r="W95"/>
  <c r="U95"/>
  <c r="R95"/>
  <c r="P95"/>
  <c r="O95"/>
  <c r="N95"/>
  <c r="M95"/>
  <c r="G95"/>
  <c r="B95"/>
  <c r="W94"/>
  <c r="U94"/>
  <c r="R94"/>
  <c r="P94"/>
  <c r="O94"/>
  <c r="M94"/>
  <c r="G94"/>
  <c r="B94"/>
  <c r="W93"/>
  <c r="U93"/>
  <c r="R93"/>
  <c r="P93"/>
  <c r="O93"/>
  <c r="M93"/>
  <c r="G93"/>
  <c r="B93"/>
  <c r="W92"/>
  <c r="U92"/>
  <c r="R92"/>
  <c r="P92"/>
  <c r="O92"/>
  <c r="L92"/>
  <c r="G92"/>
  <c r="B92"/>
  <c r="W91"/>
  <c r="U91"/>
  <c r="R91"/>
  <c r="P91"/>
  <c r="O91"/>
  <c r="K91"/>
  <c r="M91" s="1"/>
  <c r="G91"/>
  <c r="B91"/>
  <c r="W90"/>
  <c r="U90"/>
  <c r="R90"/>
  <c r="P90"/>
  <c r="O90"/>
  <c r="M90"/>
  <c r="N90"/>
  <c r="G90"/>
  <c r="B90"/>
  <c r="W89"/>
  <c r="U89"/>
  <c r="R89"/>
  <c r="P89"/>
  <c r="O89"/>
  <c r="K89"/>
  <c r="N89" s="1"/>
  <c r="G89"/>
  <c r="B89"/>
  <c r="W88"/>
  <c r="U88"/>
  <c r="R88"/>
  <c r="P88"/>
  <c r="O88"/>
  <c r="N88"/>
  <c r="M88"/>
  <c r="L88"/>
  <c r="G88"/>
  <c r="B88"/>
  <c r="W87"/>
  <c r="U87"/>
  <c r="R87"/>
  <c r="P87"/>
  <c r="O87"/>
  <c r="L87"/>
  <c r="G87"/>
  <c r="B87"/>
  <c r="W86"/>
  <c r="U86"/>
  <c r="R86"/>
  <c r="P86"/>
  <c r="O86"/>
  <c r="K86"/>
  <c r="L86" s="1"/>
  <c r="G86"/>
  <c r="B86"/>
  <c r="W85"/>
  <c r="U85"/>
  <c r="R85"/>
  <c r="P85"/>
  <c r="O85"/>
  <c r="K85"/>
  <c r="N85" s="1"/>
  <c r="G85"/>
  <c r="B85"/>
  <c r="W84"/>
  <c r="U84"/>
  <c r="R84"/>
  <c r="P84"/>
  <c r="O84"/>
  <c r="K84"/>
  <c r="L84" s="1"/>
  <c r="G84"/>
  <c r="B84"/>
  <c r="W83"/>
  <c r="U83"/>
  <c r="R83"/>
  <c r="P83"/>
  <c r="O83"/>
  <c r="K83"/>
  <c r="L83" s="1"/>
  <c r="G83"/>
  <c r="B83"/>
  <c r="W82"/>
  <c r="U82"/>
  <c r="R82"/>
  <c r="P82"/>
  <c r="O82"/>
  <c r="K82"/>
  <c r="N82" s="1"/>
  <c r="G82"/>
  <c r="B82"/>
  <c r="W81"/>
  <c r="U81"/>
  <c r="R81"/>
  <c r="P81"/>
  <c r="O81"/>
  <c r="K81"/>
  <c r="N81" s="1"/>
  <c r="G81"/>
  <c r="B81"/>
  <c r="W80"/>
  <c r="U80"/>
  <c r="R80"/>
  <c r="P80"/>
  <c r="O80"/>
  <c r="K80"/>
  <c r="N80" s="1"/>
  <c r="G80"/>
  <c r="B80"/>
  <c r="W79"/>
  <c r="U79"/>
  <c r="R79"/>
  <c r="P79"/>
  <c r="O79"/>
  <c r="K79"/>
  <c r="N79" s="1"/>
  <c r="G79"/>
  <c r="B79"/>
  <c r="W78"/>
  <c r="U78"/>
  <c r="R78"/>
  <c r="P78"/>
  <c r="O78"/>
  <c r="K78"/>
  <c r="L78" s="1"/>
  <c r="G78"/>
  <c r="B78"/>
  <c r="W77"/>
  <c r="U77"/>
  <c r="R77"/>
  <c r="P77"/>
  <c r="O77"/>
  <c r="K77"/>
  <c r="L77" s="1"/>
  <c r="G77"/>
  <c r="B77"/>
  <c r="W76"/>
  <c r="U76"/>
  <c r="R76"/>
  <c r="P76"/>
  <c r="O76"/>
  <c r="K76"/>
  <c r="L76" s="1"/>
  <c r="G76"/>
  <c r="B76"/>
  <c r="W75"/>
  <c r="W74"/>
  <c r="W50"/>
  <c r="W51"/>
  <c r="W52"/>
  <c r="W53"/>
  <c r="W54"/>
  <c r="W55"/>
  <c r="W56"/>
  <c r="W57"/>
  <c r="W58"/>
  <c r="W59"/>
  <c r="W60"/>
  <c r="W61"/>
  <c r="W62"/>
  <c r="W63"/>
  <c r="W64"/>
  <c r="W65"/>
  <c r="W66"/>
  <c r="W67"/>
  <c r="W68"/>
  <c r="W69"/>
  <c r="W70"/>
  <c r="W71"/>
  <c r="W72"/>
  <c r="W73"/>
  <c r="W37"/>
  <c r="W38"/>
  <c r="W39"/>
  <c r="W40"/>
  <c r="W41"/>
  <c r="W42"/>
  <c r="W43"/>
  <c r="W44"/>
  <c r="W45"/>
  <c r="W46"/>
  <c r="W47"/>
  <c r="W48"/>
  <c r="W49"/>
  <c r="W3"/>
  <c r="W4"/>
  <c r="W5"/>
  <c r="W6"/>
  <c r="W7"/>
  <c r="W8"/>
  <c r="W9"/>
  <c r="W10"/>
  <c r="W11"/>
  <c r="W12"/>
  <c r="W13"/>
  <c r="W14"/>
  <c r="W15"/>
  <c r="W16"/>
  <c r="W17"/>
  <c r="W18"/>
  <c r="W19"/>
  <c r="W20"/>
  <c r="W21"/>
  <c r="W22"/>
  <c r="W23"/>
  <c r="W24"/>
  <c r="W25"/>
  <c r="W26"/>
  <c r="W27"/>
  <c r="W28"/>
  <c r="W29"/>
  <c r="W30"/>
  <c r="W31"/>
  <c r="W32"/>
  <c r="W33"/>
  <c r="W34"/>
  <c r="W35"/>
  <c r="W36"/>
  <c r="W2"/>
  <c r="E14" i="17"/>
  <c r="E16"/>
  <c r="D20"/>
  <c r="E20"/>
  <c r="D40"/>
  <c r="E40"/>
  <c r="D47"/>
  <c r="E47"/>
  <c r="C20"/>
  <c r="C18"/>
  <c r="C16"/>
  <c r="O2" i="12"/>
  <c r="P2"/>
  <c r="Q2"/>
  <c r="U75" i="4"/>
  <c r="R75"/>
  <c r="P75"/>
  <c r="O75"/>
  <c r="K75"/>
  <c r="N75" s="1"/>
  <c r="G75"/>
  <c r="B75"/>
  <c r="U74"/>
  <c r="R74"/>
  <c r="P74"/>
  <c r="O74"/>
  <c r="K74"/>
  <c r="M74" s="1"/>
  <c r="G74"/>
  <c r="B74"/>
  <c r="U73"/>
  <c r="R73"/>
  <c r="P73"/>
  <c r="O73"/>
  <c r="K73"/>
  <c r="L73" s="1"/>
  <c r="G73"/>
  <c r="B73"/>
  <c r="U72"/>
  <c r="R72"/>
  <c r="O72"/>
  <c r="K72"/>
  <c r="M72" s="1"/>
  <c r="G72"/>
  <c r="B72"/>
  <c r="U71"/>
  <c r="R71"/>
  <c r="P71"/>
  <c r="O71"/>
  <c r="K71"/>
  <c r="N71" s="1"/>
  <c r="G71"/>
  <c r="B71"/>
  <c r="U70"/>
  <c r="R70"/>
  <c r="P70"/>
  <c r="O70"/>
  <c r="L70"/>
  <c r="M70"/>
  <c r="G70"/>
  <c r="B70"/>
  <c r="U69"/>
  <c r="R69"/>
  <c r="P69"/>
  <c r="O69"/>
  <c r="K69"/>
  <c r="L69" s="1"/>
  <c r="G69"/>
  <c r="B69"/>
  <c r="U68"/>
  <c r="R68"/>
  <c r="P68"/>
  <c r="O68"/>
  <c r="K68"/>
  <c r="L68" s="1"/>
  <c r="G68"/>
  <c r="B68"/>
  <c r="U67"/>
  <c r="R67"/>
  <c r="P67"/>
  <c r="O67"/>
  <c r="M67"/>
  <c r="L67"/>
  <c r="N67"/>
  <c r="G67"/>
  <c r="B67"/>
  <c r="U66"/>
  <c r="R66"/>
  <c r="O66"/>
  <c r="K66"/>
  <c r="M66" s="1"/>
  <c r="G66"/>
  <c r="B66"/>
  <c r="U65"/>
  <c r="R65"/>
  <c r="P65"/>
  <c r="O65"/>
  <c r="L65"/>
  <c r="G65"/>
  <c r="B65"/>
  <c r="U64"/>
  <c r="R64"/>
  <c r="P64"/>
  <c r="O64"/>
  <c r="N64"/>
  <c r="M64"/>
  <c r="L64"/>
  <c r="G64"/>
  <c r="B64"/>
  <c r="U63"/>
  <c r="R63"/>
  <c r="P63"/>
  <c r="O63"/>
  <c r="M63"/>
  <c r="L63"/>
  <c r="N63"/>
  <c r="G63"/>
  <c r="B63"/>
  <c r="U62"/>
  <c r="R62"/>
  <c r="O62"/>
  <c r="L62"/>
  <c r="M62"/>
  <c r="G62"/>
  <c r="B62"/>
  <c r="U61"/>
  <c r="R61"/>
  <c r="P61"/>
  <c r="O61"/>
  <c r="K61"/>
  <c r="M61" s="1"/>
  <c r="G61"/>
  <c r="B61"/>
  <c r="U60"/>
  <c r="R60"/>
  <c r="P60"/>
  <c r="O60"/>
  <c r="L60"/>
  <c r="G60"/>
  <c r="B60"/>
  <c r="U59"/>
  <c r="R59"/>
  <c r="O59"/>
  <c r="K59"/>
  <c r="L59" s="1"/>
  <c r="G59"/>
  <c r="B59"/>
  <c r="U58"/>
  <c r="R58"/>
  <c r="P58"/>
  <c r="O58"/>
  <c r="K58"/>
  <c r="N58" s="1"/>
  <c r="G58"/>
  <c r="B58"/>
  <c r="U57"/>
  <c r="R57"/>
  <c r="O57"/>
  <c r="K57"/>
  <c r="M57" s="1"/>
  <c r="G57"/>
  <c r="B57"/>
  <c r="U56"/>
  <c r="R56"/>
  <c r="O56"/>
  <c r="K56"/>
  <c r="L56" s="1"/>
  <c r="G56"/>
  <c r="B56"/>
  <c r="U55"/>
  <c r="R55"/>
  <c r="P55"/>
  <c r="O55"/>
  <c r="N55"/>
  <c r="M55"/>
  <c r="L55"/>
  <c r="G55"/>
  <c r="B55"/>
  <c r="U54"/>
  <c r="R54"/>
  <c r="O54"/>
  <c r="K54"/>
  <c r="N54" s="1"/>
  <c r="G54"/>
  <c r="B54"/>
  <c r="U53"/>
  <c r="R53"/>
  <c r="P53"/>
  <c r="O53"/>
  <c r="K53"/>
  <c r="M53" s="1"/>
  <c r="G53"/>
  <c r="B53"/>
  <c r="U52"/>
  <c r="R52"/>
  <c r="P52"/>
  <c r="O52"/>
  <c r="K52"/>
  <c r="L52" s="1"/>
  <c r="G52"/>
  <c r="B52"/>
  <c r="U51"/>
  <c r="R51"/>
  <c r="O51"/>
  <c r="K51"/>
  <c r="L51" s="1"/>
  <c r="G51"/>
  <c r="B51"/>
  <c r="U50"/>
  <c r="R50"/>
  <c r="P50"/>
  <c r="O50"/>
  <c r="K50"/>
  <c r="N50" s="1"/>
  <c r="G50"/>
  <c r="B50"/>
  <c r="U49"/>
  <c r="R49"/>
  <c r="P49"/>
  <c r="O49"/>
  <c r="L49"/>
  <c r="M49"/>
  <c r="G49"/>
  <c r="B49"/>
  <c r="U48"/>
  <c r="R48"/>
  <c r="O48"/>
  <c r="K48"/>
  <c r="L48" s="1"/>
  <c r="G48"/>
  <c r="B48"/>
  <c r="U47"/>
  <c r="R47"/>
  <c r="O47"/>
  <c r="K47"/>
  <c r="N47" s="1"/>
  <c r="G47"/>
  <c r="B47"/>
  <c r="U46"/>
  <c r="R46"/>
  <c r="O46"/>
  <c r="K46"/>
  <c r="N46" s="1"/>
  <c r="G46"/>
  <c r="B46"/>
  <c r="U45"/>
  <c r="R45"/>
  <c r="P45"/>
  <c r="O45"/>
  <c r="K45"/>
  <c r="M45" s="1"/>
  <c r="G45"/>
  <c r="B45"/>
  <c r="U44"/>
  <c r="R44"/>
  <c r="P44"/>
  <c r="O44"/>
  <c r="K44"/>
  <c r="L44" s="1"/>
  <c r="G44"/>
  <c r="B44"/>
  <c r="U43"/>
  <c r="R43"/>
  <c r="O43"/>
  <c r="K43"/>
  <c r="L43" s="1"/>
  <c r="G43"/>
  <c r="B43"/>
  <c r="U42"/>
  <c r="R42"/>
  <c r="P42"/>
  <c r="O42"/>
  <c r="K42"/>
  <c r="N42" s="1"/>
  <c r="G42"/>
  <c r="B42"/>
  <c r="U41"/>
  <c r="R41"/>
  <c r="P41"/>
  <c r="O41"/>
  <c r="K41"/>
  <c r="M41" s="1"/>
  <c r="G41"/>
  <c r="B41"/>
  <c r="U40"/>
  <c r="R40"/>
  <c r="P40"/>
  <c r="O40"/>
  <c r="L40"/>
  <c r="G40"/>
  <c r="B40"/>
  <c r="U39"/>
  <c r="R39"/>
  <c r="P39"/>
  <c r="O39"/>
  <c r="K39"/>
  <c r="N39" s="1"/>
  <c r="G39"/>
  <c r="B39"/>
  <c r="U38"/>
  <c r="R38"/>
  <c r="P38"/>
  <c r="O38"/>
  <c r="K38"/>
  <c r="N38" s="1"/>
  <c r="G38"/>
  <c r="B38"/>
  <c r="S408" l="1"/>
  <c r="M39" i="17" s="1"/>
  <c r="N4" i="8"/>
  <c r="M33" i="17"/>
  <c r="S385" i="4"/>
  <c r="M10" i="17" s="1"/>
  <c r="X385" i="4"/>
  <c r="S259"/>
  <c r="J32" i="8" s="1"/>
  <c r="X259" i="4"/>
  <c r="S293"/>
  <c r="X293"/>
  <c r="S371"/>
  <c r="V371" s="1"/>
  <c r="X371"/>
  <c r="S363"/>
  <c r="L48" i="17" s="1"/>
  <c r="S357" i="4"/>
  <c r="L17" i="17" s="1"/>
  <c r="S380" i="4"/>
  <c r="M25" i="17" s="1"/>
  <c r="S133" i="4"/>
  <c r="X133"/>
  <c r="S350"/>
  <c r="L27" i="17" s="1"/>
  <c r="X350" i="4"/>
  <c r="S382"/>
  <c r="S120"/>
  <c r="X120"/>
  <c r="S151"/>
  <c r="G25" i="13" s="1"/>
  <c r="X151" i="4"/>
  <c r="S254"/>
  <c r="X254"/>
  <c r="S406"/>
  <c r="M3" i="17" s="1"/>
  <c r="X406" i="4"/>
  <c r="S397"/>
  <c r="S366"/>
  <c r="M5" i="13" s="1"/>
  <c r="S386" i="4"/>
  <c r="M50" i="17" s="1"/>
  <c r="S351" i="4"/>
  <c r="L8" i="17" s="1"/>
  <c r="S364" i="4"/>
  <c r="M6" i="13" s="1"/>
  <c r="S407" i="4"/>
  <c r="M47" i="17" s="1"/>
  <c r="S384" i="4"/>
  <c r="N7" i="12" s="1"/>
  <c r="S410" i="4"/>
  <c r="S372"/>
  <c r="L13" i="17" s="1"/>
  <c r="S403" i="4"/>
  <c r="M6" i="17" s="1"/>
  <c r="S402" i="4"/>
  <c r="M43" i="17" s="1"/>
  <c r="S352" i="4"/>
  <c r="L10" i="17" s="1"/>
  <c r="S356" i="4"/>
  <c r="L7" i="17" s="1"/>
  <c r="S383" i="4"/>
  <c r="M27" i="17" s="1"/>
  <c r="S409" i="4"/>
  <c r="S404"/>
  <c r="S401"/>
  <c r="S400"/>
  <c r="S398"/>
  <c r="M15" i="17" s="1"/>
  <c r="S396" i="4"/>
  <c r="S394"/>
  <c r="S393"/>
  <c r="S392"/>
  <c r="N12" i="13" s="1"/>
  <c r="S389" i="4"/>
  <c r="S388"/>
  <c r="Q387"/>
  <c r="S387" s="1"/>
  <c r="S381"/>
  <c r="S405"/>
  <c r="S347"/>
  <c r="L25" i="17" s="1"/>
  <c r="S391" i="4"/>
  <c r="S411"/>
  <c r="S370"/>
  <c r="L6" i="17" s="1"/>
  <c r="S355" i="4"/>
  <c r="M13" i="13" s="1"/>
  <c r="L44" i="17"/>
  <c r="S395" i="4"/>
  <c r="N11" i="8" s="1"/>
  <c r="S280" i="4"/>
  <c r="V280" s="1"/>
  <c r="S365"/>
  <c r="L15" i="17" s="1"/>
  <c r="N17" i="13"/>
  <c r="N3" i="8"/>
  <c r="N5"/>
  <c r="N4" i="13"/>
  <c r="N14"/>
  <c r="N17" i="8"/>
  <c r="N22" i="13"/>
  <c r="N25" i="8"/>
  <c r="V379" i="4"/>
  <c r="N2" i="12"/>
  <c r="N2" i="13"/>
  <c r="L46" i="17"/>
  <c r="N6" i="13"/>
  <c r="N7" i="8"/>
  <c r="V390" i="4"/>
  <c r="N26" i="8"/>
  <c r="N23" i="13"/>
  <c r="S399" i="4"/>
  <c r="M29" i="17" s="1"/>
  <c r="L19"/>
  <c r="V385" i="4"/>
  <c r="S376"/>
  <c r="V376" s="1"/>
  <c r="S348"/>
  <c r="M10" i="8" s="1"/>
  <c r="S367" i="4"/>
  <c r="L16" i="17" s="1"/>
  <c r="S360" i="4"/>
  <c r="L35" i="17" s="1"/>
  <c r="I375" i="4"/>
  <c r="S373"/>
  <c r="L3" i="17" s="1"/>
  <c r="S369" i="4"/>
  <c r="S374"/>
  <c r="L47" i="17" s="1"/>
  <c r="S378" i="4"/>
  <c r="M24" i="8"/>
  <c r="M21" i="13"/>
  <c r="S315" i="4"/>
  <c r="K25" i="17" s="1"/>
  <c r="S340" i="4"/>
  <c r="K13" i="17" s="1"/>
  <c r="S353" i="4"/>
  <c r="L50" i="17" s="1"/>
  <c r="S281" i="4"/>
  <c r="J25" i="17" s="1"/>
  <c r="S362" i="4"/>
  <c r="M11" i="8" s="1"/>
  <c r="S368" i="4"/>
  <c r="L5" i="17" s="1"/>
  <c r="S361" i="4"/>
  <c r="M13" i="8" s="1"/>
  <c r="S358" i="4"/>
  <c r="S354"/>
  <c r="S349"/>
  <c r="S346"/>
  <c r="M4" i="8" s="1"/>
  <c r="V364" i="4"/>
  <c r="M7" i="8"/>
  <c r="S359" i="4"/>
  <c r="V359" s="1"/>
  <c r="V356"/>
  <c r="V372"/>
  <c r="M2" i="8"/>
  <c r="M2" i="13"/>
  <c r="V360" i="4"/>
  <c r="M4" i="13"/>
  <c r="M5" i="12"/>
  <c r="M17" i="8"/>
  <c r="V351" i="4"/>
  <c r="V363"/>
  <c r="M4" i="12"/>
  <c r="M16" i="8"/>
  <c r="M21"/>
  <c r="M18" i="13"/>
  <c r="I341" i="4"/>
  <c r="S318"/>
  <c r="K27" i="17" s="1"/>
  <c r="S342" i="4"/>
  <c r="V342" s="1"/>
  <c r="S324"/>
  <c r="S317"/>
  <c r="S309"/>
  <c r="J3" i="17" s="1"/>
  <c r="S312" i="4"/>
  <c r="V312" s="1"/>
  <c r="S305"/>
  <c r="V305" s="1"/>
  <c r="S283"/>
  <c r="K10" i="8" s="1"/>
  <c r="L34"/>
  <c r="S325" i="4"/>
  <c r="L23" i="13" s="1"/>
  <c r="S328" i="4"/>
  <c r="K35" i="17" s="1"/>
  <c r="I327" i="4"/>
  <c r="I339"/>
  <c r="I335"/>
  <c r="I323"/>
  <c r="I343"/>
  <c r="I319"/>
  <c r="I336"/>
  <c r="I332"/>
  <c r="I320"/>
  <c r="I331"/>
  <c r="I329"/>
  <c r="I345"/>
  <c r="I337"/>
  <c r="I333"/>
  <c r="I321"/>
  <c r="I316"/>
  <c r="I344"/>
  <c r="J17" i="17"/>
  <c r="I326" i="4"/>
  <c r="I338"/>
  <c r="I334"/>
  <c r="I322"/>
  <c r="I314"/>
  <c r="I330"/>
  <c r="S311"/>
  <c r="S289"/>
  <c r="V289" s="1"/>
  <c r="I303"/>
  <c r="S304"/>
  <c r="I306"/>
  <c r="S237"/>
  <c r="I6" i="13" s="1"/>
  <c r="S218" i="4"/>
  <c r="V218" s="1"/>
  <c r="S292"/>
  <c r="J7" i="17" s="1"/>
  <c r="S296" i="4"/>
  <c r="K12" i="8" s="1"/>
  <c r="I308" i="4"/>
  <c r="S307"/>
  <c r="V307" s="1"/>
  <c r="S295"/>
  <c r="S294"/>
  <c r="S290"/>
  <c r="S291"/>
  <c r="V291" s="1"/>
  <c r="S310"/>
  <c r="K27" i="13" s="1"/>
  <c r="V293" i="4"/>
  <c r="K26" i="8"/>
  <c r="K23" i="13"/>
  <c r="I299" i="4"/>
  <c r="I286"/>
  <c r="I282"/>
  <c r="I300"/>
  <c r="I287"/>
  <c r="I313"/>
  <c r="I297"/>
  <c r="I284"/>
  <c r="I301"/>
  <c r="I288"/>
  <c r="I302"/>
  <c r="I285"/>
  <c r="I298"/>
  <c r="I28" i="17"/>
  <c r="S221" i="4"/>
  <c r="V221" s="1"/>
  <c r="S210"/>
  <c r="V210" s="1"/>
  <c r="S263"/>
  <c r="S267"/>
  <c r="S257"/>
  <c r="S268"/>
  <c r="V254"/>
  <c r="J22" i="13"/>
  <c r="J25" i="8"/>
  <c r="J8" i="12"/>
  <c r="I273" i="4"/>
  <c r="I272"/>
  <c r="I271"/>
  <c r="I270"/>
  <c r="I269"/>
  <c r="I262"/>
  <c r="I256"/>
  <c r="I261"/>
  <c r="I260"/>
  <c r="I255"/>
  <c r="I279"/>
  <c r="I278"/>
  <c r="I277"/>
  <c r="I276"/>
  <c r="I275"/>
  <c r="I274"/>
  <c r="I266"/>
  <c r="I265"/>
  <c r="I264"/>
  <c r="I258"/>
  <c r="I253"/>
  <c r="I252"/>
  <c r="I251"/>
  <c r="I250"/>
  <c r="S241"/>
  <c r="V241" s="1"/>
  <c r="S216"/>
  <c r="S239"/>
  <c r="H29" i="17" s="1"/>
  <c r="S217" i="4"/>
  <c r="S215"/>
  <c r="V215" s="1"/>
  <c r="I246"/>
  <c r="S244"/>
  <c r="S238"/>
  <c r="S240"/>
  <c r="S228"/>
  <c r="S222"/>
  <c r="S223"/>
  <c r="I235"/>
  <c r="I220"/>
  <c r="I247"/>
  <c r="I226"/>
  <c r="I242"/>
  <c r="I236"/>
  <c r="I248"/>
  <c r="I234"/>
  <c r="I232"/>
  <c r="I230"/>
  <c r="I245"/>
  <c r="I229"/>
  <c r="I243"/>
  <c r="I227"/>
  <c r="I249"/>
  <c r="I225"/>
  <c r="I233"/>
  <c r="I231"/>
  <c r="I219"/>
  <c r="I224"/>
  <c r="S153"/>
  <c r="G14" i="13" s="1"/>
  <c r="S135" i="4"/>
  <c r="F34" i="8" s="1"/>
  <c r="S167" i="4"/>
  <c r="G34" i="8" s="1"/>
  <c r="S173" i="4"/>
  <c r="G15" i="13" s="1"/>
  <c r="S202" i="4"/>
  <c r="G46" i="17" s="1"/>
  <c r="S197" i="4"/>
  <c r="G35" i="17" s="1"/>
  <c r="S178" i="4"/>
  <c r="G30" i="8" s="1"/>
  <c r="S213" i="4"/>
  <c r="G14" i="17" s="1"/>
  <c r="S204" i="4"/>
  <c r="G29" i="17" s="1"/>
  <c r="S201" i="4"/>
  <c r="V201" s="1"/>
  <c r="S179"/>
  <c r="V179" s="1"/>
  <c r="S214"/>
  <c r="V214" s="1"/>
  <c r="S166"/>
  <c r="G16" i="8" s="1"/>
  <c r="S160" i="4"/>
  <c r="V160" s="1"/>
  <c r="S149"/>
  <c r="G22" i="13" s="1"/>
  <c r="S200" i="4"/>
  <c r="V200" s="1"/>
  <c r="S182"/>
  <c r="G24" i="17" s="1"/>
  <c r="S207" i="4"/>
  <c r="S186"/>
  <c r="G38" i="17" s="1"/>
  <c r="S155" i="4"/>
  <c r="F45" i="17" s="1"/>
  <c r="S174" i="4"/>
  <c r="G2" i="8" s="1"/>
  <c r="S195" i="4"/>
  <c r="G26" i="17" s="1"/>
  <c r="S191" i="4"/>
  <c r="G30" i="17" s="1"/>
  <c r="S177" i="4"/>
  <c r="F44" i="17" s="1"/>
  <c r="S159" i="4"/>
  <c r="G16" i="13" s="1"/>
  <c r="F40" i="8"/>
  <c r="F10" i="12"/>
  <c r="S161" i="4"/>
  <c r="F5" i="17" s="1"/>
  <c r="S164" i="4"/>
  <c r="G3" i="12" s="1"/>
  <c r="S176" i="4"/>
  <c r="G18" i="13" s="1"/>
  <c r="S169" i="4"/>
  <c r="G8" i="8" s="1"/>
  <c r="S157" i="4"/>
  <c r="F7" i="17" s="1"/>
  <c r="S148" i="4"/>
  <c r="G10" i="8" s="1"/>
  <c r="S152" i="4"/>
  <c r="F8" i="17" s="1"/>
  <c r="S170" i="4"/>
  <c r="G6" i="8" s="1"/>
  <c r="S212" i="4"/>
  <c r="G44" i="17" s="1"/>
  <c r="F17" i="13"/>
  <c r="F20" i="8"/>
  <c r="S127" i="4"/>
  <c r="V127" s="1"/>
  <c r="S165"/>
  <c r="G17" i="13" s="1"/>
  <c r="S154" i="4"/>
  <c r="G32" i="8" s="1"/>
  <c r="S162" i="4"/>
  <c r="F35" i="17" s="1"/>
  <c r="S168" i="4"/>
  <c r="G7" i="8" s="1"/>
  <c r="S208" i="4"/>
  <c r="V208" s="1"/>
  <c r="S199"/>
  <c r="G36" i="17" s="1"/>
  <c r="S189" i="4"/>
  <c r="S187"/>
  <c r="H7" i="12" s="1"/>
  <c r="S184" i="4"/>
  <c r="S211"/>
  <c r="S209"/>
  <c r="S205"/>
  <c r="S203"/>
  <c r="S198"/>
  <c r="S196"/>
  <c r="S194"/>
  <c r="S193"/>
  <c r="S192"/>
  <c r="S190"/>
  <c r="S188"/>
  <c r="H17" i="8" s="1"/>
  <c r="S183" i="4"/>
  <c r="H10" i="8" s="1"/>
  <c r="S185" i="4"/>
  <c r="H26" i="13"/>
  <c r="H33" i="8"/>
  <c r="H27" i="13"/>
  <c r="H34" i="8"/>
  <c r="S180" i="4"/>
  <c r="G33" i="17" s="1"/>
  <c r="S181" i="4"/>
  <c r="F38" i="17"/>
  <c r="G29" i="8"/>
  <c r="S175" i="4"/>
  <c r="G3" i="8" s="1"/>
  <c r="S172" i="4"/>
  <c r="G26" i="13" s="1"/>
  <c r="S171" i="4"/>
  <c r="V171" s="1"/>
  <c r="S163"/>
  <c r="F34" i="17" s="1"/>
  <c r="S158" i="4"/>
  <c r="F17" i="17" s="1"/>
  <c r="S156" i="4"/>
  <c r="G15" i="8" s="1"/>
  <c r="S140" i="4"/>
  <c r="N76"/>
  <c r="S131"/>
  <c r="E34" i="17" s="1"/>
  <c r="S150" i="4"/>
  <c r="G20" i="13" s="1"/>
  <c r="V151" i="4"/>
  <c r="S145"/>
  <c r="G2" i="12" s="1"/>
  <c r="I102" i="4"/>
  <c r="S117"/>
  <c r="S129"/>
  <c r="S116"/>
  <c r="V116" s="1"/>
  <c r="S141"/>
  <c r="N84"/>
  <c r="Q97"/>
  <c r="Q98"/>
  <c r="Q99"/>
  <c r="H110"/>
  <c r="I110" s="1"/>
  <c r="X110" s="1"/>
  <c r="N86"/>
  <c r="N99"/>
  <c r="S139"/>
  <c r="S147"/>
  <c r="F24" i="17" s="1"/>
  <c r="S132" i="4"/>
  <c r="H101"/>
  <c r="I101" s="1"/>
  <c r="X101" s="1"/>
  <c r="S130"/>
  <c r="S146"/>
  <c r="F25" i="17" s="1"/>
  <c r="S142" i="4"/>
  <c r="M84"/>
  <c r="Q86"/>
  <c r="Q110"/>
  <c r="S143"/>
  <c r="S144"/>
  <c r="S138"/>
  <c r="S137"/>
  <c r="S136"/>
  <c r="S134"/>
  <c r="V133"/>
  <c r="E6" i="17"/>
  <c r="S128" i="4"/>
  <c r="S125"/>
  <c r="S123"/>
  <c r="S126"/>
  <c r="S113"/>
  <c r="H76"/>
  <c r="I76" s="1"/>
  <c r="X76" s="1"/>
  <c r="Q74"/>
  <c r="L111"/>
  <c r="S121"/>
  <c r="S114"/>
  <c r="M76"/>
  <c r="S115"/>
  <c r="H80"/>
  <c r="I80" s="1"/>
  <c r="X80" s="1"/>
  <c r="M54"/>
  <c r="Q68"/>
  <c r="M81"/>
  <c r="L110"/>
  <c r="S124"/>
  <c r="M79"/>
  <c r="M86"/>
  <c r="M89"/>
  <c r="Q91"/>
  <c r="Q92"/>
  <c r="Q93"/>
  <c r="Q94"/>
  <c r="Q95"/>
  <c r="S112"/>
  <c r="M82"/>
  <c r="Q90"/>
  <c r="S122"/>
  <c r="M75"/>
  <c r="Q78"/>
  <c r="L82"/>
  <c r="H84"/>
  <c r="I84" s="1"/>
  <c r="X84" s="1"/>
  <c r="Q109"/>
  <c r="N78"/>
  <c r="H94"/>
  <c r="I94" s="1"/>
  <c r="X94" s="1"/>
  <c r="Q100"/>
  <c r="Q101"/>
  <c r="Q103"/>
  <c r="Q104"/>
  <c r="Q70"/>
  <c r="Q71"/>
  <c r="M78"/>
  <c r="H87"/>
  <c r="I87" s="1"/>
  <c r="X87" s="1"/>
  <c r="H91"/>
  <c r="I91" s="1"/>
  <c r="X91" s="1"/>
  <c r="S118"/>
  <c r="L57"/>
  <c r="H79"/>
  <c r="I79" s="1"/>
  <c r="X79" s="1"/>
  <c r="M80"/>
  <c r="Q82"/>
  <c r="M85"/>
  <c r="L91"/>
  <c r="Q96"/>
  <c r="Q105"/>
  <c r="Q106"/>
  <c r="Q107"/>
  <c r="Q108"/>
  <c r="N110"/>
  <c r="Q111"/>
  <c r="S119"/>
  <c r="V120"/>
  <c r="E18" i="17"/>
  <c r="H109" i="4"/>
  <c r="I109" s="1"/>
  <c r="X109" s="1"/>
  <c r="H108"/>
  <c r="I108" s="1"/>
  <c r="X108" s="1"/>
  <c r="H107"/>
  <c r="I107" s="1"/>
  <c r="X107" s="1"/>
  <c r="H106"/>
  <c r="I106" s="1"/>
  <c r="X106" s="1"/>
  <c r="H105"/>
  <c r="I105" s="1"/>
  <c r="X105" s="1"/>
  <c r="H104"/>
  <c r="I104" s="1"/>
  <c r="X104" s="1"/>
  <c r="H103"/>
  <c r="I103" s="1"/>
  <c r="X103" s="1"/>
  <c r="E44" i="17"/>
  <c r="H100" i="4"/>
  <c r="I100" s="1"/>
  <c r="X100" s="1"/>
  <c r="H111"/>
  <c r="I111" s="1"/>
  <c r="X111" s="1"/>
  <c r="N111"/>
  <c r="H99"/>
  <c r="I99" s="1"/>
  <c r="X99" s="1"/>
  <c r="H98"/>
  <c r="I98" s="1"/>
  <c r="X98" s="1"/>
  <c r="H97"/>
  <c r="I97" s="1"/>
  <c r="X97" s="1"/>
  <c r="H96"/>
  <c r="I96" s="1"/>
  <c r="X96" s="1"/>
  <c r="H95"/>
  <c r="I95" s="1"/>
  <c r="X95" s="1"/>
  <c r="H93"/>
  <c r="I93" s="1"/>
  <c r="X93" s="1"/>
  <c r="H92"/>
  <c r="I92" s="1"/>
  <c r="X92" s="1"/>
  <c r="H90"/>
  <c r="I90" s="1"/>
  <c r="X90" s="1"/>
  <c r="H39"/>
  <c r="I39" s="1"/>
  <c r="X39" s="1"/>
  <c r="M39"/>
  <c r="M77"/>
  <c r="M83"/>
  <c r="M87"/>
  <c r="Q87"/>
  <c r="N91"/>
  <c r="M92"/>
  <c r="L61"/>
  <c r="L75"/>
  <c r="H77"/>
  <c r="I77" s="1"/>
  <c r="X77" s="1"/>
  <c r="N77"/>
  <c r="L79"/>
  <c r="L80"/>
  <c r="L81"/>
  <c r="Q83"/>
  <c r="N83"/>
  <c r="L85"/>
  <c r="N87"/>
  <c r="Q88"/>
  <c r="L89"/>
  <c r="L90"/>
  <c r="N92"/>
  <c r="N108"/>
  <c r="Q79"/>
  <c r="Q80"/>
  <c r="M38"/>
  <c r="L39"/>
  <c r="L41"/>
  <c r="L42"/>
  <c r="Q75"/>
  <c r="H81"/>
  <c r="I81" s="1"/>
  <c r="X81" s="1"/>
  <c r="H85"/>
  <c r="I85" s="1"/>
  <c r="X85" s="1"/>
  <c r="H89"/>
  <c r="I89" s="1"/>
  <c r="X89" s="1"/>
  <c r="L100"/>
  <c r="L105"/>
  <c r="L109"/>
  <c r="Q89"/>
  <c r="H88"/>
  <c r="I88" s="1"/>
  <c r="X88" s="1"/>
  <c r="H86"/>
  <c r="I86" s="1"/>
  <c r="X86" s="1"/>
  <c r="Q85"/>
  <c r="Q84"/>
  <c r="H83"/>
  <c r="I83" s="1"/>
  <c r="X83" s="1"/>
  <c r="H82"/>
  <c r="I82" s="1"/>
  <c r="X82" s="1"/>
  <c r="Q81"/>
  <c r="H78"/>
  <c r="I78" s="1"/>
  <c r="X78" s="1"/>
  <c r="Q77"/>
  <c r="Q76"/>
  <c r="H75"/>
  <c r="I75" s="1"/>
  <c r="X75" s="1"/>
  <c r="H74"/>
  <c r="I74" s="1"/>
  <c r="X74" s="1"/>
  <c r="N93"/>
  <c r="L94"/>
  <c r="N97"/>
  <c r="L98"/>
  <c r="N101"/>
  <c r="L103"/>
  <c r="N106"/>
  <c r="L107"/>
  <c r="N94"/>
  <c r="L95"/>
  <c r="N98"/>
  <c r="L99"/>
  <c r="N103"/>
  <c r="N107"/>
  <c r="L93"/>
  <c r="N96"/>
  <c r="L97"/>
  <c r="N100"/>
  <c r="L101"/>
  <c r="N105"/>
  <c r="L106"/>
  <c r="N109"/>
  <c r="Q65"/>
  <c r="Q73"/>
  <c r="L50"/>
  <c r="L38"/>
  <c r="L54"/>
  <c r="H64"/>
  <c r="I64" s="1"/>
  <c r="X64" s="1"/>
  <c r="N72"/>
  <c r="H73"/>
  <c r="I73" s="1"/>
  <c r="X73" s="1"/>
  <c r="H47"/>
  <c r="I47" s="1"/>
  <c r="X47" s="1"/>
  <c r="M47"/>
  <c r="M71"/>
  <c r="L72"/>
  <c r="H50"/>
  <c r="I50" s="1"/>
  <c r="X50" s="1"/>
  <c r="L45"/>
  <c r="M46"/>
  <c r="L47"/>
  <c r="Q53"/>
  <c r="Q66"/>
  <c r="Q67"/>
  <c r="L58"/>
  <c r="Q63"/>
  <c r="L66"/>
  <c r="Q38"/>
  <c r="N51"/>
  <c r="N59"/>
  <c r="Q61"/>
  <c r="Q64"/>
  <c r="N68"/>
  <c r="H70"/>
  <c r="I70" s="1"/>
  <c r="X70" s="1"/>
  <c r="Q45"/>
  <c r="M43"/>
  <c r="L46"/>
  <c r="H48"/>
  <c r="I48" s="1"/>
  <c r="X48" s="1"/>
  <c r="M51"/>
  <c r="L53"/>
  <c r="M59"/>
  <c r="M68"/>
  <c r="L71"/>
  <c r="N43"/>
  <c r="H41"/>
  <c r="I41" s="1"/>
  <c r="X41" s="1"/>
  <c r="M42"/>
  <c r="M50"/>
  <c r="Q52"/>
  <c r="Q54"/>
  <c r="H57"/>
  <c r="I57" s="1"/>
  <c r="X57" s="1"/>
  <c r="Q58"/>
  <c r="M58"/>
  <c r="Q69"/>
  <c r="Q72"/>
  <c r="L74"/>
  <c r="H72"/>
  <c r="I72" s="1"/>
  <c r="X72" s="1"/>
  <c r="H71"/>
  <c r="I71" s="1"/>
  <c r="X71" s="1"/>
  <c r="H69"/>
  <c r="I69" s="1"/>
  <c r="X69" s="1"/>
  <c r="H68"/>
  <c r="I68" s="1"/>
  <c r="X68" s="1"/>
  <c r="H67"/>
  <c r="I67" s="1"/>
  <c r="X67" s="1"/>
  <c r="H66"/>
  <c r="I66" s="1"/>
  <c r="X66" s="1"/>
  <c r="H65"/>
  <c r="I65" s="1"/>
  <c r="X65" s="1"/>
  <c r="H63"/>
  <c r="I63" s="1"/>
  <c r="X63" s="1"/>
  <c r="Q51"/>
  <c r="Q56"/>
  <c r="Q59"/>
  <c r="Q46"/>
  <c r="Q50"/>
  <c r="Q48"/>
  <c r="Q55"/>
  <c r="Q57"/>
  <c r="Q60"/>
  <c r="Q62"/>
  <c r="H62"/>
  <c r="I62" s="1"/>
  <c r="X62" s="1"/>
  <c r="H61"/>
  <c r="I61" s="1"/>
  <c r="X61" s="1"/>
  <c r="H60"/>
  <c r="I60" s="1"/>
  <c r="X60" s="1"/>
  <c r="H59"/>
  <c r="I59" s="1"/>
  <c r="X59" s="1"/>
  <c r="H58"/>
  <c r="I58" s="1"/>
  <c r="X58" s="1"/>
  <c r="H56"/>
  <c r="I56" s="1"/>
  <c r="X56" s="1"/>
  <c r="H55"/>
  <c r="I55" s="1"/>
  <c r="X55" s="1"/>
  <c r="H54"/>
  <c r="I54" s="1"/>
  <c r="X54" s="1"/>
  <c r="H53"/>
  <c r="I53" s="1"/>
  <c r="X53" s="1"/>
  <c r="H52"/>
  <c r="I52" s="1"/>
  <c r="X52" s="1"/>
  <c r="Q49"/>
  <c r="Q39"/>
  <c r="Q47"/>
  <c r="H51"/>
  <c r="I51" s="1"/>
  <c r="X51" s="1"/>
  <c r="H49"/>
  <c r="I49" s="1"/>
  <c r="X49" s="1"/>
  <c r="H46"/>
  <c r="I46" s="1"/>
  <c r="X46" s="1"/>
  <c r="Q44"/>
  <c r="Q40"/>
  <c r="Q43"/>
  <c r="Q41"/>
  <c r="Q42"/>
  <c r="H45"/>
  <c r="I45" s="1"/>
  <c r="X45" s="1"/>
  <c r="H44"/>
  <c r="I44" s="1"/>
  <c r="X44" s="1"/>
  <c r="H43"/>
  <c r="I43" s="1"/>
  <c r="X43" s="1"/>
  <c r="H42"/>
  <c r="I42" s="1"/>
  <c r="X42" s="1"/>
  <c r="H38"/>
  <c r="I38" s="1"/>
  <c r="X38" s="1"/>
  <c r="N52"/>
  <c r="N56"/>
  <c r="N60"/>
  <c r="N44"/>
  <c r="H40"/>
  <c r="M40"/>
  <c r="N41"/>
  <c r="M44"/>
  <c r="N45"/>
  <c r="M48"/>
  <c r="N49"/>
  <c r="M52"/>
  <c r="N53"/>
  <c r="M56"/>
  <c r="N57"/>
  <c r="M60"/>
  <c r="N61"/>
  <c r="N65"/>
  <c r="N69"/>
  <c r="N73"/>
  <c r="N40"/>
  <c r="N48"/>
  <c r="N62"/>
  <c r="M65"/>
  <c r="N66"/>
  <c r="M69"/>
  <c r="N70"/>
  <c r="M73"/>
  <c r="N74"/>
  <c r="V406" l="1"/>
  <c r="N37" i="8"/>
  <c r="V380" i="4"/>
  <c r="N20" i="13"/>
  <c r="V407" i="4"/>
  <c r="N9" i="12"/>
  <c r="N23" i="8"/>
  <c r="V383" i="4"/>
  <c r="N20" i="8"/>
  <c r="N3" i="13"/>
  <c r="V403" i="4"/>
  <c r="M31" i="8"/>
  <c r="N18" i="13"/>
  <c r="M23" i="8"/>
  <c r="L29" i="17"/>
  <c r="V408" i="4"/>
  <c r="V357"/>
  <c r="M26" i="8"/>
  <c r="N21"/>
  <c r="S298" i="4"/>
  <c r="K3" i="12" s="1"/>
  <c r="X298" i="4"/>
  <c r="S301"/>
  <c r="X301"/>
  <c r="S313"/>
  <c r="J14" i="17" s="1"/>
  <c r="X313" i="4"/>
  <c r="S286"/>
  <c r="X286"/>
  <c r="N25" i="13"/>
  <c r="M38" i="17"/>
  <c r="S231" i="4"/>
  <c r="X231"/>
  <c r="S227"/>
  <c r="I31" i="8" s="1"/>
  <c r="X227" i="4"/>
  <c r="S230"/>
  <c r="X230"/>
  <c r="S236"/>
  <c r="I16" i="8" s="1"/>
  <c r="X236" i="4"/>
  <c r="S220"/>
  <c r="H27" i="17" s="1"/>
  <c r="X220" i="4"/>
  <c r="S246"/>
  <c r="V246" s="1"/>
  <c r="X246"/>
  <c r="S252"/>
  <c r="I24" i="17" s="1"/>
  <c r="X252" i="4"/>
  <c r="S265"/>
  <c r="I26" i="17" s="1"/>
  <c r="X265" i="4"/>
  <c r="S276"/>
  <c r="I49" i="17" s="1"/>
  <c r="X276" i="4"/>
  <c r="S255"/>
  <c r="I27" i="17" s="1"/>
  <c r="X255" i="4"/>
  <c r="S262"/>
  <c r="I7" i="17" s="1"/>
  <c r="X262" i="4"/>
  <c r="S272"/>
  <c r="I29" i="17" s="1"/>
  <c r="X272" i="4"/>
  <c r="S285"/>
  <c r="J27" i="17" s="1"/>
  <c r="X285" i="4"/>
  <c r="S287"/>
  <c r="V287" s="1"/>
  <c r="X287"/>
  <c r="S299"/>
  <c r="J48" i="17" s="1"/>
  <c r="X299" i="4"/>
  <c r="S306"/>
  <c r="J6" i="17" s="1"/>
  <c r="X306" i="4"/>
  <c r="S334"/>
  <c r="K29" i="17" s="1"/>
  <c r="X334" i="4"/>
  <c r="S344"/>
  <c r="K44" i="17" s="1"/>
  <c r="X344" i="4"/>
  <c r="S337"/>
  <c r="K43" i="17" s="1"/>
  <c r="X337" i="4"/>
  <c r="S320"/>
  <c r="K10" i="17" s="1"/>
  <c r="X320" i="4"/>
  <c r="S343"/>
  <c r="K47" i="17" s="1"/>
  <c r="X343" i="4"/>
  <c r="S327"/>
  <c r="K26" i="17" s="1"/>
  <c r="X327" i="4"/>
  <c r="V388"/>
  <c r="M30" i="17"/>
  <c r="N12" i="8"/>
  <c r="M35" i="17"/>
  <c r="V400" i="4"/>
  <c r="M16" i="17"/>
  <c r="V397" i="4"/>
  <c r="M46" i="17"/>
  <c r="V259" i="4"/>
  <c r="I50" i="17"/>
  <c r="M15" i="13"/>
  <c r="V366" i="4"/>
  <c r="V350"/>
  <c r="M6" i="8"/>
  <c r="V386" i="4"/>
  <c r="S249"/>
  <c r="H20" i="17" s="1"/>
  <c r="X249" i="4"/>
  <c r="S248"/>
  <c r="X248"/>
  <c r="S308"/>
  <c r="X308"/>
  <c r="S333"/>
  <c r="K15" i="17" s="1"/>
  <c r="X333" i="4"/>
  <c r="S331"/>
  <c r="K48" i="17" s="1"/>
  <c r="X331" i="4"/>
  <c r="S319"/>
  <c r="K8" i="17" s="1"/>
  <c r="X319" i="4"/>
  <c r="S339"/>
  <c r="K19" i="17" s="1"/>
  <c r="X339" i="4"/>
  <c r="N16" i="13"/>
  <c r="M4" i="17"/>
  <c r="V387" i="4"/>
  <c r="M45" i="17"/>
  <c r="N14" i="8"/>
  <c r="M26" i="17"/>
  <c r="V384" i="4"/>
  <c r="M8" i="17"/>
  <c r="S224" i="4"/>
  <c r="H50" i="17" s="1"/>
  <c r="X224" i="4"/>
  <c r="S225"/>
  <c r="V225" s="1"/>
  <c r="X225"/>
  <c r="S229"/>
  <c r="X229"/>
  <c r="S234"/>
  <c r="H36" i="17" s="1"/>
  <c r="X234" i="4"/>
  <c r="S226"/>
  <c r="X226"/>
  <c r="S250"/>
  <c r="I33" i="17" s="1"/>
  <c r="X250" i="4"/>
  <c r="S258"/>
  <c r="I10" i="17" s="1"/>
  <c r="X258" i="4"/>
  <c r="S274"/>
  <c r="I13" i="17" s="1"/>
  <c r="X274" i="4"/>
  <c r="S278"/>
  <c r="I14" i="17" s="1"/>
  <c r="X278" i="4"/>
  <c r="S261"/>
  <c r="I30" i="17" s="1"/>
  <c r="X261" i="4"/>
  <c r="S270"/>
  <c r="X270"/>
  <c r="S288"/>
  <c r="V288" s="1"/>
  <c r="X288"/>
  <c r="S297"/>
  <c r="J34" i="17" s="1"/>
  <c r="X297" i="4"/>
  <c r="S282"/>
  <c r="J24" i="17" s="1"/>
  <c r="X282" i="4"/>
  <c r="S303"/>
  <c r="J16" i="17" s="1"/>
  <c r="X303" i="4"/>
  <c r="S314"/>
  <c r="K33" i="17" s="1"/>
  <c r="X314" i="4"/>
  <c r="S326"/>
  <c r="K4" i="17" s="1"/>
  <c r="X326" i="4"/>
  <c r="S321"/>
  <c r="K50" i="17" s="1"/>
  <c r="X321" i="4"/>
  <c r="S329"/>
  <c r="K34" i="17" s="1"/>
  <c r="X329" i="4"/>
  <c r="S336"/>
  <c r="K5" i="17" s="1"/>
  <c r="X336" i="4"/>
  <c r="S335"/>
  <c r="K16" i="17" s="1"/>
  <c r="X335" i="4"/>
  <c r="N3" i="12"/>
  <c r="M36" i="17"/>
  <c r="N30" i="8"/>
  <c r="M14" i="17"/>
  <c r="N10" i="8"/>
  <c r="M23" i="17"/>
  <c r="N4" i="12"/>
  <c r="M48" i="17"/>
  <c r="N15" i="13"/>
  <c r="M19" i="17"/>
  <c r="N21" i="13"/>
  <c r="M44" i="17"/>
  <c r="L23" i="8"/>
  <c r="M18"/>
  <c r="M9" i="13"/>
  <c r="M17"/>
  <c r="M23"/>
  <c r="N8" i="12"/>
  <c r="N19" i="8"/>
  <c r="N9"/>
  <c r="S219" i="4"/>
  <c r="H28" i="17" s="1"/>
  <c r="X219" i="4"/>
  <c r="S245"/>
  <c r="X245"/>
  <c r="S247"/>
  <c r="I24" i="8" s="1"/>
  <c r="X247" i="4"/>
  <c r="S251"/>
  <c r="I25" i="17" s="1"/>
  <c r="X251" i="4"/>
  <c r="S264"/>
  <c r="I4" i="17" s="1"/>
  <c r="X264" i="4"/>
  <c r="S275"/>
  <c r="I3" i="17" s="1"/>
  <c r="X275" i="4"/>
  <c r="S279"/>
  <c r="J39" i="8" s="1"/>
  <c r="X279" i="4"/>
  <c r="S256"/>
  <c r="X256"/>
  <c r="S271"/>
  <c r="I15" i="17" s="1"/>
  <c r="X271" i="4"/>
  <c r="S322"/>
  <c r="K45" i="17" s="1"/>
  <c r="X322" i="4"/>
  <c r="S233"/>
  <c r="H34" i="17" s="1"/>
  <c r="X233" i="4"/>
  <c r="S243"/>
  <c r="H13" i="17" s="1"/>
  <c r="X243" i="4"/>
  <c r="S232"/>
  <c r="V232" s="1"/>
  <c r="X232"/>
  <c r="S242"/>
  <c r="H19" i="17" s="1"/>
  <c r="X242" i="4"/>
  <c r="S235"/>
  <c r="V235" s="1"/>
  <c r="X235"/>
  <c r="S253"/>
  <c r="I23" i="17" s="1"/>
  <c r="X253" i="4"/>
  <c r="S266"/>
  <c r="I35" i="17" s="1"/>
  <c r="X266" i="4"/>
  <c r="S277"/>
  <c r="I44" i="17" s="1"/>
  <c r="X277" i="4"/>
  <c r="S260"/>
  <c r="I45" i="17" s="1"/>
  <c r="X260" i="4"/>
  <c r="S269"/>
  <c r="X269"/>
  <c r="S273"/>
  <c r="I43" i="17" s="1"/>
  <c r="X273" i="4"/>
  <c r="S302"/>
  <c r="X302"/>
  <c r="S284"/>
  <c r="J28" i="17" s="1"/>
  <c r="X284" i="4"/>
  <c r="S300"/>
  <c r="X300"/>
  <c r="S330"/>
  <c r="K36" i="17" s="1"/>
  <c r="X330" i="4"/>
  <c r="S338"/>
  <c r="K6" i="17" s="1"/>
  <c r="X338" i="4"/>
  <c r="S316"/>
  <c r="K23" i="17" s="1"/>
  <c r="X316" i="4"/>
  <c r="S345"/>
  <c r="K14" i="17" s="1"/>
  <c r="X345" i="4"/>
  <c r="S332"/>
  <c r="K46" i="17" s="1"/>
  <c r="X332" i="4"/>
  <c r="S323"/>
  <c r="K30" i="17" s="1"/>
  <c r="X323" i="4"/>
  <c r="S341"/>
  <c r="K39" i="17" s="1"/>
  <c r="X341" i="4"/>
  <c r="S375"/>
  <c r="L38" i="17" s="1"/>
  <c r="X375" i="4"/>
  <c r="V405"/>
  <c r="M13" i="17"/>
  <c r="N31" i="8"/>
  <c r="M7" i="17"/>
  <c r="N11" i="13"/>
  <c r="M34" i="17"/>
  <c r="V401" i="4"/>
  <c r="M5" i="17"/>
  <c r="M2" s="1"/>
  <c r="V382" i="4"/>
  <c r="M28" i="17"/>
  <c r="M20" i="13"/>
  <c r="N24"/>
  <c r="N32" i="8"/>
  <c r="N28"/>
  <c r="V391" i="4"/>
  <c r="V352"/>
  <c r="M7" i="12"/>
  <c r="V395" i="4"/>
  <c r="N18" i="8"/>
  <c r="M28"/>
  <c r="M14" i="13"/>
  <c r="N24" i="8"/>
  <c r="V410" i="4"/>
  <c r="V373"/>
  <c r="V402"/>
  <c r="N8" i="13"/>
  <c r="N26"/>
  <c r="N33" i="8"/>
  <c r="N29"/>
  <c r="V409" i="4"/>
  <c r="V404"/>
  <c r="N19" i="13"/>
  <c r="N22" i="8"/>
  <c r="N29" i="13"/>
  <c r="N36" i="8"/>
  <c r="V396" i="4"/>
  <c r="V340"/>
  <c r="M3" i="8"/>
  <c r="N6" i="12"/>
  <c r="V411" i="4"/>
  <c r="K5" i="12"/>
  <c r="V348" i="4"/>
  <c r="N8" i="8"/>
  <c r="N7" i="13"/>
  <c r="V398" i="4"/>
  <c r="G19" i="13"/>
  <c r="V365" i="4"/>
  <c r="M12" i="8"/>
  <c r="M36"/>
  <c r="V370" i="4"/>
  <c r="M20" i="8"/>
  <c r="L26"/>
  <c r="M10" i="13"/>
  <c r="V347" i="4"/>
  <c r="N13" i="8"/>
  <c r="N16"/>
  <c r="V394" i="4"/>
  <c r="N10" i="13"/>
  <c r="V393" i="4"/>
  <c r="V392"/>
  <c r="N5" i="12"/>
  <c r="V389" i="4"/>
  <c r="N15" i="8"/>
  <c r="N13" i="13"/>
  <c r="N27" i="8"/>
  <c r="N9" i="13"/>
  <c r="V381" i="4"/>
  <c r="N2" i="8"/>
  <c r="M7" i="13"/>
  <c r="M37" i="8"/>
  <c r="M8"/>
  <c r="V374" i="4"/>
  <c r="M3" i="13"/>
  <c r="L9" i="17"/>
  <c r="V237" i="4"/>
  <c r="M5" i="8"/>
  <c r="V281" i="4"/>
  <c r="M9" i="12"/>
  <c r="V355" i="4"/>
  <c r="V309"/>
  <c r="K5" i="8"/>
  <c r="K4" i="13"/>
  <c r="M22"/>
  <c r="L28" i="17"/>
  <c r="M15" i="8"/>
  <c r="L30" i="17"/>
  <c r="V318" i="4"/>
  <c r="L34" i="17"/>
  <c r="V346" i="4"/>
  <c r="L33" i="17"/>
  <c r="M19" i="8"/>
  <c r="L4" i="17"/>
  <c r="M30" i="8"/>
  <c r="L14" i="17"/>
  <c r="L12" s="1"/>
  <c r="L23"/>
  <c r="M14" i="8"/>
  <c r="L26" i="17"/>
  <c r="M24" i="13"/>
  <c r="L45" i="17"/>
  <c r="L42" s="1"/>
  <c r="M9" i="8"/>
  <c r="L43" i="17"/>
  <c r="L20" i="13"/>
  <c r="L36" i="17"/>
  <c r="V399" i="4"/>
  <c r="N5" i="13"/>
  <c r="N6" i="8"/>
  <c r="M26" i="13"/>
  <c r="M33" i="8"/>
  <c r="L4" i="13"/>
  <c r="M3" i="12"/>
  <c r="M29" i="13"/>
  <c r="V367" i="4"/>
  <c r="V315"/>
  <c r="M12" i="13"/>
  <c r="L5" i="8"/>
  <c r="V375" i="4"/>
  <c r="M25" i="13"/>
  <c r="M29" i="8"/>
  <c r="V292" i="4"/>
  <c r="M8" i="13"/>
  <c r="G14" i="8"/>
  <c r="K31"/>
  <c r="V283" i="4"/>
  <c r="V369"/>
  <c r="M6" i="12"/>
  <c r="V378" i="4"/>
  <c r="L31" i="8"/>
  <c r="K7" i="17"/>
  <c r="L22" i="13"/>
  <c r="K28" i="17"/>
  <c r="V353" i="4"/>
  <c r="M32" i="8"/>
  <c r="M8" i="12"/>
  <c r="V317" i="4"/>
  <c r="V362"/>
  <c r="V325"/>
  <c r="K17" i="17"/>
  <c r="L3" i="13"/>
  <c r="K3" i="17"/>
  <c r="M22" i="8"/>
  <c r="M19" i="13"/>
  <c r="V368" i="4"/>
  <c r="M11" i="13"/>
  <c r="V361" i="4"/>
  <c r="M16" i="13"/>
  <c r="V358" i="4"/>
  <c r="V354"/>
  <c r="M27" i="8"/>
  <c r="V349" i="4"/>
  <c r="M25" i="8"/>
  <c r="M2" i="12"/>
  <c r="V341" i="4"/>
  <c r="L2" i="8"/>
  <c r="L2" i="13"/>
  <c r="L3" i="8"/>
  <c r="L5" i="12"/>
  <c r="V324" i="4"/>
  <c r="L27" i="13"/>
  <c r="K3"/>
  <c r="K3" i="8"/>
  <c r="K10" i="13"/>
  <c r="L25" i="8"/>
  <c r="L21" i="13"/>
  <c r="V331" i="4"/>
  <c r="V323"/>
  <c r="L15" i="8"/>
  <c r="L13" i="13"/>
  <c r="V328" i="4"/>
  <c r="L12" i="8"/>
  <c r="L10" i="13"/>
  <c r="V319" i="4"/>
  <c r="L28" i="8"/>
  <c r="L7" i="12"/>
  <c r="V345" i="4"/>
  <c r="L6" i="12"/>
  <c r="L30" i="8"/>
  <c r="L10"/>
  <c r="L9"/>
  <c r="L8" i="13"/>
  <c r="V343" i="4"/>
  <c r="L9" i="12"/>
  <c r="L37" i="8"/>
  <c r="L18"/>
  <c r="V330" i="4"/>
  <c r="V334"/>
  <c r="L5" i="13"/>
  <c r="L6" i="8"/>
  <c r="V333" i="4"/>
  <c r="L8" i="8"/>
  <c r="L7" i="13"/>
  <c r="V329" i="4"/>
  <c r="L11" i="13"/>
  <c r="L13" i="8"/>
  <c r="V335" i="4"/>
  <c r="L29" i="13"/>
  <c r="L36" i="8"/>
  <c r="V322" i="4"/>
  <c r="L24" i="13"/>
  <c r="L27" i="8"/>
  <c r="V326" i="4"/>
  <c r="L16" i="13"/>
  <c r="L19" i="8"/>
  <c r="V336" i="4"/>
  <c r="L35" i="8"/>
  <c r="L28" i="13"/>
  <c r="V338" i="4"/>
  <c r="L17" i="13"/>
  <c r="L20" i="8"/>
  <c r="L25" i="13"/>
  <c r="L29" i="8"/>
  <c r="L32"/>
  <c r="V332" i="4"/>
  <c r="V327"/>
  <c r="K32" i="8"/>
  <c r="K8" i="12"/>
  <c r="K4" i="8"/>
  <c r="K2" i="12"/>
  <c r="J33" i="17"/>
  <c r="V337" i="4"/>
  <c r="J43" i="17"/>
  <c r="V344" i="4"/>
  <c r="K24" i="8"/>
  <c r="J44" i="17"/>
  <c r="K21" i="13"/>
  <c r="J36" i="17"/>
  <c r="J15"/>
  <c r="J38"/>
  <c r="J23"/>
  <c r="J47"/>
  <c r="J29"/>
  <c r="J46"/>
  <c r="K9" i="13"/>
  <c r="J50" i="17"/>
  <c r="V155" i="4"/>
  <c r="G21" i="13"/>
  <c r="V177" i="4"/>
  <c r="V310"/>
  <c r="J49" i="17"/>
  <c r="K15" i="8"/>
  <c r="J30" i="17"/>
  <c r="K27" i="8"/>
  <c r="J45" i="17"/>
  <c r="K19" i="8"/>
  <c r="J4" i="17"/>
  <c r="V295" i="4"/>
  <c r="J26" i="17"/>
  <c r="K15" i="13"/>
  <c r="J19" i="17"/>
  <c r="V308" i="4"/>
  <c r="J13" i="17"/>
  <c r="V296" i="4"/>
  <c r="J35" i="17"/>
  <c r="K22" i="8"/>
  <c r="J5" i="17"/>
  <c r="V311" i="4"/>
  <c r="K9" i="12"/>
  <c r="K37" i="8"/>
  <c r="V303" i="4"/>
  <c r="K29" i="13"/>
  <c r="K36" i="8"/>
  <c r="V304" i="4"/>
  <c r="K19" i="13"/>
  <c r="E49" i="17"/>
  <c r="H38" i="8"/>
  <c r="H30" i="13"/>
  <c r="G25" i="8"/>
  <c r="G37" i="17"/>
  <c r="K17" i="13"/>
  <c r="K9" i="8"/>
  <c r="K8" i="13"/>
  <c r="K2"/>
  <c r="K2" i="8"/>
  <c r="K18"/>
  <c r="K14"/>
  <c r="K12" i="13"/>
  <c r="K16"/>
  <c r="V294" i="4"/>
  <c r="K24" i="13"/>
  <c r="V290" i="4"/>
  <c r="K13" i="13"/>
  <c r="K34" i="8"/>
  <c r="K35"/>
  <c r="K28" i="13"/>
  <c r="K25" i="8"/>
  <c r="V285" i="4"/>
  <c r="K20" i="13"/>
  <c r="K23" i="8"/>
  <c r="K14" i="13"/>
  <c r="K17" i="8"/>
  <c r="V297" i="4"/>
  <c r="K11" i="13"/>
  <c r="K13" i="8"/>
  <c r="V300" i="4"/>
  <c r="K7" i="8"/>
  <c r="K6" i="13"/>
  <c r="V299" i="4"/>
  <c r="K4" i="12"/>
  <c r="K16" i="8"/>
  <c r="K31" i="13"/>
  <c r="K39" i="8"/>
  <c r="V286" i="4"/>
  <c r="K25" i="13"/>
  <c r="K29" i="8"/>
  <c r="V302" i="4"/>
  <c r="K5" i="13"/>
  <c r="K6" i="8"/>
  <c r="V301" i="4"/>
  <c r="K8" i="8"/>
  <c r="K7" i="13"/>
  <c r="V313" i="4"/>
  <c r="J28" i="8"/>
  <c r="I20" i="17"/>
  <c r="I38"/>
  <c r="I46"/>
  <c r="I48"/>
  <c r="V169" i="4"/>
  <c r="V268"/>
  <c r="I36" i="17"/>
  <c r="V257" i="4"/>
  <c r="I8" i="17"/>
  <c r="J11" i="13"/>
  <c r="I34" i="17"/>
  <c r="V263" i="4"/>
  <c r="I17" i="17"/>
  <c r="V165" i="4"/>
  <c r="G24" i="8"/>
  <c r="G20"/>
  <c r="G18"/>
  <c r="G5" i="12"/>
  <c r="G24" i="13"/>
  <c r="F19" i="17"/>
  <c r="H30" i="8"/>
  <c r="J7" i="12"/>
  <c r="F49" i="17"/>
  <c r="V239" i="4"/>
  <c r="J3" i="12"/>
  <c r="I36" i="8"/>
  <c r="J26"/>
  <c r="J23" i="13"/>
  <c r="J18" i="8"/>
  <c r="J15" i="13"/>
  <c r="V267" i="4"/>
  <c r="J13" i="8"/>
  <c r="J11"/>
  <c r="J15"/>
  <c r="J13" i="13"/>
  <c r="J23" i="8"/>
  <c r="V258" i="4"/>
  <c r="J14" i="13"/>
  <c r="J17" i="8"/>
  <c r="J20"/>
  <c r="J17" i="13"/>
  <c r="J9"/>
  <c r="J10" i="8"/>
  <c r="J18" i="13"/>
  <c r="J21" i="8"/>
  <c r="J16" i="13"/>
  <c r="J19"/>
  <c r="J22" i="8"/>
  <c r="J12"/>
  <c r="V274" i="4"/>
  <c r="V275"/>
  <c r="J3" i="8"/>
  <c r="J3" i="13"/>
  <c r="V276" i="4"/>
  <c r="J27" i="13"/>
  <c r="J34" i="8"/>
  <c r="V277" i="4"/>
  <c r="J24" i="8"/>
  <c r="J21" i="13"/>
  <c r="V278" i="4"/>
  <c r="J6" i="12"/>
  <c r="J30" i="8"/>
  <c r="V279" i="4"/>
  <c r="J31" i="13"/>
  <c r="J24"/>
  <c r="J27" i="8"/>
  <c r="J29"/>
  <c r="J25" i="13"/>
  <c r="V262" i="4"/>
  <c r="J31" i="8"/>
  <c r="J5" i="12"/>
  <c r="V269" i="4"/>
  <c r="J4" i="12"/>
  <c r="J16" i="8"/>
  <c r="V270" i="4"/>
  <c r="J6" i="13"/>
  <c r="J7" i="8"/>
  <c r="V271" i="4"/>
  <c r="V272"/>
  <c r="J8" i="13"/>
  <c r="J9" i="8"/>
  <c r="J36"/>
  <c r="J29" i="13"/>
  <c r="V251" i="4"/>
  <c r="J4" i="13"/>
  <c r="J5" i="8"/>
  <c r="J2" i="12"/>
  <c r="V252" i="4"/>
  <c r="J28" i="13"/>
  <c r="J35" i="8"/>
  <c r="V250" i="4"/>
  <c r="I4" i="8"/>
  <c r="V253" i="4"/>
  <c r="I9" i="13"/>
  <c r="H23" i="17"/>
  <c r="I10" i="8"/>
  <c r="V256" i="4"/>
  <c r="I29" i="8"/>
  <c r="H38" i="17"/>
  <c r="I25" i="13"/>
  <c r="H5" i="17"/>
  <c r="H7"/>
  <c r="H26"/>
  <c r="I6" i="8"/>
  <c r="I5"/>
  <c r="H16" i="17"/>
  <c r="H46"/>
  <c r="H14"/>
  <c r="H44"/>
  <c r="I5" i="13"/>
  <c r="I29"/>
  <c r="H35" i="17"/>
  <c r="I3" i="8"/>
  <c r="H4" i="17"/>
  <c r="H30"/>
  <c r="I7" i="8"/>
  <c r="H25" i="17"/>
  <c r="H39"/>
  <c r="I21" i="8"/>
  <c r="I4" i="13"/>
  <c r="F23" i="17"/>
  <c r="G21" i="8"/>
  <c r="V216" i="4"/>
  <c r="V223"/>
  <c r="H10" i="17"/>
  <c r="I7" i="12"/>
  <c r="H8" i="17"/>
  <c r="V228" i="4"/>
  <c r="H17" i="17"/>
  <c r="V240" i="4"/>
  <c r="H43" i="17"/>
  <c r="I7" i="13"/>
  <c r="H15" i="17"/>
  <c r="V244" i="4"/>
  <c r="H3" i="17"/>
  <c r="I2" i="12"/>
  <c r="H33" i="17"/>
  <c r="I28" i="13"/>
  <c r="H24" i="17"/>
  <c r="V149" i="4"/>
  <c r="V161"/>
  <c r="G5" i="13"/>
  <c r="V212" i="4"/>
  <c r="G31" i="8"/>
  <c r="G22"/>
  <c r="F6" i="17"/>
  <c r="G27" i="8"/>
  <c r="H21" i="13"/>
  <c r="I35" i="8"/>
  <c r="F29" i="17"/>
  <c r="V135" i="4"/>
  <c r="V157"/>
  <c r="V173"/>
  <c r="V213"/>
  <c r="H24" i="8"/>
  <c r="H6" i="12"/>
  <c r="F36" i="17"/>
  <c r="H35" i="8"/>
  <c r="V217" i="4"/>
  <c r="V180"/>
  <c r="V164"/>
  <c r="F48" i="17"/>
  <c r="V170" i="4"/>
  <c r="G2" i="13"/>
  <c r="G8" i="12"/>
  <c r="V191" i="4"/>
  <c r="H6" i="8"/>
  <c r="H6" i="13"/>
  <c r="I27"/>
  <c r="V154" i="4"/>
  <c r="G4" i="12"/>
  <c r="H28" i="13"/>
  <c r="H5"/>
  <c r="V153" i="4"/>
  <c r="V159"/>
  <c r="V166"/>
  <c r="V174"/>
  <c r="F13" i="17"/>
  <c r="V204" i="4"/>
  <c r="G10" i="13"/>
  <c r="G7" i="12"/>
  <c r="V202" i="4"/>
  <c r="G19" i="8"/>
  <c r="H7"/>
  <c r="I8"/>
  <c r="V182" i="4"/>
  <c r="F4" i="17"/>
  <c r="V238" i="4"/>
  <c r="I3" i="13"/>
  <c r="E4" i="17"/>
  <c r="V168" i="4"/>
  <c r="G6" i="13"/>
  <c r="I8"/>
  <c r="I9" i="8"/>
  <c r="I23" i="13"/>
  <c r="I26" i="8"/>
  <c r="I17"/>
  <c r="I28"/>
  <c r="V222" i="4"/>
  <c r="I14" i="13"/>
  <c r="V234" i="4"/>
  <c r="V227"/>
  <c r="I22" i="13"/>
  <c r="I25" i="8"/>
  <c r="V245" i="4"/>
  <c r="I18" i="13"/>
  <c r="V226" i="4"/>
  <c r="I15" i="8"/>
  <c r="I13" i="13"/>
  <c r="V224" i="4"/>
  <c r="I8" i="12"/>
  <c r="I32" i="8"/>
  <c r="V229" i="4"/>
  <c r="I16" i="13"/>
  <c r="I19" i="8"/>
  <c r="I30" i="13"/>
  <c r="I38" i="8"/>
  <c r="I11" i="13"/>
  <c r="I13" i="8"/>
  <c r="I2" i="13"/>
  <c r="I2" i="8"/>
  <c r="V230" i="4"/>
  <c r="I14" i="8"/>
  <c r="I12" i="13"/>
  <c r="I15"/>
  <c r="I18" i="8"/>
  <c r="V247" i="4"/>
  <c r="V231"/>
  <c r="I19" i="13"/>
  <c r="I22" i="8"/>
  <c r="I4" i="12"/>
  <c r="I31" i="13"/>
  <c r="I10"/>
  <c r="I12" i="8"/>
  <c r="V248" i="4"/>
  <c r="I6" i="12"/>
  <c r="I30" i="8"/>
  <c r="I20"/>
  <c r="I24" i="13"/>
  <c r="I27" i="8"/>
  <c r="I20" i="13"/>
  <c r="I23" i="8"/>
  <c r="V249" i="4"/>
  <c r="H39" i="8"/>
  <c r="H31" i="13"/>
  <c r="H17"/>
  <c r="H20" i="8"/>
  <c r="V220" i="4"/>
  <c r="H20" i="13"/>
  <c r="V243" i="4"/>
  <c r="H2" i="13"/>
  <c r="H2" i="8"/>
  <c r="V242" i="4"/>
  <c r="H18" i="8"/>
  <c r="H4" i="12"/>
  <c r="G13" i="17"/>
  <c r="G6"/>
  <c r="G20"/>
  <c r="H27" i="8"/>
  <c r="G19" i="17"/>
  <c r="G48"/>
  <c r="V197" i="4"/>
  <c r="F10" i="17"/>
  <c r="G28" i="8"/>
  <c r="F26" i="17"/>
  <c r="F39"/>
  <c r="H16" i="8"/>
  <c r="H15" i="13"/>
  <c r="H14" i="8"/>
  <c r="V152" i="4"/>
  <c r="V162"/>
  <c r="V176"/>
  <c r="G12" i="8"/>
  <c r="G17"/>
  <c r="G12" i="13"/>
  <c r="H10"/>
  <c r="H12"/>
  <c r="V207" i="4"/>
  <c r="V195"/>
  <c r="H12" i="8"/>
  <c r="F15" i="17"/>
  <c r="F46"/>
  <c r="H15" i="8"/>
  <c r="G7" i="13"/>
  <c r="G39" i="8"/>
  <c r="F14" i="17"/>
  <c r="H29" i="8"/>
  <c r="F27" i="13"/>
  <c r="V131" i="4"/>
  <c r="V158"/>
  <c r="H11" i="8"/>
  <c r="G3" i="13"/>
  <c r="V175" i="4"/>
  <c r="H23" i="8"/>
  <c r="G27" i="17"/>
  <c r="H31" i="8"/>
  <c r="G7" i="17"/>
  <c r="V198" i="4"/>
  <c r="G34" i="17"/>
  <c r="H21" i="8"/>
  <c r="G39" i="17"/>
  <c r="V190" i="4"/>
  <c r="G45" i="17"/>
  <c r="H22" i="8"/>
  <c r="G5" i="17"/>
  <c r="V209" i="4"/>
  <c r="G3" i="17"/>
  <c r="H32" i="8"/>
  <c r="G50" i="17"/>
  <c r="V148" i="4"/>
  <c r="V167"/>
  <c r="V178"/>
  <c r="F28" i="17"/>
  <c r="G9" i="13"/>
  <c r="G11" i="8"/>
  <c r="G6" i="12"/>
  <c r="H13" i="13"/>
  <c r="H3" i="12"/>
  <c r="H25" i="13"/>
  <c r="V181" i="4"/>
  <c r="G25" i="17"/>
  <c r="H14" i="13"/>
  <c r="G10" i="17"/>
  <c r="H19" i="8"/>
  <c r="G4" i="17"/>
  <c r="H8" i="13"/>
  <c r="G43" i="17"/>
  <c r="V187" i="4"/>
  <c r="G8" i="17"/>
  <c r="F50"/>
  <c r="V199" i="4"/>
  <c r="G31" i="13"/>
  <c r="G27"/>
  <c r="V183" i="4"/>
  <c r="G23" i="17"/>
  <c r="H26" i="8"/>
  <c r="G17" i="17"/>
  <c r="H7" i="13"/>
  <c r="G15" i="17"/>
  <c r="V184" i="4"/>
  <c r="G28" i="17"/>
  <c r="F20"/>
  <c r="V186" i="4"/>
  <c r="F8" i="12"/>
  <c r="F32" i="8"/>
  <c r="F13" i="13"/>
  <c r="F15" i="8"/>
  <c r="E23" i="17"/>
  <c r="F9" i="13"/>
  <c r="F10" i="8"/>
  <c r="F5" i="12"/>
  <c r="F31" i="8"/>
  <c r="F7" i="13"/>
  <c r="F8" i="8"/>
  <c r="F3" i="13"/>
  <c r="F3" i="8"/>
  <c r="F3" i="12"/>
  <c r="F11" i="8"/>
  <c r="F20" i="13"/>
  <c r="F23" i="8"/>
  <c r="F11" i="13"/>
  <c r="F13" i="8"/>
  <c r="F3" i="17"/>
  <c r="G35" i="8"/>
  <c r="G5"/>
  <c r="G23"/>
  <c r="G23" i="13"/>
  <c r="F30" i="17"/>
  <c r="F43"/>
  <c r="G33" i="8"/>
  <c r="F6" i="13"/>
  <c r="F7" i="8"/>
  <c r="V142" i="4"/>
  <c r="F2" i="13"/>
  <c r="F2" i="8"/>
  <c r="F15" i="13"/>
  <c r="F18" i="8"/>
  <c r="G28" i="13"/>
  <c r="G4"/>
  <c r="G26" i="8"/>
  <c r="G13" i="13"/>
  <c r="G11"/>
  <c r="F9" i="17"/>
  <c r="F7" i="12"/>
  <c r="F28" i="8"/>
  <c r="F4" i="13"/>
  <c r="F5" i="8"/>
  <c r="F24" i="13"/>
  <c r="F27" i="8"/>
  <c r="V115" i="4"/>
  <c r="F22" i="13"/>
  <c r="F25" i="8"/>
  <c r="F23" i="13"/>
  <c r="F26" i="8"/>
  <c r="E35" i="17"/>
  <c r="F10" i="13"/>
  <c r="F12" i="8"/>
  <c r="V139" i="4"/>
  <c r="F8" i="13"/>
  <c r="F9" i="8"/>
  <c r="F25" i="13"/>
  <c r="F29" i="8"/>
  <c r="E9" i="17"/>
  <c r="F26" i="13"/>
  <c r="F33" i="8"/>
  <c r="E27" i="17"/>
  <c r="E19"/>
  <c r="V141" i="4"/>
  <c r="F33" i="17"/>
  <c r="F27"/>
  <c r="G13" i="8"/>
  <c r="G8" i="13"/>
  <c r="F30"/>
  <c r="F38" i="8"/>
  <c r="F14" i="13"/>
  <c r="F17" i="8"/>
  <c r="V113" i="4"/>
  <c r="F28" i="13"/>
  <c r="F35" i="8"/>
  <c r="F12" i="13"/>
  <c r="F14" i="8"/>
  <c r="F4" i="12"/>
  <c r="F16" i="8"/>
  <c r="F5" i="13"/>
  <c r="F6" i="8"/>
  <c r="F19" i="13"/>
  <c r="F22" i="8"/>
  <c r="F16" i="13"/>
  <c r="F19" i="8"/>
  <c r="G4"/>
  <c r="G9"/>
  <c r="H8" i="12"/>
  <c r="V189" i="4"/>
  <c r="H28" i="8"/>
  <c r="H25"/>
  <c r="H22" i="13"/>
  <c r="V211" i="4"/>
  <c r="H18" i="13"/>
  <c r="H3" i="8"/>
  <c r="H3" i="13"/>
  <c r="V205" i="4"/>
  <c r="H9" i="8"/>
  <c r="V203" i="4"/>
  <c r="H8" i="8"/>
  <c r="H11" i="13"/>
  <c r="H13" i="8"/>
  <c r="V196" i="4"/>
  <c r="H19" i="13"/>
  <c r="V194" i="4"/>
  <c r="H16" i="13"/>
  <c r="V193" i="4"/>
  <c r="H23" i="13"/>
  <c r="H5" i="12"/>
  <c r="V192" i="4"/>
  <c r="H24" i="13"/>
  <c r="V188" i="4"/>
  <c r="H9" i="13"/>
  <c r="V185" i="4"/>
  <c r="H4" i="8"/>
  <c r="H2" i="12"/>
  <c r="H4" i="13"/>
  <c r="H5" i="8"/>
  <c r="V172" i="4"/>
  <c r="V163"/>
  <c r="V156"/>
  <c r="E5" i="17"/>
  <c r="V129" i="4"/>
  <c r="V140"/>
  <c r="V150"/>
  <c r="V146"/>
  <c r="V147"/>
  <c r="V145"/>
  <c r="V117"/>
  <c r="V130"/>
  <c r="V132"/>
  <c r="E38" i="17"/>
  <c r="S76" i="4"/>
  <c r="E8" i="17"/>
  <c r="V118" i="4"/>
  <c r="E36" i="17"/>
  <c r="E28"/>
  <c r="E13"/>
  <c r="E37"/>
  <c r="V121" i="4"/>
  <c r="E24" i="17"/>
  <c r="E43"/>
  <c r="F18" i="13"/>
  <c r="F21" i="8"/>
  <c r="V143" i="4"/>
  <c r="E3" i="17"/>
  <c r="V114" i="4"/>
  <c r="E25" i="17"/>
  <c r="S75" i="4"/>
  <c r="D29" i="17" s="1"/>
  <c r="S104" i="4"/>
  <c r="V104" s="1"/>
  <c r="V119"/>
  <c r="E10" i="17"/>
  <c r="V144" i="4"/>
  <c r="E39" i="17"/>
  <c r="V138" i="4"/>
  <c r="E29" i="17"/>
  <c r="V137" i="4"/>
  <c r="E15" i="17"/>
  <c r="V136" i="4"/>
  <c r="E46" i="17"/>
  <c r="V134" i="4"/>
  <c r="E48" i="17"/>
  <c r="V128" i="4"/>
  <c r="E26" i="17"/>
  <c r="V126" i="4"/>
  <c r="E17" i="17"/>
  <c r="V125" i="4"/>
  <c r="E7" i="17"/>
  <c r="V124" i="4"/>
  <c r="E30" i="17"/>
  <c r="V123" i="4"/>
  <c r="E45" i="17"/>
  <c r="S77" i="4"/>
  <c r="V122"/>
  <c r="E50" i="17"/>
  <c r="S87" i="4"/>
  <c r="S84"/>
  <c r="V84" s="1"/>
  <c r="S89"/>
  <c r="S110"/>
  <c r="S91"/>
  <c r="S81"/>
  <c r="V112"/>
  <c r="S79"/>
  <c r="S80"/>
  <c r="S106"/>
  <c r="S98"/>
  <c r="S50"/>
  <c r="S101"/>
  <c r="S85"/>
  <c r="S39"/>
  <c r="S108"/>
  <c r="S111"/>
  <c r="F4" i="8" s="1"/>
  <c r="S97" i="4"/>
  <c r="S93"/>
  <c r="S92"/>
  <c r="S90"/>
  <c r="S55"/>
  <c r="S105"/>
  <c r="S109"/>
  <c r="S95"/>
  <c r="S96"/>
  <c r="S99"/>
  <c r="E4" i="8" s="1"/>
  <c r="S100" i="4"/>
  <c r="S88"/>
  <c r="S86"/>
  <c r="S83"/>
  <c r="S82"/>
  <c r="S78"/>
  <c r="S103"/>
  <c r="S107"/>
  <c r="S94"/>
  <c r="S58"/>
  <c r="S64"/>
  <c r="S73"/>
  <c r="S70"/>
  <c r="S45"/>
  <c r="S68"/>
  <c r="S69"/>
  <c r="S74"/>
  <c r="S53"/>
  <c r="S61"/>
  <c r="S71"/>
  <c r="S67"/>
  <c r="S65"/>
  <c r="S63"/>
  <c r="S52"/>
  <c r="S41"/>
  <c r="S60"/>
  <c r="S49"/>
  <c r="S44"/>
  <c r="S42"/>
  <c r="S38"/>
  <c r="I40"/>
  <c r="U37"/>
  <c r="R37"/>
  <c r="P37"/>
  <c r="O37"/>
  <c r="K37"/>
  <c r="L37" s="1"/>
  <c r="G37"/>
  <c r="B37"/>
  <c r="U36"/>
  <c r="R36"/>
  <c r="P36"/>
  <c r="O36"/>
  <c r="K36"/>
  <c r="L36" s="1"/>
  <c r="G36"/>
  <c r="B36"/>
  <c r="U35"/>
  <c r="R35"/>
  <c r="P35"/>
  <c r="O35"/>
  <c r="K35"/>
  <c r="M35" s="1"/>
  <c r="G35"/>
  <c r="B35"/>
  <c r="U34"/>
  <c r="R34"/>
  <c r="O34"/>
  <c r="K34"/>
  <c r="M34" s="1"/>
  <c r="G34"/>
  <c r="B34"/>
  <c r="U33"/>
  <c r="R33"/>
  <c r="P33"/>
  <c r="O33"/>
  <c r="K33"/>
  <c r="M33" s="1"/>
  <c r="G33"/>
  <c r="B33"/>
  <c r="U32"/>
  <c r="R32"/>
  <c r="P32"/>
  <c r="O32"/>
  <c r="K32"/>
  <c r="L32" s="1"/>
  <c r="G32"/>
  <c r="B32"/>
  <c r="U31"/>
  <c r="R31"/>
  <c r="P31"/>
  <c r="O31"/>
  <c r="K31"/>
  <c r="M31" s="1"/>
  <c r="G31"/>
  <c r="B31"/>
  <c r="U30"/>
  <c r="R30"/>
  <c r="P30"/>
  <c r="O30"/>
  <c r="M30"/>
  <c r="G30"/>
  <c r="B30"/>
  <c r="U29"/>
  <c r="R29"/>
  <c r="P29"/>
  <c r="O29"/>
  <c r="K29"/>
  <c r="N29" s="1"/>
  <c r="G29"/>
  <c r="B29"/>
  <c r="U3"/>
  <c r="U4"/>
  <c r="U5"/>
  <c r="U6"/>
  <c r="U7"/>
  <c r="U8"/>
  <c r="U9"/>
  <c r="U10"/>
  <c r="U11"/>
  <c r="U12"/>
  <c r="U13"/>
  <c r="U14"/>
  <c r="U15"/>
  <c r="U16"/>
  <c r="U17"/>
  <c r="U18"/>
  <c r="U19"/>
  <c r="U20"/>
  <c r="U21"/>
  <c r="U22"/>
  <c r="U23"/>
  <c r="U24"/>
  <c r="U25"/>
  <c r="U26"/>
  <c r="U27"/>
  <c r="U28"/>
  <c r="L3"/>
  <c r="M3"/>
  <c r="N3"/>
  <c r="O3"/>
  <c r="P3"/>
  <c r="R3"/>
  <c r="L4"/>
  <c r="M4"/>
  <c r="N4"/>
  <c r="O4"/>
  <c r="P4"/>
  <c r="R4"/>
  <c r="O5"/>
  <c r="R5"/>
  <c r="O6"/>
  <c r="R6"/>
  <c r="L7"/>
  <c r="M7"/>
  <c r="N7"/>
  <c r="O7"/>
  <c r="R7"/>
  <c r="O8"/>
  <c r="P8"/>
  <c r="R8"/>
  <c r="O9"/>
  <c r="P9"/>
  <c r="R9"/>
  <c r="O10"/>
  <c r="P10"/>
  <c r="R10"/>
  <c r="O11"/>
  <c r="R11"/>
  <c r="O12"/>
  <c r="P12"/>
  <c r="R12"/>
  <c r="L13"/>
  <c r="M13"/>
  <c r="N13"/>
  <c r="O13"/>
  <c r="P13"/>
  <c r="R13"/>
  <c r="O14"/>
  <c r="P14"/>
  <c r="R14"/>
  <c r="L15"/>
  <c r="M15"/>
  <c r="N15"/>
  <c r="O15"/>
  <c r="P15"/>
  <c r="R15"/>
  <c r="O16"/>
  <c r="P16"/>
  <c r="R16"/>
  <c r="O17"/>
  <c r="P17"/>
  <c r="R17"/>
  <c r="L18"/>
  <c r="M18"/>
  <c r="N18"/>
  <c r="O18"/>
  <c r="R18"/>
  <c r="L19"/>
  <c r="M19"/>
  <c r="N19"/>
  <c r="O19"/>
  <c r="R19"/>
  <c r="O20"/>
  <c r="P20"/>
  <c r="R20"/>
  <c r="O21"/>
  <c r="P21"/>
  <c r="R21"/>
  <c r="O22"/>
  <c r="R22"/>
  <c r="O23"/>
  <c r="R23"/>
  <c r="L24"/>
  <c r="M24"/>
  <c r="N24"/>
  <c r="O24"/>
  <c r="R24"/>
  <c r="O25"/>
  <c r="P25"/>
  <c r="R25"/>
  <c r="L26"/>
  <c r="M26"/>
  <c r="N26"/>
  <c r="O26"/>
  <c r="R26"/>
  <c r="O27"/>
  <c r="R27"/>
  <c r="L28"/>
  <c r="M28"/>
  <c r="N28"/>
  <c r="O28"/>
  <c r="P28"/>
  <c r="R28"/>
  <c r="K5"/>
  <c r="L5" s="1"/>
  <c r="K6"/>
  <c r="N6" s="1"/>
  <c r="K8"/>
  <c r="N8" s="1"/>
  <c r="K9"/>
  <c r="L9" s="1"/>
  <c r="K10"/>
  <c r="N10" s="1"/>
  <c r="K11"/>
  <c r="L11" s="1"/>
  <c r="K12"/>
  <c r="N12" s="1"/>
  <c r="K14"/>
  <c r="N14" s="1"/>
  <c r="K16"/>
  <c r="N16" s="1"/>
  <c r="K17"/>
  <c r="L17" s="1"/>
  <c r="K20"/>
  <c r="N20" s="1"/>
  <c r="K21"/>
  <c r="L21" s="1"/>
  <c r="K22"/>
  <c r="N22" s="1"/>
  <c r="K23"/>
  <c r="L23" s="1"/>
  <c r="K25"/>
  <c r="L25" s="1"/>
  <c r="K27"/>
  <c r="L27" s="1"/>
  <c r="G3"/>
  <c r="G4"/>
  <c r="G5"/>
  <c r="G6"/>
  <c r="G7"/>
  <c r="G8"/>
  <c r="G9"/>
  <c r="G10"/>
  <c r="G11"/>
  <c r="G12"/>
  <c r="G13"/>
  <c r="G14"/>
  <c r="G15"/>
  <c r="G16"/>
  <c r="G17"/>
  <c r="G18"/>
  <c r="G19"/>
  <c r="G20"/>
  <c r="G21"/>
  <c r="G22"/>
  <c r="G23"/>
  <c r="G24"/>
  <c r="G25"/>
  <c r="G26"/>
  <c r="G27"/>
  <c r="G28"/>
  <c r="B3"/>
  <c r="B4"/>
  <c r="B5"/>
  <c r="B6"/>
  <c r="B7"/>
  <c r="B8"/>
  <c r="B9"/>
  <c r="B10"/>
  <c r="B11"/>
  <c r="B12"/>
  <c r="B13"/>
  <c r="B14"/>
  <c r="B15"/>
  <c r="B16"/>
  <c r="B17"/>
  <c r="B18"/>
  <c r="B19"/>
  <c r="B20"/>
  <c r="B21"/>
  <c r="B22"/>
  <c r="B23"/>
  <c r="B24"/>
  <c r="B25"/>
  <c r="B26"/>
  <c r="B27"/>
  <c r="B28"/>
  <c r="O2"/>
  <c r="K2"/>
  <c r="L2" s="1"/>
  <c r="K32" i="17" l="1"/>
  <c r="I42"/>
  <c r="K2"/>
  <c r="M12"/>
  <c r="K42"/>
  <c r="I22"/>
  <c r="G32"/>
  <c r="V236" i="4"/>
  <c r="I5" i="12"/>
  <c r="I34" i="8"/>
  <c r="J6"/>
  <c r="V265" i="4"/>
  <c r="K30" i="8"/>
  <c r="K7" i="12"/>
  <c r="V298" i="4"/>
  <c r="V306"/>
  <c r="J8" i="17"/>
  <c r="J2" s="1"/>
  <c r="L14" i="8"/>
  <c r="V320" i="4"/>
  <c r="I17" i="13"/>
  <c r="I39" i="8"/>
  <c r="I21" i="13"/>
  <c r="I3" i="12"/>
  <c r="H49" i="17"/>
  <c r="H45"/>
  <c r="H48"/>
  <c r="H6"/>
  <c r="J5" i="13"/>
  <c r="J7"/>
  <c r="J2" i="8"/>
  <c r="V266" i="4"/>
  <c r="J14" i="8"/>
  <c r="V264" i="4"/>
  <c r="V255"/>
  <c r="I2" i="17"/>
  <c r="K6" i="12"/>
  <c r="K28" i="8"/>
  <c r="K11"/>
  <c r="V284" i="4"/>
  <c r="J10" i="17"/>
  <c r="V314" i="4"/>
  <c r="L12" i="13"/>
  <c r="L7" i="8"/>
  <c r="L22"/>
  <c r="L17"/>
  <c r="L3" i="12"/>
  <c r="V339" i="4"/>
  <c r="V316"/>
  <c r="L4" i="8"/>
  <c r="L4" i="12"/>
  <c r="L18" i="13"/>
  <c r="K12" i="17"/>
  <c r="K22"/>
  <c r="L2" i="19" s="1"/>
  <c r="M22" i="17"/>
  <c r="M32"/>
  <c r="V233" i="4"/>
  <c r="V219"/>
  <c r="I11" i="8"/>
  <c r="J4"/>
  <c r="V273" i="4"/>
  <c r="J8" i="8"/>
  <c r="V260" i="4"/>
  <c r="J2" i="13"/>
  <c r="J10"/>
  <c r="J12"/>
  <c r="J19" i="8"/>
  <c r="J20" i="13"/>
  <c r="V261" i="4"/>
  <c r="K22" i="13"/>
  <c r="V282" i="4"/>
  <c r="K20" i="8"/>
  <c r="V321" i="4"/>
  <c r="L6" i="13"/>
  <c r="L8" i="12"/>
  <c r="L19" i="13"/>
  <c r="L14"/>
  <c r="L11" i="8"/>
  <c r="L15" i="13"/>
  <c r="L9"/>
  <c r="L2" i="12"/>
  <c r="L16" i="8"/>
  <c r="L24"/>
  <c r="L21"/>
  <c r="M42" i="17"/>
  <c r="S40" i="4"/>
  <c r="C9" i="17" s="1"/>
  <c r="X40" i="4"/>
  <c r="L2" i="17"/>
  <c r="L32"/>
  <c r="L22"/>
  <c r="J12"/>
  <c r="J32"/>
  <c r="J42"/>
  <c r="J22"/>
  <c r="I32"/>
  <c r="I12"/>
  <c r="H22"/>
  <c r="H32"/>
  <c r="H12"/>
  <c r="H2"/>
  <c r="N33" i="4"/>
  <c r="F32" i="17"/>
  <c r="F2"/>
  <c r="F42"/>
  <c r="F12"/>
  <c r="G42"/>
  <c r="G12"/>
  <c r="G2"/>
  <c r="G22"/>
  <c r="F22"/>
  <c r="D33" i="8"/>
  <c r="D26" i="13"/>
  <c r="D22" i="8"/>
  <c r="D19" i="13"/>
  <c r="D9" i="12"/>
  <c r="D37" i="8"/>
  <c r="D32" i="13"/>
  <c r="D41" i="8"/>
  <c r="D7" i="12"/>
  <c r="D28" i="8"/>
  <c r="D20"/>
  <c r="D17" i="13"/>
  <c r="D3" i="8"/>
  <c r="D3" i="13"/>
  <c r="D17" i="8"/>
  <c r="D14" i="13"/>
  <c r="D32" i="8"/>
  <c r="D8" i="12"/>
  <c r="D22" i="13"/>
  <c r="D25" i="8"/>
  <c r="D5"/>
  <c r="D4" i="13"/>
  <c r="D12" i="8"/>
  <c r="D10" i="13"/>
  <c r="D5" i="12"/>
  <c r="D31" i="8"/>
  <c r="E19" i="13"/>
  <c r="E22" i="8"/>
  <c r="D38"/>
  <c r="D30" i="13"/>
  <c r="D29" i="8"/>
  <c r="D25" i="13"/>
  <c r="D12"/>
  <c r="D14" i="8"/>
  <c r="D10"/>
  <c r="D9" i="13"/>
  <c r="D23"/>
  <c r="D26" i="8"/>
  <c r="D16" i="13"/>
  <c r="D19" i="8"/>
  <c r="D35"/>
  <c r="D28" i="13"/>
  <c r="E3"/>
  <c r="E3" i="8"/>
  <c r="E25" i="13"/>
  <c r="E29" i="8"/>
  <c r="E4" i="13"/>
  <c r="E5" i="8"/>
  <c r="E23" i="13"/>
  <c r="E26" i="8"/>
  <c r="E5" i="12"/>
  <c r="E31" i="8"/>
  <c r="E27" i="13"/>
  <c r="E34" i="8"/>
  <c r="E13" i="13"/>
  <c r="E15" i="8"/>
  <c r="E11" i="13"/>
  <c r="E13" i="8"/>
  <c r="E21" i="13"/>
  <c r="E24" i="8"/>
  <c r="E8" i="12"/>
  <c r="E32" i="8"/>
  <c r="E26" i="13"/>
  <c r="E33" i="8"/>
  <c r="E40"/>
  <c r="E10" i="12"/>
  <c r="E22" i="13"/>
  <c r="E25" i="8"/>
  <c r="D6" i="13"/>
  <c r="D7" i="8"/>
  <c r="E14" i="13"/>
  <c r="E17" i="8"/>
  <c r="E17" i="13"/>
  <c r="E20" i="8"/>
  <c r="E12" i="13"/>
  <c r="E14" i="8"/>
  <c r="E7" i="12"/>
  <c r="E28" i="8"/>
  <c r="D30"/>
  <c r="D6" i="12"/>
  <c r="D45" i="17"/>
  <c r="E24" i="13"/>
  <c r="E27" i="8"/>
  <c r="D23" i="17"/>
  <c r="E9" i="13"/>
  <c r="E10" i="8"/>
  <c r="D24" i="13"/>
  <c r="D27" i="8"/>
  <c r="E8" i="13"/>
  <c r="E9" i="8"/>
  <c r="V106" i="4"/>
  <c r="E20" i="13"/>
  <c r="E23" i="8"/>
  <c r="V80" i="4"/>
  <c r="E7" i="13"/>
  <c r="E8" i="8"/>
  <c r="E2" i="13"/>
  <c r="E2" i="8"/>
  <c r="E4" i="12"/>
  <c r="E16" i="8"/>
  <c r="E15" i="13"/>
  <c r="E18" i="8"/>
  <c r="E29" i="13"/>
  <c r="E36" i="8"/>
  <c r="D46" i="17"/>
  <c r="E6" i="13"/>
  <c r="E7" i="8"/>
  <c r="E3" i="12"/>
  <c r="E11" i="8"/>
  <c r="E16" i="13"/>
  <c r="E19" i="8"/>
  <c r="E6" i="12"/>
  <c r="E30" i="8"/>
  <c r="D24" i="17"/>
  <c r="E28" i="13"/>
  <c r="E35" i="8"/>
  <c r="V75" i="4"/>
  <c r="E5" i="13"/>
  <c r="E6" i="8"/>
  <c r="D35" i="17"/>
  <c r="E10" i="13"/>
  <c r="E12" i="8"/>
  <c r="V77" i="4"/>
  <c r="D14" i="17"/>
  <c r="V81" i="4"/>
  <c r="D27" i="17"/>
  <c r="V76" i="4"/>
  <c r="E2" i="17"/>
  <c r="E18" i="13"/>
  <c r="E21" i="8"/>
  <c r="V55" i="4"/>
  <c r="V89"/>
  <c r="D18" i="13"/>
  <c r="D21" i="8"/>
  <c r="V90" i="4"/>
  <c r="V108"/>
  <c r="V97"/>
  <c r="D19" i="17"/>
  <c r="V50" i="4"/>
  <c r="V78"/>
  <c r="V83"/>
  <c r="V88"/>
  <c r="D48" i="17"/>
  <c r="D36"/>
  <c r="V101" i="4"/>
  <c r="V82"/>
  <c r="V86"/>
  <c r="V92"/>
  <c r="V39"/>
  <c r="E12" i="17"/>
  <c r="E42"/>
  <c r="E22"/>
  <c r="V79" i="4"/>
  <c r="D4" i="17"/>
  <c r="D39"/>
  <c r="D8"/>
  <c r="C45"/>
  <c r="C46"/>
  <c r="D34"/>
  <c r="V110" i="4"/>
  <c r="D16" i="17"/>
  <c r="D30"/>
  <c r="D13"/>
  <c r="D49"/>
  <c r="D15"/>
  <c r="V87" i="4"/>
  <c r="V91"/>
  <c r="D7" i="17"/>
  <c r="D26"/>
  <c r="D17"/>
  <c r="C14"/>
  <c r="D43"/>
  <c r="V98" i="4"/>
  <c r="V85"/>
  <c r="D10" i="17"/>
  <c r="D18"/>
  <c r="V109" i="4"/>
  <c r="D37" i="17"/>
  <c r="V107" i="4"/>
  <c r="D38" i="17"/>
  <c r="V105" i="4"/>
  <c r="D28" i="17"/>
  <c r="V103" i="4"/>
  <c r="D25" i="17"/>
  <c r="V100" i="4"/>
  <c r="D44" i="17"/>
  <c r="V111" i="4"/>
  <c r="E33" i="17"/>
  <c r="E32" s="1"/>
  <c r="F2" i="12"/>
  <c r="V99" i="4"/>
  <c r="E2" i="12"/>
  <c r="D33" i="17"/>
  <c r="V96" i="4"/>
  <c r="D50" i="17"/>
  <c r="V95" i="4"/>
  <c r="D9" i="17"/>
  <c r="V94" i="4"/>
  <c r="D3" i="17"/>
  <c r="V93" i="4"/>
  <c r="D6" i="17"/>
  <c r="V74" i="4"/>
  <c r="D5" i="17"/>
  <c r="Q32" i="4"/>
  <c r="V42"/>
  <c r="C47" i="17"/>
  <c r="V60" i="4"/>
  <c r="C6" i="17"/>
  <c r="V63" i="4"/>
  <c r="C50" i="17"/>
  <c r="V70" i="4"/>
  <c r="C23" i="17"/>
  <c r="V64" i="4"/>
  <c r="C4" i="17"/>
  <c r="V44" i="4"/>
  <c r="C40" i="17"/>
  <c r="V41" i="4"/>
  <c r="C3" i="17"/>
  <c r="V65" i="4"/>
  <c r="C28" i="17"/>
  <c r="V61" i="4"/>
  <c r="C35" i="17"/>
  <c r="V69" i="4"/>
  <c r="C37" i="17"/>
  <c r="V73" i="4"/>
  <c r="C17" i="17"/>
  <c r="V40" i="4"/>
  <c r="V49"/>
  <c r="C8" i="17"/>
  <c r="V67" i="4"/>
  <c r="C39" i="17"/>
  <c r="V53" i="4"/>
  <c r="C7" i="17"/>
  <c r="V68" i="4"/>
  <c r="C38" i="17"/>
  <c r="V38" i="4"/>
  <c r="C5" i="17"/>
  <c r="V52" i="4"/>
  <c r="C10" i="17"/>
  <c r="V71" i="4"/>
  <c r="C25" i="17"/>
  <c r="V45" i="4"/>
  <c r="C26" i="17"/>
  <c r="V58" i="4"/>
  <c r="C24" i="17"/>
  <c r="Q37" i="4"/>
  <c r="H37"/>
  <c r="I37" s="1"/>
  <c r="X37" s="1"/>
  <c r="H23"/>
  <c r="I23" s="1"/>
  <c r="X23" s="1"/>
  <c r="M22"/>
  <c r="M16"/>
  <c r="M5"/>
  <c r="L22"/>
  <c r="L16"/>
  <c r="M8"/>
  <c r="L10"/>
  <c r="L33"/>
  <c r="Q34"/>
  <c r="M12"/>
  <c r="N5"/>
  <c r="Q35"/>
  <c r="M9"/>
  <c r="M25"/>
  <c r="M10"/>
  <c r="M37"/>
  <c r="M27"/>
  <c r="M21"/>
  <c r="M20"/>
  <c r="N37"/>
  <c r="H14"/>
  <c r="I14" s="1"/>
  <c r="X14" s="1"/>
  <c r="H10"/>
  <c r="I10" s="1"/>
  <c r="X10" s="1"/>
  <c r="M23"/>
  <c r="M17"/>
  <c r="M11"/>
  <c r="H29"/>
  <c r="I29" s="1"/>
  <c r="X29" s="1"/>
  <c r="M29"/>
  <c r="L31"/>
  <c r="Q33"/>
  <c r="N35"/>
  <c r="N27"/>
  <c r="N25"/>
  <c r="N23"/>
  <c r="N21"/>
  <c r="L20"/>
  <c r="N17"/>
  <c r="L14"/>
  <c r="L12"/>
  <c r="N11"/>
  <c r="N9"/>
  <c r="L8"/>
  <c r="L6"/>
  <c r="L29"/>
  <c r="L35"/>
  <c r="Q36"/>
  <c r="H24"/>
  <c r="I24" s="1"/>
  <c r="X24" s="1"/>
  <c r="H16"/>
  <c r="I16" s="1"/>
  <c r="X16" s="1"/>
  <c r="H8"/>
  <c r="I8" s="1"/>
  <c r="X8" s="1"/>
  <c r="M14"/>
  <c r="M6"/>
  <c r="H17"/>
  <c r="I17" s="1"/>
  <c r="X17" s="1"/>
  <c r="H13"/>
  <c r="I13" s="1"/>
  <c r="X13" s="1"/>
  <c r="H9"/>
  <c r="I9" s="1"/>
  <c r="X9" s="1"/>
  <c r="N31"/>
  <c r="M32"/>
  <c r="M36"/>
  <c r="H36"/>
  <c r="H35"/>
  <c r="I35" s="1"/>
  <c r="X35" s="1"/>
  <c r="H34"/>
  <c r="I34" s="1"/>
  <c r="X34" s="1"/>
  <c r="H33"/>
  <c r="I33" s="1"/>
  <c r="X33" s="1"/>
  <c r="R2" i="12" s="1"/>
  <c r="H32" i="4"/>
  <c r="I32" s="1"/>
  <c r="X32" s="1"/>
  <c r="Q31"/>
  <c r="H31"/>
  <c r="I31" s="1"/>
  <c r="X31" s="1"/>
  <c r="Q28"/>
  <c r="Q29"/>
  <c r="Q30"/>
  <c r="H30"/>
  <c r="I30" s="1"/>
  <c r="X30" s="1"/>
  <c r="H28"/>
  <c r="I28" s="1"/>
  <c r="X28" s="1"/>
  <c r="Q26"/>
  <c r="Q25"/>
  <c r="Q27"/>
  <c r="Q24"/>
  <c r="H27"/>
  <c r="I27" s="1"/>
  <c r="X27" s="1"/>
  <c r="R2" i="13" s="1"/>
  <c r="L30" i="4"/>
  <c r="N32"/>
  <c r="L34"/>
  <c r="I36"/>
  <c r="X36" s="1"/>
  <c r="N36"/>
  <c r="N30"/>
  <c r="N34"/>
  <c r="H26"/>
  <c r="I26" s="1"/>
  <c r="X26" s="1"/>
  <c r="H25"/>
  <c r="I25" s="1"/>
  <c r="X25" s="1"/>
  <c r="Q22"/>
  <c r="Q18"/>
  <c r="Q14"/>
  <c r="S14" s="1"/>
  <c r="Q23"/>
  <c r="H22"/>
  <c r="I22" s="1"/>
  <c r="X22" s="1"/>
  <c r="Q21"/>
  <c r="Q17"/>
  <c r="Q19"/>
  <c r="Q15"/>
  <c r="Q20"/>
  <c r="Q16"/>
  <c r="Q12"/>
  <c r="Q13"/>
  <c r="H21"/>
  <c r="I21" s="1"/>
  <c r="X21" s="1"/>
  <c r="H20"/>
  <c r="I20" s="1"/>
  <c r="X20" s="1"/>
  <c r="H19"/>
  <c r="I19" s="1"/>
  <c r="X19" s="1"/>
  <c r="H18"/>
  <c r="I18" s="1"/>
  <c r="X18" s="1"/>
  <c r="H15"/>
  <c r="I15" s="1"/>
  <c r="X15" s="1"/>
  <c r="H12"/>
  <c r="I12" s="1"/>
  <c r="X12" s="1"/>
  <c r="Q11"/>
  <c r="Q10"/>
  <c r="H11"/>
  <c r="I11" s="1"/>
  <c r="X11" s="1"/>
  <c r="Q7"/>
  <c r="Q3"/>
  <c r="Q6"/>
  <c r="Q5"/>
  <c r="Q9"/>
  <c r="Q8"/>
  <c r="Q4"/>
  <c r="H7"/>
  <c r="I7" s="1"/>
  <c r="X7" s="1"/>
  <c r="H6"/>
  <c r="I6" s="1"/>
  <c r="X6" s="1"/>
  <c r="H5"/>
  <c r="I5" s="1"/>
  <c r="X5" s="1"/>
  <c r="H4"/>
  <c r="I4" s="1"/>
  <c r="X4" s="1"/>
  <c r="H3"/>
  <c r="I3" s="1"/>
  <c r="X3" s="1"/>
  <c r="M2"/>
  <c r="N2"/>
  <c r="L5" i="19" l="1"/>
  <c r="N6"/>
  <c r="H42" i="17"/>
  <c r="I3" i="19" s="1"/>
  <c r="L6"/>
  <c r="L4"/>
  <c r="L3"/>
  <c r="N5"/>
  <c r="N3"/>
  <c r="N4"/>
  <c r="N2"/>
  <c r="R2" i="8"/>
  <c r="M3" i="19"/>
  <c r="M6"/>
  <c r="M2"/>
  <c r="M5"/>
  <c r="M4"/>
  <c r="K6"/>
  <c r="K2"/>
  <c r="K3"/>
  <c r="K4"/>
  <c r="K5"/>
  <c r="J4"/>
  <c r="J2"/>
  <c r="J6"/>
  <c r="J3"/>
  <c r="J5"/>
  <c r="F2"/>
  <c r="F3"/>
  <c r="F5"/>
  <c r="F4"/>
  <c r="F6"/>
  <c r="H2"/>
  <c r="H3"/>
  <c r="H5"/>
  <c r="H4"/>
  <c r="H6"/>
  <c r="G2"/>
  <c r="G3"/>
  <c r="G5"/>
  <c r="G4"/>
  <c r="G6"/>
  <c r="I2"/>
  <c r="I5"/>
  <c r="I6"/>
  <c r="C24" i="13"/>
  <c r="C27" i="8"/>
  <c r="D22" i="17"/>
  <c r="D12"/>
  <c r="S9" i="4"/>
  <c r="D32" i="17"/>
  <c r="D42"/>
  <c r="D2"/>
  <c r="B45"/>
  <c r="C2"/>
  <c r="S13" i="4"/>
  <c r="S16"/>
  <c r="S17"/>
  <c r="S8"/>
  <c r="S10"/>
  <c r="S37"/>
  <c r="S35"/>
  <c r="V14"/>
  <c r="S32"/>
  <c r="S33"/>
  <c r="C4" i="8" s="1"/>
  <c r="S31" i="4"/>
  <c r="S29"/>
  <c r="S28"/>
  <c r="S30"/>
  <c r="S36"/>
  <c r="S25"/>
  <c r="S20"/>
  <c r="S21"/>
  <c r="S15"/>
  <c r="S12"/>
  <c r="S3"/>
  <c r="S4"/>
  <c r="U2" i="12"/>
  <c r="Y3" i="8"/>
  <c r="Y4"/>
  <c r="Y5"/>
  <c r="Y6"/>
  <c r="Y7"/>
  <c r="Y8"/>
  <c r="Y9"/>
  <c r="Y10"/>
  <c r="Y11"/>
  <c r="Y12"/>
  <c r="Y13"/>
  <c r="Y14"/>
  <c r="Y15"/>
  <c r="Y16"/>
  <c r="Y17"/>
  <c r="Y18"/>
  <c r="Y19"/>
  <c r="Y20"/>
  <c r="Y21"/>
  <c r="Y22"/>
  <c r="Y23"/>
  <c r="Y24"/>
  <c r="Y25"/>
  <c r="Y26"/>
  <c r="Y27"/>
  <c r="Y28"/>
  <c r="Y29"/>
  <c r="Y30"/>
  <c r="Y31"/>
  <c r="Y32"/>
  <c r="Y33"/>
  <c r="Y34"/>
  <c r="Y35"/>
  <c r="Y36"/>
  <c r="Y37"/>
  <c r="Y38"/>
  <c r="Y39"/>
  <c r="Y40"/>
  <c r="Y41"/>
  <c r="I4" i="19" l="1"/>
  <c r="E2"/>
  <c r="E3"/>
  <c r="E5"/>
  <c r="E4"/>
  <c r="E6"/>
  <c r="C2" i="12"/>
  <c r="C11" i="8"/>
  <c r="C3" i="12"/>
  <c r="C16" i="13"/>
  <c r="C19" i="8"/>
  <c r="C27" i="13"/>
  <c r="C34" i="8"/>
  <c r="C23" i="13"/>
  <c r="C26" i="8"/>
  <c r="C12"/>
  <c r="C10" i="13"/>
  <c r="C29"/>
  <c r="C36" i="8"/>
  <c r="C5" i="12"/>
  <c r="C31" i="8"/>
  <c r="C38"/>
  <c r="C30" i="13"/>
  <c r="C5" i="8"/>
  <c r="C4" i="13"/>
  <c r="C7" i="12"/>
  <c r="C28" i="8"/>
  <c r="C35"/>
  <c r="C28" i="13"/>
  <c r="C29" i="8"/>
  <c r="C25" i="13"/>
  <c r="C22"/>
  <c r="C25" i="8"/>
  <c r="C10" i="12"/>
  <c r="C40" i="8"/>
  <c r="D20" i="13"/>
  <c r="D23" i="8"/>
  <c r="C4" i="12"/>
  <c r="C16" i="8"/>
  <c r="C30"/>
  <c r="C6" i="12"/>
  <c r="C12" i="13"/>
  <c r="C14" i="8"/>
  <c r="C9" i="12"/>
  <c r="C37" i="8"/>
  <c r="C11" i="13"/>
  <c r="C13" i="8"/>
  <c r="C6"/>
  <c r="C5" i="13"/>
  <c r="D11" i="12"/>
  <c r="V8" i="4"/>
  <c r="V16"/>
  <c r="B29" i="17"/>
  <c r="V9" i="4"/>
  <c r="B49" i="17"/>
  <c r="B7"/>
  <c r="B24"/>
  <c r="B18"/>
  <c r="B26"/>
  <c r="B17"/>
  <c r="B37"/>
  <c r="B38"/>
  <c r="C27"/>
  <c r="B47"/>
  <c r="B36"/>
  <c r="B35"/>
  <c r="B25"/>
  <c r="B33"/>
  <c r="B48"/>
  <c r="B34"/>
  <c r="B4"/>
  <c r="B16"/>
  <c r="B8"/>
  <c r="B28"/>
  <c r="B14"/>
  <c r="V10" i="4"/>
  <c r="V13"/>
  <c r="V17"/>
  <c r="V35"/>
  <c r="V37"/>
  <c r="V25"/>
  <c r="V4"/>
  <c r="V33"/>
  <c r="V28"/>
  <c r="V12"/>
  <c r="V29"/>
  <c r="V15"/>
  <c r="V36"/>
  <c r="V31"/>
  <c r="V21"/>
  <c r="V30"/>
  <c r="V3"/>
  <c r="V20"/>
  <c r="V32"/>
  <c r="B32" i="17" l="1"/>
  <c r="Y2" i="8" l="1"/>
  <c r="M3" i="3" l="1"/>
  <c r="M4" s="1"/>
  <c r="M5" s="1"/>
  <c r="M6" s="1"/>
  <c r="M7" s="1"/>
  <c r="M8" s="1"/>
  <c r="M9" s="1"/>
  <c r="M10" s="1"/>
  <c r="M11" s="1"/>
  <c r="M12" s="1"/>
  <c r="M13" s="1"/>
  <c r="N2"/>
  <c r="N3" s="1"/>
  <c r="N4" s="1"/>
  <c r="N5" s="1"/>
  <c r="N6" s="1"/>
  <c r="N7" s="1"/>
  <c r="N8" s="1"/>
  <c r="N9" s="1"/>
  <c r="N10" s="1"/>
  <c r="N11" s="1"/>
  <c r="N12" s="1"/>
  <c r="N13" s="1"/>
  <c r="T4"/>
  <c r="T5" s="1"/>
  <c r="T6" s="1"/>
  <c r="T7" s="1"/>
  <c r="T8" s="1"/>
  <c r="T9" s="1"/>
  <c r="T10" s="1"/>
  <c r="T11" s="1"/>
  <c r="T12" s="1"/>
  <c r="T13" s="1"/>
  <c r="T14" s="1"/>
  <c r="T15" s="1"/>
  <c r="T16" s="1"/>
  <c r="T17" s="1"/>
  <c r="T18" s="1"/>
  <c r="T19" s="1"/>
  <c r="T20" s="1"/>
  <c r="G2" i="4"/>
  <c r="P66" l="1"/>
  <c r="S66" s="1"/>
  <c r="P62"/>
  <c r="S62" s="1"/>
  <c r="P51"/>
  <c r="S51" s="1"/>
  <c r="P46"/>
  <c r="S46" s="1"/>
  <c r="P57"/>
  <c r="S57" s="1"/>
  <c r="P56"/>
  <c r="S56" s="1"/>
  <c r="P54"/>
  <c r="S54" s="1"/>
  <c r="P43"/>
  <c r="S43" s="1"/>
  <c r="P72"/>
  <c r="S72" s="1"/>
  <c r="D4" i="8" s="1"/>
  <c r="P47" i="4"/>
  <c r="S47" s="1"/>
  <c r="P59"/>
  <c r="S59" s="1"/>
  <c r="P48"/>
  <c r="S48" s="1"/>
  <c r="P7"/>
  <c r="S7" s="1"/>
  <c r="P11"/>
  <c r="S11" s="1"/>
  <c r="P22"/>
  <c r="S22" s="1"/>
  <c r="P18"/>
  <c r="S18" s="1"/>
  <c r="P24"/>
  <c r="S24" s="1"/>
  <c r="P34"/>
  <c r="S34" s="1"/>
  <c r="P5"/>
  <c r="S5" s="1"/>
  <c r="P19"/>
  <c r="S19" s="1"/>
  <c r="P23"/>
  <c r="S23" s="1"/>
  <c r="P26"/>
  <c r="S26" s="1"/>
  <c r="P27"/>
  <c r="S27" s="1"/>
  <c r="P6"/>
  <c r="S6" s="1"/>
  <c r="T21" i="3"/>
  <c r="T22" s="1"/>
  <c r="T23" s="1"/>
  <c r="T24" s="1"/>
  <c r="T25" s="1"/>
  <c r="T26" s="1"/>
  <c r="T27" s="1"/>
  <c r="T28" s="1"/>
  <c r="T29" s="1"/>
  <c r="T30" s="1"/>
  <c r="T31" s="1"/>
  <c r="T32" s="1"/>
  <c r="T33" s="1"/>
  <c r="T34" s="1"/>
  <c r="T35" s="1"/>
  <c r="T36" s="1"/>
  <c r="T37" s="1"/>
  <c r="T38" s="1"/>
  <c r="T39" s="1"/>
  <c r="C20" i="13" l="1"/>
  <c r="C23" i="8"/>
  <c r="C2" i="13"/>
  <c r="C2" i="8"/>
  <c r="C3"/>
  <c r="C3" i="13"/>
  <c r="C20" i="8"/>
  <c r="C17" i="13"/>
  <c r="C7"/>
  <c r="C8" i="8"/>
  <c r="C10"/>
  <c r="C9" i="13"/>
  <c r="C33" i="8"/>
  <c r="C26" i="13"/>
  <c r="C6"/>
  <c r="C7" i="8"/>
  <c r="C15" i="13"/>
  <c r="C18" i="8"/>
  <c r="C9"/>
  <c r="C8" i="13"/>
  <c r="C24" i="8"/>
  <c r="C21" i="13"/>
  <c r="D27"/>
  <c r="D34" i="8"/>
  <c r="D15" i="13"/>
  <c r="D18" i="8"/>
  <c r="D11"/>
  <c r="D3" i="12"/>
  <c r="D7" i="13"/>
  <c r="D8" i="8"/>
  <c r="D4" i="12"/>
  <c r="D16" i="8"/>
  <c r="D2" i="13"/>
  <c r="D2" i="8"/>
  <c r="D24"/>
  <c r="D21" i="13"/>
  <c r="D13"/>
  <c r="D15" i="8"/>
  <c r="D6"/>
  <c r="D5" i="13"/>
  <c r="D11"/>
  <c r="D13" i="8"/>
  <c r="D9"/>
  <c r="D8" i="13"/>
  <c r="C18"/>
  <c r="C21" i="8"/>
  <c r="B27" i="17"/>
  <c r="B22" s="1"/>
  <c r="B6"/>
  <c r="B46"/>
  <c r="V48" i="4"/>
  <c r="C49" i="17"/>
  <c r="V43" i="4"/>
  <c r="C15" i="17"/>
  <c r="V46" i="4"/>
  <c r="C30" i="17"/>
  <c r="C22" s="1"/>
  <c r="B13"/>
  <c r="B15"/>
  <c r="B19"/>
  <c r="V59" i="4"/>
  <c r="C19" i="17"/>
  <c r="V54" i="4"/>
  <c r="C48" i="17"/>
  <c r="V51" i="4"/>
  <c r="C29" i="17"/>
  <c r="B39"/>
  <c r="B23"/>
  <c r="B43"/>
  <c r="V47" i="4"/>
  <c r="C36" i="17"/>
  <c r="V56" i="4"/>
  <c r="C13" i="17"/>
  <c r="V62" i="4"/>
  <c r="C34" i="17"/>
  <c r="B9"/>
  <c r="B44"/>
  <c r="V72" i="4"/>
  <c r="C33" i="17"/>
  <c r="D2" i="12"/>
  <c r="V57" i="4"/>
  <c r="C44" i="17"/>
  <c r="V66" i="4"/>
  <c r="C43" i="17"/>
  <c r="B3"/>
  <c r="V22" i="4"/>
  <c r="V26"/>
  <c r="V24"/>
  <c r="V6"/>
  <c r="V19"/>
  <c r="V18"/>
  <c r="V27"/>
  <c r="V5"/>
  <c r="V34"/>
  <c r="V11"/>
  <c r="V23"/>
  <c r="V7"/>
  <c r="S2" i="13" l="1"/>
  <c r="T2" s="1"/>
  <c r="V2" i="8"/>
  <c r="S2" i="12"/>
  <c r="T2" s="1"/>
  <c r="S2" i="8"/>
  <c r="T2" s="1"/>
  <c r="B12" i="17"/>
  <c r="B42"/>
  <c r="C42"/>
  <c r="C32"/>
  <c r="C12"/>
  <c r="D4" i="19" l="1"/>
  <c r="D5"/>
  <c r="D3"/>
  <c r="D2"/>
  <c r="D6"/>
  <c r="B2" i="4"/>
  <c r="H2" l="1"/>
  <c r="Q2"/>
  <c r="U2"/>
  <c r="R2"/>
  <c r="N12" i="17" l="1"/>
  <c r="N22"/>
  <c r="N32"/>
  <c r="N42"/>
  <c r="I2" i="4"/>
  <c r="X2" s="1"/>
  <c r="P2" l="1"/>
  <c r="S2" s="1"/>
  <c r="C22" i="8" l="1"/>
  <c r="C19" i="13"/>
  <c r="B5" i="17"/>
  <c r="B2" s="1"/>
  <c r="V2" i="4"/>
  <c r="C2" i="19" l="1"/>
  <c r="C3"/>
  <c r="C5"/>
  <c r="C4"/>
  <c r="C6"/>
  <c r="N2" i="17"/>
  <c r="O5" i="19" l="1"/>
  <c r="O4"/>
  <c r="O3"/>
  <c r="O6"/>
  <c r="O2"/>
</calcChain>
</file>

<file path=xl/sharedStrings.xml><?xml version="1.0" encoding="utf-8"?>
<sst xmlns="http://schemas.openxmlformats.org/spreadsheetml/2006/main" count="1230" uniqueCount="228">
  <si>
    <t>Editie pilot</t>
  </si>
  <si>
    <t>Casu Igor</t>
  </si>
  <si>
    <t>Florin Ionita</t>
  </si>
  <si>
    <t>Adrian Chiru</t>
  </si>
  <si>
    <t>Editia 1</t>
  </si>
  <si>
    <t>decembrie 2017</t>
  </si>
  <si>
    <t>Cristina Man</t>
  </si>
  <si>
    <t>Eduard Ene</t>
  </si>
  <si>
    <t>Silviu Burcea</t>
  </si>
  <si>
    <t>ian-mar 2018</t>
  </si>
  <si>
    <t>Editia 2</t>
  </si>
  <si>
    <t>Editia 3</t>
  </si>
  <si>
    <t>apr-iun 2018</t>
  </si>
  <si>
    <t>Cristian Dumitru C</t>
  </si>
  <si>
    <t>Distanta: </t>
  </si>
  <si>
    <t>Puncte Fete/Baieti</t>
  </si>
  <si>
    <t>Viteza (min/km) </t>
  </si>
  <si>
    <t>Puncte Fete Baieti</t>
  </si>
  <si>
    <t>5 max 4:30/max 4:00</t>
  </si>
  <si>
    <t>4.5 max 4.45/max 4:15</t>
  </si>
  <si>
    <t>4 max 5:00/max 4:30</t>
  </si>
  <si>
    <t>3.5 max 5:15/max 4:45</t>
  </si>
  <si>
    <t>3 max 5:30/max 5:00</t>
  </si>
  <si>
    <t>2.5 max 5:45/max 5:15</t>
  </si>
  <si>
    <t>2 max 6:00/max 5:30</t>
  </si>
  <si>
    <t>1.5 max 6:30/max 6:00</t>
  </si>
  <si>
    <t>Hashtagul de #LigaSYR</t>
  </si>
  <si>
    <t>se posteaza o singura data. Dacă ați postat de mai multe ori eu o sa iau in calcul prima alergare așa că dacă postați o alergare mai buna intrați pe postarea veche și ștergeți hashtag-ul.</t>
  </si>
  <si>
    <t>Deadline postari alergari</t>
  </si>
  <si>
    <t>min</t>
  </si>
  <si>
    <t>pct/dist</t>
  </si>
  <si>
    <t>max</t>
  </si>
  <si>
    <t>pct/viteza</t>
  </si>
  <si>
    <t>Etapa</t>
  </si>
  <si>
    <t>F</t>
  </si>
  <si>
    <t>M</t>
  </si>
  <si>
    <t>Nume</t>
  </si>
  <si>
    <t>M/F</t>
  </si>
  <si>
    <t>Distanta</t>
  </si>
  <si>
    <t>Timp</t>
  </si>
  <si>
    <t>Viteza</t>
  </si>
  <si>
    <t>Pct distanta</t>
  </si>
  <si>
    <t>Pct viteza</t>
  </si>
  <si>
    <t>TOTAL ETAPA</t>
  </si>
  <si>
    <t>Ziua postarii</t>
  </si>
  <si>
    <t>Check single entry</t>
  </si>
  <si>
    <t>oct-dec 2018</t>
  </si>
  <si>
    <t>Catalin Holban</t>
  </si>
  <si>
    <t>Ana-Maria Rusu</t>
  </si>
  <si>
    <t>Catalin Tintareanu</t>
  </si>
  <si>
    <t>Oana Elena</t>
  </si>
  <si>
    <t>Oana Trif</t>
  </si>
  <si>
    <t>Andrei Mezofii</t>
  </si>
  <si>
    <t>Dan Spataru</t>
  </si>
  <si>
    <t>Ovidiu Gavrilovici</t>
  </si>
  <si>
    <t>Robert Herman</t>
  </si>
  <si>
    <t>Andrei Diaconescu</t>
  </si>
  <si>
    <t>Bogdan Tala</t>
  </si>
  <si>
    <t>Anamaria Catalina</t>
  </si>
  <si>
    <t>Constandan Cornelius</t>
  </si>
  <si>
    <t>Marius Iulian Alecu</t>
  </si>
  <si>
    <t>Alex Ionut Husariu</t>
  </si>
  <si>
    <t>Cosmin Niculescu</t>
  </si>
  <si>
    <t>Adrico Adrian</t>
  </si>
  <si>
    <t>Flo Dum</t>
  </si>
  <si>
    <t>Vasi Minzatu</t>
  </si>
  <si>
    <t>Dan Mihaescu</t>
  </si>
  <si>
    <t>Giuliana Sadovei</t>
  </si>
  <si>
    <t>Marius Enescu</t>
  </si>
  <si>
    <t>5 puncte</t>
  </si>
  <si>
    <t>4 puncte</t>
  </si>
  <si>
    <t>3 puncte</t>
  </si>
  <si>
    <t>2 puncte</t>
  </si>
  <si>
    <t>1 punct</t>
  </si>
  <si>
    <t>doar cateva cuvinte</t>
  </si>
  <si>
    <t>0 puncte</t>
  </si>
  <si>
    <t>simpla mentionare a #ligaSYR</t>
  </si>
  <si>
    <t>Scurta prezentare</t>
  </si>
  <si>
    <t>Prezentare de nivel mediu</t>
  </si>
  <si>
    <t>Se dau de la 1 la 5 puncte cu plusuri pentru: descriere frumoasa, ceva amuzant, poze, nr de like-uri, conditii speciale, traseu desenat etc. Aici e la latitudinea fiecaruia sa impresioneze cum stie, iar eu voi incerca sa fiu cat mai "obiectiv". Ca orientare, criteriile sunt ca mai jos, dar aici nu e nimic exact si nu ma voi apuca sa le bifez la fiecare</t>
  </si>
  <si>
    <t>Prezentare completa si frumoasa, eventual amuzanta, elemente deosebite de povestire, fotografii, filmulete, conditii speciale de mediu etc</t>
  </si>
  <si>
    <t xml:space="preserve">Prezentare interesanta, poze etc </t>
  </si>
  <si>
    <t>Cosmin Constantin Popa</t>
  </si>
  <si>
    <t>Silvia Medinschi</t>
  </si>
  <si>
    <t>Bonusuri</t>
  </si>
  <si>
    <t>Premii</t>
  </si>
  <si>
    <t>Daniel Moldoveanu</t>
  </si>
  <si>
    <t>Regulament:</t>
  </si>
  <si>
    <t>Prezentare</t>
  </si>
  <si>
    <t>Loc</t>
  </si>
  <si>
    <t>DISTANTA</t>
  </si>
  <si>
    <t>TOTAL</t>
  </si>
  <si>
    <t>VITEZA</t>
  </si>
  <si>
    <t>Bonus elevatie</t>
  </si>
  <si>
    <t>Naidin Marian Laurentiu</t>
  </si>
  <si>
    <t>Gen</t>
  </si>
  <si>
    <t>Editia 4</t>
  </si>
  <si>
    <t>ian-apr 2019</t>
  </si>
  <si>
    <t>5 min 20km/min 21km</t>
  </si>
  <si>
    <t>4,5 min 18km/min 19km</t>
  </si>
  <si>
    <t>4 min 16km/min 17km</t>
  </si>
  <si>
    <t>3,5 min 14km/min 15km</t>
  </si>
  <si>
    <t>3 min 11,5 km/min 12km</t>
  </si>
  <si>
    <t>2,5 min 9km/min 9,5km</t>
  </si>
  <si>
    <t>2 min 6,5km/min 7km</t>
  </si>
  <si>
    <t>1,5 min 4,5km/min 5km</t>
  </si>
  <si>
    <t>1 min 2,5km/min 3km</t>
  </si>
  <si>
    <t>Bonus distanta</t>
  </si>
  <si>
    <t>Prezentare (O SA FIE SI JUMATATI DE PUNCT) </t>
  </si>
  <si>
    <t>1. Cine poate participa? Oricine, membru al grupului Share your run.</t>
  </si>
  <si>
    <t>2. Poti participa la cate etape doresti/poti (nu mai eliminam pe motiv de absente, ci doar dam bonusuri de prezenta - vezi mai jos)</t>
  </si>
  <si>
    <t>3. Cand ma pot inscrie? ORICAND, prin simpla postare de alergari cu #ligaSYR. De preferat, totusi, sa se anunte.</t>
  </si>
  <si>
    <t>4. Cum se desfasoara? O ETAPA PE SAPTAMANA (luni-duminica) cu cate o singura alergare care puncteaza la categoriile: distanta, viteza si prezentare (vezi mai jos baremul)</t>
  </si>
  <si>
    <t>In fiecare LUNI, ora 23:59 (ora Romaniei). Ce se posteaza dupa aceasta data/ora nu va fi luat in considerare. Alergarea trebuie insa sa fie tot din saptamana etapei.</t>
  </si>
  <si>
    <t>Cristian Ungureanu</t>
  </si>
  <si>
    <t>Codrin Constantin</t>
  </si>
  <si>
    <t>Razvan Dobrovici</t>
  </si>
  <si>
    <t>Gorcioaia Flor Ionut</t>
  </si>
  <si>
    <t>Eficienta</t>
  </si>
  <si>
    <t>Editia 5</t>
  </si>
  <si>
    <t>mai-aug 2019</t>
  </si>
  <si>
    <t>Sistem de punctaj: </t>
  </si>
  <si>
    <t>Bonus viteza</t>
  </si>
  <si>
    <t>Bonus varsta</t>
  </si>
  <si>
    <t>Elevatie</t>
  </si>
  <si>
    <t>5. DOAR PENTRU POSTARE, e voie sa se intarzie pana in lunea de dupa etapa. Chiar daca ai postat lunea urmatoare, alergarea trebuie sa fie tot din saptamana etapei.</t>
  </si>
  <si>
    <t>6. Cum se puncteaza? Fiecare va posta alergarile (in ziua in care au fost facute, indiferent daca sunt antrenamente sau curse), ca si pana acum, OBLIGATORIU TREBUIND SA MENTIONEZE CU CARE PARTICIPA (HASTAG #ligaSYR). IN CAZ DE LIPSA HASTAG, NU SE VA PUNCTA!!!.  De restul calculelor in excel ma ocup eu</t>
  </si>
  <si>
    <t>8. Ca să punctezi la viteză, trebuie să ai și distanță de minim 1p.</t>
  </si>
  <si>
    <t>10. Se accepta orice aplicatie (Garmin, Strava, Endomondo, Runtastic etc), recomandat fiind sa faceti si o descriere, puneti cateva poze, chestii amuzante etc pentru a lua puncte la prezentare. ATENTIE! POSTAREA SA FIE VIZIBILA DE CATRE TOTI si, de preferat, fara print screen, ci doar link din aplicatie. 
Se accepta si alergari pe banda, dar nu introduse manual in aplicatie. 
De asemenea, nu se accepta folosirea pauzei la ceas la intervale, etc, ci doar in situatii exceptionale (stat la semafor), dar acestea trebuie limitate la minimum</t>
  </si>
  <si>
    <t>13. Cum se face departajarea, in caz de egalitate de puncte? Distanta mai mare alergata, in cursul sezonului</t>
  </si>
  <si>
    <t>14. Fiecare participant, are dreptul la o saptamana de scutire (dupa ce a participat deja la macar una), pe motiv de sanatate, vacante etc, dar trebuie sa anunte in intervalul etapei. Va primi din oficiu 1,5 puncte</t>
  </si>
  <si>
    <t>Borza Ionut</t>
  </si>
  <si>
    <t>Editia 6</t>
  </si>
  <si>
    <t>sep-dec 2019</t>
  </si>
  <si>
    <t>Editia 7</t>
  </si>
  <si>
    <t>ian-apr 2020</t>
  </si>
  <si>
    <t>Codrin</t>
  </si>
  <si>
    <t>Sper sa fie o conditionare in S7 apropos de viteza (ex. minim trei etape cu punct sau puncte, etc)</t>
  </si>
  <si>
    <t>Propun ca bonusul de distanta sa fie acordat doar in etapa de distanta...bonusul de viteza sa se acorde doar in etapa de viteza iar bonusul de elevatie propun sa fie putin mai discutabil</t>
  </si>
  <si>
    <t>Cosmin P</t>
  </si>
  <si>
    <t>la 3 absente nemotivate (nu neaparat consecutive) propun excludere din sezonul ligii respective...de ce sa imi scada mie sansa de castig la final din cauza unuia care a alergat de doua-trei ori iar eu mi-am sacrificat nervii si timpul sa fiu prezent etapa de etapa</t>
  </si>
  <si>
    <t>NU</t>
  </si>
  <si>
    <t>DA</t>
  </si>
  <si>
    <t>Avem deja la 6 absente excluderea de la tragere</t>
  </si>
  <si>
    <t>Cresterea un pic a bonusului de distanta</t>
  </si>
  <si>
    <t>Un singur bonus pe etapa</t>
  </si>
  <si>
    <t>Scaderea un pic a bonusului de elevatie</t>
  </si>
  <si>
    <t>Cresterea un pic a bonusului de viteza, eventual dublat</t>
  </si>
  <si>
    <t>Marius</t>
  </si>
  <si>
    <t>De dat la 5 km, nu la 7</t>
  </si>
  <si>
    <t>Sau conditionarea bonusului de distanta de obtinerea a min 1 p la viteza</t>
  </si>
  <si>
    <t>Silviu</t>
  </si>
  <si>
    <t>mai putem umbla la pragul de 1p la viteza, sa devina 7.30/km M ?i 8.30/km F pentru a face ideea sa mearga ?i sa nu fie prea dur baremul pentru montaniarzi.</t>
  </si>
  <si>
    <t>Putem pune 8:30 la baieti si 10:00 la fete</t>
  </si>
  <si>
    <t>Eu a? propune doar coborârea pragului existent de la 15, de exemplu la 10 pe mie, sau chiar 12 pt viteza minima ca sa punctezi la distanta</t>
  </si>
  <si>
    <t>???</t>
  </si>
  <si>
    <t>1 max 9:00/ max 8:00</t>
  </si>
  <si>
    <t>9. Ca să punctezi la distanta, trebuie să ai și viteză mai buna de 11:00 pe mie la baieti si 13:00 pe mie la fete</t>
  </si>
  <si>
    <t>VITEZA min pt dist</t>
  </si>
  <si>
    <r>
      <rPr>
        <b/>
        <sz val="9"/>
        <rFont val="Calibri"/>
        <family val="2"/>
        <scheme val="minor"/>
      </rPr>
      <t>DISTANTA</t>
    </r>
    <r>
      <rPr>
        <sz val="9"/>
        <rFont val="Calibri"/>
        <family val="2"/>
        <scheme val="minor"/>
      </rPr>
      <t>: Pentru distanta peste semi: 0,1 puncte pentru fiecare 5 km in plus (de exemplu: la 36 de km alergati ai 36-21=15/5=3... =&gt;0.3puncte bonus). ATENTIE: Se acorda la fiecare etapa in plus fata de punctajul calculat obisnuit, drept compensatie pentru scaderea de viteza pe distanta si nu este conditionat de viteza minima</t>
    </r>
  </si>
  <si>
    <r>
      <rPr>
        <b/>
        <sz val="9"/>
        <rFont val="Calibri"/>
        <family val="2"/>
        <scheme val="minor"/>
      </rPr>
      <t>VARSTA</t>
    </r>
    <r>
      <rPr>
        <sz val="9"/>
        <rFont val="Calibri"/>
        <family val="2"/>
        <scheme val="minor"/>
      </rPr>
      <t>: bonus acordat indiferent de punctele realizate in etapa. Se acorda 0,5 puncte bonus pt cei de 50 de ani si peste, 0,75p la 60 de ani si 1p la 70 si peste.  MENTIUNE: Trebuie ca participantul sa ma contacteze pentru a imi comunica varsta, in cazul in care doreste sa beneficieze de acest bonus.</t>
    </r>
  </si>
  <si>
    <t>BONUS VITEZA</t>
  </si>
  <si>
    <t>BONUS DIST</t>
  </si>
  <si>
    <t>Prima zi</t>
  </si>
  <si>
    <t>Ultima zi</t>
  </si>
  <si>
    <t>Andrei Ivanescu</t>
  </si>
  <si>
    <t>Oana Madalina Leonte</t>
  </si>
  <si>
    <t>Ioana Vaida</t>
  </si>
  <si>
    <t>Geo Ionut</t>
  </si>
  <si>
    <t>Elena Juganaru</t>
  </si>
  <si>
    <t>Teodor Petrut</t>
  </si>
  <si>
    <t>Hanchevici Codrut</t>
  </si>
  <si>
    <t>Ramona Matica</t>
  </si>
  <si>
    <t>Bogdan Covaci</t>
  </si>
  <si>
    <t>Old/new</t>
  </si>
  <si>
    <t>Evolutie</t>
  </si>
  <si>
    <t>Anterior</t>
  </si>
  <si>
    <t>New</t>
  </si>
  <si>
    <t>PREZENTA</t>
  </si>
  <si>
    <t>Editia 8</t>
  </si>
  <si>
    <t>iun-aug 2020</t>
  </si>
  <si>
    <t>Tip</t>
  </si>
  <si>
    <t>D</t>
  </si>
  <si>
    <t>V</t>
  </si>
  <si>
    <t>P</t>
  </si>
  <si>
    <t>Câte un voucher de 300 de lei cumpărături pe siteul Infinityrun.ro pentru câștigătorii #ligaSyR la feminin, respectiv masculin</t>
  </si>
  <si>
    <t>Un suport de medalii, prin tragere la sorti, de la Sendone</t>
  </si>
  <si>
    <t>11. Sunt avantajati vitezistii sau long-runnerii? Nu, pentru ca ponderea criteriilor care puncteaza va fi diferita, de la o etapa la alta (50%, 25%, 25%), avand totusi un echilibru pe tot sezonul intre categorii</t>
  </si>
  <si>
    <t>Ajustarea turelor cu elevatie generala semnificativ negativa de la -50m elevație totală negativă, aplicăm un bonus negativ de elevatie. Fix același calcul că la cel pozitiv, dar cu minus. Oricum, apelez la buna credință și fair play.</t>
  </si>
  <si>
    <r>
      <rPr>
        <b/>
        <sz val="9"/>
        <color rgb="FFFF0000"/>
        <rFont val="Calibri"/>
        <family val="2"/>
        <scheme val="minor"/>
      </rPr>
      <t>ELEVATIE</t>
    </r>
    <r>
      <rPr>
        <sz val="9"/>
        <color rgb="FFFF0000"/>
        <rFont val="Calibri"/>
        <family val="2"/>
        <scheme val="minor"/>
      </rPr>
      <t>: Pentru diferenta de nivel pozitiva (elevation) de 100m si peste se acorda proportional un nr de puncte egal cu elevatia impartita la 1500 (de exemplu: la o elevatie pozitiva de +300m vei avea 300/1500=0,2 puncte, la +1700m vei avea 1700/1500=1,13 puncte, iar la un +4000m vei avea 4000/1500=2,67 puncte bonus)
Se acorda la fiecare etapa in plus fata de punctajul calculat obisnuit, drept compensatie pentru scaderea de viteza pe urcare
Recomandabil sa se mentioneze in prezentare ca a fost cu diferenta de nivel</t>
    </r>
  </si>
  <si>
    <r>
      <rPr>
        <b/>
        <sz val="9"/>
        <color rgb="FFFF0000"/>
        <rFont val="Calibri"/>
        <family val="2"/>
        <scheme val="minor"/>
      </rPr>
      <t>PREZENTA (se acorda la final)</t>
    </r>
    <r>
      <rPr>
        <sz val="9"/>
        <color rgb="FFFF0000"/>
        <rFont val="Calibri"/>
        <family val="2"/>
        <scheme val="minor"/>
      </rPr>
      <t>: 12 etape (3p), 11 etape (2p) si 10 etape (1p)</t>
    </r>
  </si>
  <si>
    <t>12. Fiecare participant mentioneaza la ce vrea sa puncteze in fiecare etapa (prezentare, viteza sau distanta) si va conta cu 50% la categoria respectiva, celelalte avand cate 25%. Daca nu se mentioneaza, se va puncta conform programului tras la sorti.</t>
  </si>
  <si>
    <t>12b. Dupa epuizarea a 4 etape dintr-o anumita categorie, se va alege din cele ramase.</t>
  </si>
  <si>
    <t>12c. Pentru cei care nu aleg la ce sa puncteze sau uita acest lucru, avem un program standard, care incepe cu o saptamana prezentare, urmat de distanta si apoi viteza si se repeta pana la etapa 12.</t>
  </si>
  <si>
    <t>15. Vom avea 5 echipe, stabilite prin tragere la sorti, avand drept capitani pe primii 5 din S7. Echipele se vor stabili după prima etapă, ca să nu fie incluși cei care s-au retras după ediția trecută, iar nou veniții vor fi alocați în ordine prin tragere la sorți .
Numele pot fi oricare legate de lumea alergarii.
Punctajele de echipa în fiecare etapă se fac ca medie intre punctajele fiecărui membru, eliminând cel mai bun și cel mai slab (inclusiv zero).</t>
  </si>
  <si>
    <t>Unicornii</t>
  </si>
  <si>
    <t>X Æ A-12</t>
  </si>
  <si>
    <t xml:space="preserve"> Let it run</t>
  </si>
  <si>
    <t>Serioranistii</t>
  </si>
  <si>
    <t>Tenchei</t>
  </si>
  <si>
    <t>Viorel Tabara</t>
  </si>
  <si>
    <t>Mita Romanita</t>
  </si>
  <si>
    <t>Petru Dolhescu</t>
  </si>
  <si>
    <t>Tala Lucian</t>
  </si>
  <si>
    <t>Robea Ionut</t>
  </si>
  <si>
    <t>Tudor Cristian</t>
  </si>
  <si>
    <t>Mirea Gabriel Umberto</t>
  </si>
  <si>
    <t>lista pt tragere la sorti</t>
  </si>
  <si>
    <t>Dranceanu Bogdan Valentin</t>
  </si>
  <si>
    <t>Gorcioaia Florin Ionut</t>
  </si>
  <si>
    <t>Codruta Holban</t>
  </si>
  <si>
    <t>Doua evaluari 3D la Centrul Superfit, prin tragere la sorti</t>
  </si>
  <si>
    <t>Echipa</t>
  </si>
  <si>
    <r>
      <rPr>
        <b/>
        <sz val="9"/>
        <color rgb="FFFF0000"/>
        <rFont val="Calibri"/>
        <family val="2"/>
        <scheme val="minor"/>
      </rPr>
      <t>VITEZA</t>
    </r>
    <r>
      <rPr>
        <sz val="9"/>
        <color rgb="FFFF0000"/>
        <rFont val="Calibri"/>
        <family val="2"/>
        <scheme val="minor"/>
      </rPr>
      <t>: bonusuri care cresc exponential pentru fiecare 5 secunde sub baremul de 5 puncte (4:30 la fete sau 4:00 la baieti). De ex: un baiat care fuge cu 3:25 pe mie va lua 3,6 puncte bonus, iar o fata care fuge cu 3:47 ia 4,5p bonus. Bonusul creste mai mult la viteze mai mari. ATENTIE: aici avem DISTANTA MINIMA de 1,609 km, pentru toata lumea. Aceasta reprezinta o exceptie la art 8 din regulament!</t>
    </r>
  </si>
  <si>
    <t>Count of Tip</t>
  </si>
  <si>
    <t>Row Labels</t>
  </si>
  <si>
    <t>D/V/P</t>
  </si>
  <si>
    <t>Total prezente</t>
  </si>
  <si>
    <t>Let it run</t>
  </si>
  <si>
    <t>la etapa de viteza sa fie obligatoriu marcat ca race si / sau sa iei in calcul elapsed. Si restul sa fie moving</t>
  </si>
  <si>
    <t>atentie la elapsed vs moving time. Punem elapsed, ca pauzele de poze compenseaza la prezentare</t>
  </si>
  <si>
    <t xml:space="preserve">echipe schimbate: eventual sa se ia doar concurentii care au punctat din care eliminam pe primul si ultimul sau </t>
  </si>
  <si>
    <t>echipe in care fiecare sa isi aleaga in ce echipa merge si sa se aloce in functie de clasament</t>
  </si>
  <si>
    <t>7. Avem si bonusuri de elevatie, viteza, distanta si varsta (vedeti mai jos), ca exceptie la art 8, 9</t>
  </si>
  <si>
    <r>
      <t xml:space="preserve">Bonus (la final) pentru cei care au un numar de </t>
    </r>
    <r>
      <rPr>
        <b/>
        <sz val="9"/>
        <rFont val="Calibri"/>
        <family val="2"/>
        <scheme val="minor"/>
      </rPr>
      <t>etape cu punctaj minim la viteza</t>
    </r>
    <r>
      <rPr>
        <sz val="9"/>
        <rFont val="Calibri"/>
        <family val="2"/>
        <scheme val="minor"/>
      </rPr>
      <t>. Astfel, 1p bonus pentru min 5 etape, 3p pentru min 10 etape, 5p pentru min 12 etape</t>
    </r>
  </si>
  <si>
    <t>Bonus final la viteza</t>
  </si>
  <si>
    <t>Bonus final viteza</t>
  </si>
  <si>
    <t>de mentionat ca bonusurile de final (prezenta si viteza) nu se aplica la echipe</t>
  </si>
</sst>
</file>

<file path=xl/styles.xml><?xml version="1.0" encoding="utf-8"?>
<styleSheet xmlns="http://schemas.openxmlformats.org/spreadsheetml/2006/main">
  <numFmts count="6">
    <numFmt numFmtId="164" formatCode="_(* #,##0.00_);_(* \(#,##0.00\);_(* &quot;-&quot;??_);_(@_)"/>
    <numFmt numFmtId="165" formatCode="h:mm:ss;@"/>
    <numFmt numFmtId="166" formatCode="_(* #,##0.0_);_(* \(#,##0.0\);_(* &quot;-&quot;??_);_(@_)"/>
    <numFmt numFmtId="167" formatCode="_(* #,##0_);_(* \(#,##0\);_(* &quot;-&quot;??_);_(@_)"/>
    <numFmt numFmtId="168" formatCode="0.0"/>
    <numFmt numFmtId="169" formatCode="[$-F800]dddd\,\ mmmm\ dd\,\ yyyy"/>
  </numFmts>
  <fonts count="26">
    <font>
      <sz val="11"/>
      <color theme="1"/>
      <name val="Calibri"/>
      <family val="2"/>
      <scheme val="minor"/>
    </font>
    <font>
      <sz val="9"/>
      <color rgb="FF1D2129"/>
      <name val="Calibri"/>
      <family val="2"/>
      <scheme val="minor"/>
    </font>
    <font>
      <sz val="9"/>
      <color theme="1"/>
      <name val="Calibri"/>
      <family val="2"/>
      <scheme val="minor"/>
    </font>
    <font>
      <b/>
      <sz val="9"/>
      <color rgb="FF1D2129"/>
      <name val="Calibri"/>
      <family val="2"/>
      <scheme val="minor"/>
    </font>
    <font>
      <sz val="9"/>
      <color rgb="FFFF0000"/>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sz val="11"/>
      <color rgb="FFFF0000"/>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b/>
      <sz val="8"/>
      <color theme="1"/>
      <name val="Calibri"/>
      <family val="2"/>
      <scheme val="minor"/>
    </font>
    <font>
      <sz val="9"/>
      <name val="Calibri"/>
      <family val="2"/>
      <scheme val="minor"/>
    </font>
    <font>
      <b/>
      <sz val="9"/>
      <name val="Calibri"/>
      <family val="2"/>
      <scheme val="minor"/>
    </font>
    <font>
      <b/>
      <u/>
      <sz val="9"/>
      <name val="Calibri"/>
      <family val="2"/>
      <scheme val="minor"/>
    </font>
    <font>
      <b/>
      <sz val="9"/>
      <color theme="0"/>
      <name val="Calibri"/>
      <family val="2"/>
      <scheme val="minor"/>
    </font>
    <font>
      <sz val="9"/>
      <color theme="0"/>
      <name val="Calibri"/>
      <family val="2"/>
      <scheme val="minor"/>
    </font>
    <font>
      <b/>
      <sz val="9"/>
      <color rgb="FFFF0000"/>
      <name val="Calibri"/>
      <family val="2"/>
      <scheme val="minor"/>
    </font>
    <font>
      <b/>
      <sz val="9"/>
      <color theme="1"/>
      <name val="Calibri"/>
      <family val="2"/>
      <charset val="238"/>
      <scheme val="minor"/>
    </font>
    <font>
      <b/>
      <sz val="9"/>
      <name val="Calibri"/>
      <family val="2"/>
      <charset val="238"/>
      <scheme val="minor"/>
    </font>
    <font>
      <sz val="9"/>
      <name val="Calibri"/>
      <family val="2"/>
      <charset val="238"/>
      <scheme val="minor"/>
    </font>
    <font>
      <sz val="9"/>
      <color rgb="FFFF0000"/>
      <name val="Calibri"/>
      <family val="2"/>
      <charset val="238"/>
      <scheme val="minor"/>
    </font>
    <font>
      <sz val="9"/>
      <color rgb="FFFFFF00"/>
      <name val="Calibri"/>
      <family val="2"/>
      <scheme val="minor"/>
    </font>
  </fonts>
  <fills count="15">
    <fill>
      <patternFill patternType="none"/>
    </fill>
    <fill>
      <patternFill patternType="gray125"/>
    </fill>
    <fill>
      <patternFill patternType="solid">
        <fgColor rgb="FFFFFFFF"/>
        <bgColor indexed="64"/>
      </patternFill>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rgb="FFFFFFCC"/>
        <bgColor indexed="64"/>
      </patternFill>
    </fill>
    <fill>
      <patternFill patternType="solid">
        <fgColor rgb="FF002060"/>
        <bgColor indexed="64"/>
      </patternFill>
    </fill>
    <fill>
      <patternFill patternType="solid">
        <fgColor theme="4" tint="-0.249977111117893"/>
        <bgColor indexed="64"/>
      </patternFill>
    </fill>
    <fill>
      <patternFill patternType="solid">
        <fgColor rgb="FF7030A0"/>
        <bgColor indexed="64"/>
      </patternFill>
    </fill>
    <fill>
      <patternFill patternType="solid">
        <fgColor rgb="FFFFFF00"/>
        <bgColor indexed="64"/>
      </patternFill>
    </fill>
  </fills>
  <borders count="4">
    <border>
      <left/>
      <right/>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3">
    <xf numFmtId="0" fontId="0" fillId="0" borderId="0"/>
    <xf numFmtId="164" fontId="13" fillId="0" borderId="0" applyFont="0" applyFill="0" applyBorder="0" applyAlignment="0" applyProtection="0"/>
    <xf numFmtId="9" fontId="13" fillId="0" borderId="0" applyFont="0" applyFill="0" applyBorder="0" applyAlignment="0" applyProtection="0"/>
  </cellStyleXfs>
  <cellXfs count="137">
    <xf numFmtId="0" fontId="0" fillId="0" borderId="0" xfId="0"/>
    <xf numFmtId="17" fontId="0" fillId="0" borderId="0" xfId="0" quotePrefix="1" applyNumberFormat="1"/>
    <xf numFmtId="0" fontId="1" fillId="0" borderId="0" xfId="0" applyFont="1" applyBorder="1" applyAlignment="1">
      <alignment vertical="center"/>
    </xf>
    <xf numFmtId="0" fontId="2" fillId="0" borderId="0" xfId="0" applyFont="1" applyBorder="1"/>
    <xf numFmtId="0" fontId="1" fillId="2" borderId="0" xfId="0" applyFont="1" applyFill="1" applyBorder="1" applyAlignment="1">
      <alignment vertical="center"/>
    </xf>
    <xf numFmtId="0" fontId="3" fillId="0" borderId="0" xfId="0" applyFont="1" applyBorder="1" applyAlignment="1">
      <alignment vertical="center"/>
    </xf>
    <xf numFmtId="0" fontId="5" fillId="3" borderId="0" xfId="0" applyFont="1" applyFill="1" applyBorder="1" applyAlignment="1">
      <alignment horizontal="center" wrapText="1"/>
    </xf>
    <xf numFmtId="0" fontId="5" fillId="3" borderId="0" xfId="0" applyFont="1" applyFill="1" applyBorder="1" applyAlignment="1">
      <alignment horizontal="right" wrapText="1"/>
    </xf>
    <xf numFmtId="0" fontId="2" fillId="0" borderId="0" xfId="0" applyFont="1" applyBorder="1" applyAlignment="1">
      <alignment wrapText="1"/>
    </xf>
    <xf numFmtId="0" fontId="2" fillId="4" borderId="0" xfId="0" applyFont="1" applyFill="1" applyBorder="1" applyAlignment="1">
      <alignment wrapText="1"/>
    </xf>
    <xf numFmtId="0" fontId="5" fillId="4" borderId="0" xfId="0" applyFont="1" applyFill="1" applyBorder="1" applyAlignment="1">
      <alignment horizontal="center" wrapText="1"/>
    </xf>
    <xf numFmtId="0" fontId="6" fillId="5" borderId="0" xfId="0" applyFont="1" applyFill="1" applyBorder="1" applyAlignment="1">
      <alignment wrapText="1"/>
    </xf>
    <xf numFmtId="0" fontId="6" fillId="5" borderId="0" xfId="0" applyFont="1" applyFill="1" applyBorder="1" applyAlignment="1">
      <alignment horizontal="right" wrapText="1"/>
    </xf>
    <xf numFmtId="0" fontId="6" fillId="6" borderId="0" xfId="0" applyFont="1" applyFill="1" applyBorder="1" applyAlignment="1">
      <alignment wrapText="1"/>
    </xf>
    <xf numFmtId="21" fontId="6" fillId="6" borderId="0" xfId="0" applyNumberFormat="1" applyFont="1" applyFill="1" applyBorder="1" applyAlignment="1">
      <alignment horizontal="right" wrapText="1"/>
    </xf>
    <xf numFmtId="0" fontId="6" fillId="6" borderId="0" xfId="0" applyFont="1" applyFill="1" applyBorder="1" applyAlignment="1">
      <alignment horizontal="right" wrapText="1"/>
    </xf>
    <xf numFmtId="0" fontId="2" fillId="0" borderId="0" xfId="0" applyFont="1" applyBorder="1" applyAlignment="1">
      <alignment horizontal="right" wrapText="1"/>
    </xf>
    <xf numFmtId="9" fontId="6" fillId="0" borderId="0" xfId="0" applyNumberFormat="1" applyFont="1" applyBorder="1" applyAlignment="1">
      <alignment horizontal="right" wrapText="1"/>
    </xf>
    <xf numFmtId="0" fontId="2" fillId="6" borderId="0" xfId="0" applyFont="1" applyFill="1" applyBorder="1" applyAlignment="1">
      <alignment wrapText="1"/>
    </xf>
    <xf numFmtId="0" fontId="5" fillId="0" borderId="0" xfId="0" applyFont="1" applyBorder="1" applyAlignment="1">
      <alignment wrapText="1"/>
    </xf>
    <xf numFmtId="165" fontId="2" fillId="0" borderId="0" xfId="0" applyNumberFormat="1" applyFont="1"/>
    <xf numFmtId="0" fontId="7" fillId="0" borderId="0" xfId="0" applyFont="1"/>
    <xf numFmtId="0" fontId="9" fillId="0" borderId="0" xfId="0" applyFont="1" applyBorder="1" applyAlignment="1">
      <alignment wrapText="1"/>
    </xf>
    <xf numFmtId="0" fontId="10" fillId="0" borderId="0" xfId="0" applyFont="1"/>
    <xf numFmtId="0" fontId="6" fillId="0" borderId="0" xfId="0" applyFont="1" applyFill="1" applyBorder="1" applyAlignment="1">
      <alignment wrapText="1"/>
    </xf>
    <xf numFmtId="0" fontId="5" fillId="0" borderId="0" xfId="0" applyFont="1" applyFill="1" applyBorder="1" applyAlignment="1">
      <alignment wrapText="1"/>
    </xf>
    <xf numFmtId="0" fontId="9" fillId="3" borderId="0" xfId="0" applyFont="1" applyFill="1" applyBorder="1" applyAlignment="1">
      <alignment wrapText="1"/>
    </xf>
    <xf numFmtId="0" fontId="9" fillId="4" borderId="0" xfId="0" applyFont="1" applyFill="1" applyBorder="1" applyAlignment="1">
      <alignment wrapText="1"/>
    </xf>
    <xf numFmtId="164" fontId="5" fillId="0" borderId="0" xfId="1" applyNumberFormat="1" applyFont="1" applyBorder="1" applyAlignment="1">
      <alignment wrapText="1"/>
    </xf>
    <xf numFmtId="164" fontId="6" fillId="0" borderId="0" xfId="1" applyNumberFormat="1" applyFont="1" applyBorder="1" applyAlignment="1">
      <alignment horizontal="right" wrapText="1"/>
    </xf>
    <xf numFmtId="164" fontId="2" fillId="0" borderId="0" xfId="1" applyNumberFormat="1" applyFont="1" applyBorder="1"/>
    <xf numFmtId="0" fontId="2" fillId="0" borderId="0" xfId="0" applyFont="1" applyFill="1" applyBorder="1"/>
    <xf numFmtId="0" fontId="2" fillId="0" borderId="0" xfId="0" applyFont="1" applyFill="1" applyBorder="1" applyAlignment="1">
      <alignment horizontal="right" wrapText="1"/>
    </xf>
    <xf numFmtId="9" fontId="6" fillId="0" borderId="0" xfId="0" applyNumberFormat="1" applyFont="1" applyFill="1" applyBorder="1" applyAlignment="1">
      <alignment horizontal="right" wrapText="1"/>
    </xf>
    <xf numFmtId="9" fontId="2" fillId="0" borderId="0" xfId="2" applyFont="1" applyBorder="1"/>
    <xf numFmtId="166" fontId="5" fillId="0" borderId="0" xfId="1" applyNumberFormat="1" applyFont="1" applyFill="1" applyBorder="1" applyAlignment="1">
      <alignment wrapText="1"/>
    </xf>
    <xf numFmtId="166" fontId="6" fillId="0" borderId="0" xfId="1" applyNumberFormat="1" applyFont="1" applyFill="1" applyBorder="1" applyAlignment="1">
      <alignment horizontal="right" wrapText="1"/>
    </xf>
    <xf numFmtId="166" fontId="2" fillId="0" borderId="0" xfId="1" applyNumberFormat="1" applyFont="1" applyFill="1" applyBorder="1"/>
    <xf numFmtId="167" fontId="2" fillId="0" borderId="0" xfId="1" applyNumberFormat="1" applyFont="1" applyBorder="1"/>
    <xf numFmtId="0" fontId="2" fillId="7" borderId="0" xfId="0" applyFont="1" applyFill="1"/>
    <xf numFmtId="168" fontId="2" fillId="7" borderId="0" xfId="0" applyNumberFormat="1" applyFont="1" applyFill="1"/>
    <xf numFmtId="0" fontId="2" fillId="0" borderId="0" xfId="0" applyFont="1"/>
    <xf numFmtId="0" fontId="2" fillId="0" borderId="0" xfId="0" applyNumberFormat="1" applyFont="1"/>
    <xf numFmtId="0" fontId="2" fillId="8" borderId="0" xfId="0" applyFont="1" applyFill="1"/>
    <xf numFmtId="0" fontId="2" fillId="9" borderId="0" xfId="0" applyFont="1" applyFill="1"/>
    <xf numFmtId="0" fontId="4" fillId="0" borderId="0" xfId="0" applyFont="1" applyFill="1" applyBorder="1" applyAlignment="1">
      <alignment vertical="center"/>
    </xf>
    <xf numFmtId="0" fontId="8" fillId="0" borderId="0" xfId="0" applyFont="1" applyFill="1"/>
    <xf numFmtId="0" fontId="0" fillId="0" borderId="0" xfId="0" applyFill="1"/>
    <xf numFmtId="0" fontId="3" fillId="0" borderId="0" xfId="0" applyFont="1" applyFill="1" applyBorder="1" applyAlignment="1">
      <alignment vertical="center"/>
    </xf>
    <xf numFmtId="0" fontId="15" fillId="0" borderId="0" xfId="0" applyFont="1" applyFill="1" applyBorder="1" applyAlignment="1">
      <alignment vertical="center"/>
    </xf>
    <xf numFmtId="0" fontId="16" fillId="0" borderId="0" xfId="0" applyFont="1" applyFill="1" applyBorder="1" applyAlignment="1">
      <alignment vertical="center"/>
    </xf>
    <xf numFmtId="0" fontId="16" fillId="0" borderId="0" xfId="0" applyFont="1" applyBorder="1" applyAlignment="1">
      <alignment vertical="center"/>
    </xf>
    <xf numFmtId="169" fontId="2" fillId="0" borderId="0" xfId="0" applyNumberFormat="1" applyFont="1" applyFill="1" applyBorder="1" applyAlignment="1">
      <alignment wrapText="1"/>
    </xf>
    <xf numFmtId="0" fontId="5" fillId="0" borderId="0" xfId="0" applyFont="1" applyBorder="1" applyAlignment="1">
      <alignment horizontal="left" wrapText="1"/>
    </xf>
    <xf numFmtId="0" fontId="11" fillId="7" borderId="0" xfId="0" applyFont="1" applyFill="1" applyBorder="1" applyAlignment="1">
      <alignment horizontal="center"/>
    </xf>
    <xf numFmtId="168" fontId="14" fillId="7" borderId="0" xfId="0" applyNumberFormat="1" applyFont="1" applyFill="1" applyBorder="1" applyAlignment="1">
      <alignment horizontal="center"/>
    </xf>
    <xf numFmtId="168" fontId="11" fillId="7" borderId="0" xfId="0" applyNumberFormat="1" applyFont="1" applyFill="1" applyBorder="1" applyAlignment="1">
      <alignment horizontal="center"/>
    </xf>
    <xf numFmtId="0" fontId="11" fillId="10" borderId="0" xfId="0" applyFont="1" applyFill="1" applyBorder="1" applyAlignment="1">
      <alignment horizontal="center"/>
    </xf>
    <xf numFmtId="2" fontId="12" fillId="10" borderId="0" xfId="0" applyNumberFormat="1" applyFont="1" applyFill="1" applyBorder="1" applyAlignment="1">
      <alignment horizontal="center"/>
    </xf>
    <xf numFmtId="0" fontId="2" fillId="0" borderId="0" xfId="0" applyFont="1" applyFill="1"/>
    <xf numFmtId="0" fontId="1" fillId="0" borderId="0" xfId="0" applyFont="1" applyFill="1" applyBorder="1" applyAlignment="1">
      <alignment vertical="center"/>
    </xf>
    <xf numFmtId="0" fontId="17" fillId="0" borderId="0" xfId="0" applyFont="1" applyBorder="1" applyAlignment="1">
      <alignment vertical="center"/>
    </xf>
    <xf numFmtId="0" fontId="11" fillId="0" borderId="0" xfId="0" applyFont="1" applyFill="1" applyBorder="1" applyAlignment="1">
      <alignment horizontal="center"/>
    </xf>
    <xf numFmtId="168" fontId="14" fillId="0" borderId="0" xfId="0" applyNumberFormat="1" applyFont="1" applyFill="1" applyBorder="1" applyAlignment="1">
      <alignment horizontal="center"/>
    </xf>
    <xf numFmtId="0" fontId="2" fillId="0" borderId="0" xfId="0" applyFont="1" applyFill="1" applyBorder="1" applyAlignment="1">
      <alignment horizontal="center"/>
    </xf>
    <xf numFmtId="0" fontId="9" fillId="0" borderId="0" xfId="0" applyFont="1" applyFill="1" applyBorder="1" applyAlignment="1">
      <alignment horizontal="center"/>
    </xf>
    <xf numFmtId="9" fontId="2" fillId="0" borderId="0" xfId="2" applyFont="1" applyFill="1"/>
    <xf numFmtId="0" fontId="9" fillId="0" borderId="0" xfId="0" applyFont="1" applyFill="1"/>
    <xf numFmtId="1" fontId="11" fillId="7" borderId="0" xfId="0" applyNumberFormat="1" applyFont="1" applyFill="1" applyBorder="1" applyAlignment="1">
      <alignment horizontal="left" vertical="top"/>
    </xf>
    <xf numFmtId="1" fontId="11" fillId="7" borderId="0" xfId="0" applyNumberFormat="1" applyFont="1" applyFill="1" applyBorder="1" applyAlignment="1">
      <alignment horizontal="left"/>
    </xf>
    <xf numFmtId="2" fontId="2" fillId="0" borderId="0" xfId="0" applyNumberFormat="1" applyFont="1" applyFill="1" applyBorder="1"/>
    <xf numFmtId="0" fontId="18" fillId="11" borderId="0" xfId="0" applyFont="1" applyFill="1" applyBorder="1" applyAlignment="1">
      <alignment wrapText="1"/>
    </xf>
    <xf numFmtId="167" fontId="18" fillId="11" borderId="0" xfId="1" applyNumberFormat="1" applyFont="1" applyFill="1" applyBorder="1" applyAlignment="1">
      <alignment wrapText="1"/>
    </xf>
    <xf numFmtId="0" fontId="18" fillId="11" borderId="0" xfId="0" applyFont="1" applyFill="1" applyBorder="1" applyAlignment="1">
      <alignment horizontal="center" wrapText="1"/>
    </xf>
    <xf numFmtId="0" fontId="19" fillId="12" borderId="0" xfId="0" applyFont="1" applyFill="1" applyBorder="1" applyAlignment="1">
      <alignment wrapText="1"/>
    </xf>
    <xf numFmtId="0" fontId="19" fillId="12" borderId="0" xfId="0" applyFont="1" applyFill="1" applyBorder="1" applyAlignment="1">
      <alignment horizontal="right" wrapText="1"/>
    </xf>
    <xf numFmtId="2" fontId="19" fillId="12" borderId="0" xfId="0" applyNumberFormat="1" applyFont="1" applyFill="1" applyBorder="1" applyAlignment="1">
      <alignment horizontal="right" wrapText="1"/>
    </xf>
    <xf numFmtId="21" fontId="19" fillId="12" borderId="0" xfId="0" applyNumberFormat="1" applyFont="1" applyFill="1" applyBorder="1" applyAlignment="1">
      <alignment horizontal="right" wrapText="1"/>
    </xf>
    <xf numFmtId="167" fontId="19" fillId="12" borderId="0" xfId="1" applyNumberFormat="1" applyFont="1" applyFill="1" applyBorder="1" applyAlignment="1">
      <alignment horizontal="right" wrapText="1"/>
    </xf>
    <xf numFmtId="14" fontId="19" fillId="12" borderId="0" xfId="0" applyNumberFormat="1" applyFont="1" applyFill="1" applyBorder="1" applyAlignment="1">
      <alignment horizontal="right" wrapText="1"/>
    </xf>
    <xf numFmtId="0" fontId="4" fillId="0" borderId="0" xfId="0" applyFont="1" applyBorder="1" applyAlignment="1">
      <alignment vertical="center"/>
    </xf>
    <xf numFmtId="164" fontId="6" fillId="0" borderId="0" xfId="1" applyNumberFormat="1" applyFont="1" applyFill="1" applyBorder="1" applyAlignment="1">
      <alignment horizontal="right" wrapText="1"/>
    </xf>
    <xf numFmtId="0" fontId="19" fillId="13" borderId="0" xfId="0" applyFont="1" applyFill="1" applyBorder="1" applyAlignment="1">
      <alignment horizontal="right" wrapText="1"/>
    </xf>
    <xf numFmtId="0" fontId="15" fillId="14" borderId="0" xfId="0" applyFont="1" applyFill="1" applyBorder="1" applyAlignment="1">
      <alignment horizontal="right" wrapText="1"/>
    </xf>
    <xf numFmtId="0" fontId="11" fillId="14" borderId="0" xfId="0" applyFont="1" applyFill="1" applyBorder="1" applyAlignment="1">
      <alignment horizontal="center"/>
    </xf>
    <xf numFmtId="0" fontId="8" fillId="0" borderId="0" xfId="0" applyFont="1"/>
    <xf numFmtId="0" fontId="9" fillId="0" borderId="0" xfId="0" applyFont="1"/>
    <xf numFmtId="0" fontId="2" fillId="0" borderId="1" xfId="0" applyFont="1" applyBorder="1"/>
    <xf numFmtId="0" fontId="2" fillId="0" borderId="2" xfId="0" applyFont="1" applyBorder="1"/>
    <xf numFmtId="164" fontId="2" fillId="0" borderId="0" xfId="1" applyFont="1"/>
    <xf numFmtId="164" fontId="21" fillId="0" borderId="0" xfId="1" applyFont="1"/>
    <xf numFmtId="164" fontId="9" fillId="0" borderId="0" xfId="0" applyNumberFormat="1" applyFont="1"/>
    <xf numFmtId="164" fontId="4" fillId="0" borderId="0" xfId="1" applyFont="1"/>
    <xf numFmtId="0" fontId="21" fillId="0" borderId="0" xfId="0" applyFont="1"/>
    <xf numFmtId="0" fontId="19" fillId="12" borderId="3" xfId="0" applyFont="1" applyFill="1" applyBorder="1" applyAlignment="1">
      <alignment wrapText="1"/>
    </xf>
    <xf numFmtId="0" fontId="6" fillId="0" borderId="3" xfId="0" applyFont="1" applyFill="1" applyBorder="1" applyAlignment="1">
      <alignment wrapText="1"/>
    </xf>
    <xf numFmtId="0" fontId="19" fillId="12" borderId="3" xfId="0" applyFont="1" applyFill="1" applyBorder="1" applyAlignment="1">
      <alignment horizontal="right" wrapText="1"/>
    </xf>
    <xf numFmtId="2" fontId="19" fillId="12" borderId="3" xfId="0" applyNumberFormat="1" applyFont="1" applyFill="1" applyBorder="1" applyAlignment="1">
      <alignment horizontal="right" wrapText="1"/>
    </xf>
    <xf numFmtId="21" fontId="19" fillId="12" borderId="3" xfId="0" applyNumberFormat="1" applyFont="1" applyFill="1" applyBorder="1" applyAlignment="1">
      <alignment horizontal="right" wrapText="1"/>
    </xf>
    <xf numFmtId="167" fontId="19" fillId="12" borderId="3" xfId="1" applyNumberFormat="1" applyFont="1" applyFill="1" applyBorder="1" applyAlignment="1">
      <alignment horizontal="right" wrapText="1"/>
    </xf>
    <xf numFmtId="165" fontId="2" fillId="0" borderId="3" xfId="0" applyNumberFormat="1" applyFont="1" applyBorder="1"/>
    <xf numFmtId="0" fontId="2" fillId="0" borderId="3" xfId="0" applyFont="1" applyBorder="1" applyAlignment="1">
      <alignment horizontal="right" wrapText="1"/>
    </xf>
    <xf numFmtId="0" fontId="19" fillId="13" borderId="3" xfId="0" applyFont="1" applyFill="1" applyBorder="1" applyAlignment="1">
      <alignment horizontal="right" wrapText="1"/>
    </xf>
    <xf numFmtId="9" fontId="6" fillId="0" borderId="3" xfId="0" applyNumberFormat="1" applyFont="1" applyBorder="1" applyAlignment="1">
      <alignment horizontal="right" wrapText="1"/>
    </xf>
    <xf numFmtId="164" fontId="6" fillId="0" borderId="3" xfId="1" applyNumberFormat="1" applyFont="1" applyFill="1" applyBorder="1" applyAlignment="1">
      <alignment horizontal="right" wrapText="1"/>
    </xf>
    <xf numFmtId="166" fontId="6" fillId="0" borderId="3" xfId="1" applyNumberFormat="1" applyFont="1" applyFill="1" applyBorder="1" applyAlignment="1">
      <alignment horizontal="right" wrapText="1"/>
    </xf>
    <xf numFmtId="0" fontId="2" fillId="0" borderId="3" xfId="0" applyFont="1" applyFill="1" applyBorder="1" applyAlignment="1">
      <alignment horizontal="right" wrapText="1"/>
    </xf>
    <xf numFmtId="164" fontId="6" fillId="0" borderId="3" xfId="1" applyNumberFormat="1" applyFont="1" applyBorder="1" applyAlignment="1">
      <alignment horizontal="right" wrapText="1"/>
    </xf>
    <xf numFmtId="14" fontId="19" fillId="12" borderId="3" xfId="0" applyNumberFormat="1" applyFont="1" applyFill="1" applyBorder="1" applyAlignment="1">
      <alignment horizontal="right" wrapText="1"/>
    </xf>
    <xf numFmtId="9" fontId="2" fillId="0" borderId="3" xfId="2" applyFont="1" applyBorder="1"/>
    <xf numFmtId="0" fontId="2" fillId="0" borderId="3" xfId="0" applyFont="1" applyBorder="1"/>
    <xf numFmtId="2" fontId="9" fillId="0" borderId="0" xfId="0" applyNumberFormat="1" applyFont="1"/>
    <xf numFmtId="164" fontId="15" fillId="0" borderId="0" xfId="1" applyFont="1"/>
    <xf numFmtId="164" fontId="6" fillId="14" borderId="0" xfId="1" applyNumberFormat="1" applyFont="1" applyFill="1" applyBorder="1" applyAlignment="1">
      <alignment horizontal="right" wrapText="1"/>
    </xf>
    <xf numFmtId="0" fontId="15" fillId="14" borderId="3" xfId="0" applyFont="1" applyFill="1" applyBorder="1" applyAlignment="1">
      <alignment horizontal="right" wrapText="1"/>
    </xf>
    <xf numFmtId="0" fontId="22" fillId="0" borderId="0" xfId="0" applyFont="1"/>
    <xf numFmtId="2" fontId="22" fillId="0" borderId="0" xfId="0" applyNumberFormat="1" applyFont="1"/>
    <xf numFmtId="164" fontId="23" fillId="0" borderId="0" xfId="1" applyFont="1"/>
    <xf numFmtId="0" fontId="23" fillId="0" borderId="0" xfId="0" applyFont="1"/>
    <xf numFmtId="164" fontId="22" fillId="0" borderId="0" xfId="0" applyNumberFormat="1" applyFont="1"/>
    <xf numFmtId="164" fontId="24" fillId="0" borderId="0" xfId="1" applyFont="1"/>
    <xf numFmtId="164" fontId="23" fillId="0" borderId="0" xfId="1" applyNumberFormat="1" applyFont="1"/>
    <xf numFmtId="164" fontId="24" fillId="0" borderId="0" xfId="1" applyNumberFormat="1" applyFont="1"/>
    <xf numFmtId="2" fontId="2" fillId="0" borderId="0" xfId="0" applyNumberFormat="1" applyFont="1" applyFill="1"/>
    <xf numFmtId="0" fontId="2" fillId="0" borderId="0" xfId="0" applyNumberFormat="1" applyFont="1" applyFill="1"/>
    <xf numFmtId="0" fontId="2" fillId="0" borderId="0" xfId="0" applyFont="1" applyFill="1" applyAlignment="1">
      <alignment horizontal="left"/>
    </xf>
    <xf numFmtId="0" fontId="12" fillId="0" borderId="0" xfId="0" applyFont="1"/>
    <xf numFmtId="164" fontId="12" fillId="0" borderId="0" xfId="1" applyFont="1"/>
    <xf numFmtId="0" fontId="11" fillId="0" borderId="0" xfId="0" applyFont="1"/>
    <xf numFmtId="0" fontId="2" fillId="0" borderId="0" xfId="0" applyFont="1" applyFill="1" applyAlignment="1">
      <alignment horizontal="right"/>
    </xf>
    <xf numFmtId="0" fontId="4" fillId="14" borderId="0" xfId="0" applyNumberFormat="1" applyFont="1" applyFill="1"/>
    <xf numFmtId="0" fontId="25" fillId="8" borderId="0" xfId="0" applyFont="1" applyFill="1" applyBorder="1" applyAlignment="1">
      <alignment horizontal="right" wrapText="1"/>
    </xf>
    <xf numFmtId="0" fontId="19" fillId="13" borderId="1" xfId="0" applyFont="1" applyFill="1" applyBorder="1" applyAlignment="1">
      <alignment horizontal="right" wrapText="1"/>
    </xf>
    <xf numFmtId="164" fontId="9" fillId="0" borderId="0" xfId="1" applyFont="1"/>
    <xf numFmtId="164" fontId="22" fillId="0" borderId="0" xfId="1" applyFont="1"/>
    <xf numFmtId="164" fontId="11" fillId="0" borderId="0" xfId="1" applyFont="1"/>
    <xf numFmtId="0" fontId="11" fillId="0" borderId="0" xfId="0" applyFont="1" applyAlignment="1">
      <alignment horizontal="right"/>
    </xf>
  </cellXfs>
  <cellStyles count="3">
    <cellStyle name="Comma" xfId="1" builtinId="3"/>
    <cellStyle name="Normal" xfId="0" builtinId="0"/>
    <cellStyle name="Percent" xfId="2" builtinId="5"/>
  </cellStyles>
  <dxfs count="111">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color rgb="FFFF0000"/>
      </font>
      <fill>
        <patternFill patternType="solid">
          <fgColor indexed="64"/>
          <bgColor rgb="FFFFFF00"/>
        </patternFill>
      </fill>
    </dxf>
    <dxf>
      <font>
        <color rgb="FFFF0000"/>
      </font>
      <fill>
        <patternFill patternType="solid">
          <fgColor indexed="64"/>
          <bgColor rgb="FFFFFF00"/>
        </patternFill>
      </fill>
    </dxf>
    <dxf>
      <font>
        <color rgb="FFFF0000"/>
      </font>
      <fill>
        <patternFill patternType="solid">
          <fgColor indexed="64"/>
          <bgColor rgb="FFFFFF00"/>
        </patternFill>
      </fill>
    </dxf>
    <dxf>
      <font>
        <color rgb="FFFF0000"/>
      </font>
      <fill>
        <patternFill patternType="solid">
          <fgColor indexed="64"/>
          <bgColor rgb="FFFFFF00"/>
        </patternFill>
      </fill>
    </dxf>
    <dxf>
      <font>
        <color rgb="FFFF0000"/>
      </font>
      <fill>
        <patternFill patternType="solid">
          <fgColor indexed="64"/>
          <bgColor rgb="FFFFFF00"/>
        </patternFill>
      </fill>
    </dxf>
    <dxf>
      <font>
        <color rgb="FFFF0000"/>
      </font>
      <fill>
        <patternFill patternType="solid">
          <fgColor indexed="64"/>
          <bgColor rgb="FFFFFF00"/>
        </patternFill>
      </fill>
    </dxf>
    <dxf>
      <font>
        <color rgb="FFFF0000"/>
      </font>
      <fill>
        <patternFill patternType="solid">
          <fgColor indexed="64"/>
          <bgColor rgb="FFFFFF00"/>
        </patternFill>
      </fill>
    </dxf>
    <dxf>
      <font>
        <color rgb="FFFF0000"/>
      </font>
      <fill>
        <patternFill patternType="solid">
          <fgColor indexed="64"/>
          <bgColor rgb="FFFFFF00"/>
        </patternFill>
      </fill>
    </dxf>
    <dxf>
      <font>
        <color rgb="FFFF0000"/>
      </font>
      <fill>
        <patternFill patternType="solid">
          <fgColor indexed="64"/>
          <bgColor rgb="FFFFFF00"/>
        </patternFill>
      </fill>
    </dxf>
    <dxf>
      <font>
        <color rgb="FFFF0000"/>
      </font>
      <fill>
        <patternFill patternType="solid">
          <fgColor indexed="64"/>
          <bgColor rgb="FFFFFF00"/>
        </patternFill>
      </fill>
    </dxf>
    <dxf>
      <font>
        <color rgb="FFFF0000"/>
      </font>
      <fill>
        <patternFill patternType="solid">
          <fgColor indexed="64"/>
          <bgColor rgb="FFFFFF00"/>
        </patternFill>
      </fill>
    </dxf>
    <dxf>
      <font>
        <color rgb="FFFF0000"/>
      </font>
      <fill>
        <patternFill patternType="solid">
          <fgColor indexed="64"/>
          <bgColor rgb="FFFFFF00"/>
        </patternFill>
      </fill>
    </dxf>
    <dxf>
      <font>
        <color rgb="FFFF0000"/>
      </font>
      <fill>
        <patternFill patternType="solid">
          <fgColor indexed="64"/>
          <bgColor rgb="FFFFFF00"/>
        </patternFill>
      </fill>
    </dxf>
    <dxf>
      <font>
        <color rgb="FFFF0000"/>
      </font>
      <fill>
        <patternFill patternType="solid">
          <fgColor indexed="64"/>
          <bgColor rgb="FFFFFF00"/>
        </patternFill>
      </fill>
    </dxf>
    <dxf>
      <font>
        <color rgb="FFFF0000"/>
      </font>
      <fill>
        <patternFill patternType="solid">
          <fgColor indexed="64"/>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patternType="none">
          <bgColor auto="1"/>
        </patternFill>
      </fill>
    </dxf>
    <dxf>
      <fill>
        <patternFill patternType="none">
          <bgColor auto="1"/>
        </patternFill>
      </fill>
    </dxf>
    <dxf>
      <fill>
        <patternFill patternType="solid">
          <bgColor rgb="FFFFFF00"/>
        </patternFill>
      </fill>
    </dxf>
    <dxf>
      <font>
        <color rgb="FFFF0000"/>
      </font>
    </dxf>
    <dxf>
      <fill>
        <patternFill patternType="none">
          <bgColor auto="1"/>
        </patternFill>
      </fill>
    </dxf>
    <dxf>
      <fill>
        <patternFill patternType="none">
          <bgColor auto="1"/>
        </patternFill>
      </fill>
    </dxf>
    <dxf>
      <font>
        <sz val="9"/>
      </font>
    </dxf>
    <dxf>
      <fill>
        <patternFill patternType="none">
          <fgColor indexed="64"/>
          <bgColor indexed="65"/>
        </patternFill>
      </fill>
    </dxf>
    <dxf>
      <alignment horizontal="right" readingOrder="0"/>
    </dxf>
    <dxf>
      <alignment horizontal="right" readingOrder="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hor" refreshedDate="44068.715678587963" createdVersion="3" refreshedVersion="3" minRefreshableVersion="3" recordCount="410">
  <cacheSource type="worksheet">
    <worksheetSource ref="A1:W411" sheet="Data"/>
  </cacheSource>
  <cacheFields count="23">
    <cacheField name="Nume" numFmtId="0">
      <sharedItems count="40">
        <s v="Cristian Ungureanu"/>
        <s v="Cosmin Niculescu"/>
        <s v="Ramona Matica"/>
        <s v="Marius Iulian Alecu"/>
        <s v="Borza Ionut"/>
        <s v="Vasi Minzatu"/>
        <s v="Silvia Medinschi"/>
        <s v="Viorel Tabara"/>
        <s v="Mita Romanita"/>
        <s v="Catalin Holban"/>
        <s v="Petru Dolhescu"/>
        <s v="Daniel Moldoveanu"/>
        <s v="Dan Mihaescu"/>
        <s v="Dan Spataru"/>
        <s v="Giuliana Sadovei"/>
        <s v="Andrei Mezofii"/>
        <s v="Hanchevici Codrut"/>
        <s v="Ovidiu Gavrilovici"/>
        <s v="Constandan Cornelius"/>
        <s v="Marius Enescu"/>
        <s v="Tala Lucian"/>
        <s v="Robert Herman"/>
        <s v="Tudor Cristian"/>
        <s v="Elena Juganaru"/>
        <s v="Robea Ionut"/>
        <s v="Bogdan Tala"/>
        <s v="Oana Elena"/>
        <s v="Flo Dum"/>
        <s v="Cosmin Constantin Popa"/>
        <s v="Mirea Gabriel Umberto"/>
        <s v="Silviu Burcea"/>
        <s v="Cristina Man"/>
        <s v="Codrin Constantin"/>
        <s v="Oana Trif"/>
        <s v="Andrei Diaconescu"/>
        <s v="Bogdan Covaci"/>
        <s v="Dranceanu Bogdan Valentin"/>
        <s v="Gorcioaia Florin Ionut"/>
        <s v="Codruta Holban"/>
        <s v="Teodor Petrut"/>
      </sharedItems>
    </cacheField>
    <cacheField name="M/F" numFmtId="0">
      <sharedItems/>
    </cacheField>
    <cacheField name="Etapa" numFmtId="0">
      <sharedItems containsSemiMixedTypes="0" containsString="0" containsNumber="1" containsInteger="1" minValue="1" maxValue="12"/>
    </cacheField>
    <cacheField name="Distanta" numFmtId="2">
      <sharedItems containsString="0" containsBlank="1" containsNumber="1" minValue="3" maxValue="111.18"/>
    </cacheField>
    <cacheField name="Timp" numFmtId="21">
      <sharedItems containsNonDate="0" containsDate="1" containsString="0" containsBlank="1" minDate="1899-12-30T00:09:58" maxDate="1899-12-31T01:00:12"/>
    </cacheField>
    <cacheField name="Elevatie" numFmtId="167">
      <sharedItems containsString="0" containsBlank="1" containsNumber="1" containsInteger="1" minValue="0" maxValue="6541"/>
    </cacheField>
    <cacheField name="Viteza" numFmtId="165">
      <sharedItems containsDate="1" containsMixedTypes="1" minDate="1899-12-30T00:03:19" maxDate="1899-12-30T00:21:12"/>
    </cacheField>
    <cacheField name="Pct distanta" numFmtId="0">
      <sharedItems containsMixedTypes="1" containsNumber="1" minValue="0" maxValue="5"/>
    </cacheField>
    <cacheField name="Pct viteza" numFmtId="0">
      <sharedItems containsMixedTypes="1" containsNumber="1" minValue="0" maxValue="5"/>
    </cacheField>
    <cacheField name="Prezentare" numFmtId="0">
      <sharedItems containsString="0" containsBlank="1" containsNumber="1" minValue="0.5" maxValue="5"/>
    </cacheField>
    <cacheField name="Tip" numFmtId="0">
      <sharedItems containsBlank="1" count="4">
        <s v="P"/>
        <s v="V"/>
        <s v="D"/>
        <m/>
      </sharedItems>
    </cacheField>
    <cacheField name="D" numFmtId="9">
      <sharedItems containsSemiMixedTypes="0" containsString="0" containsNumber="1" minValue="0.25" maxValue="0.5"/>
    </cacheField>
    <cacheField name="V" numFmtId="9">
      <sharedItems containsSemiMixedTypes="0" containsString="0" containsNumber="1" minValue="0.25" maxValue="0.5"/>
    </cacheField>
    <cacheField name="P" numFmtId="9">
      <sharedItems containsSemiMixedTypes="0" containsString="0" containsNumber="1" minValue="0.25" maxValue="0.5"/>
    </cacheField>
    <cacheField name="Bonus elevatie" numFmtId="164">
      <sharedItems containsSemiMixedTypes="0" containsString="0" containsNumber="1" minValue="0" maxValue="4.3606666666666669"/>
    </cacheField>
    <cacheField name="Bonus distanta" numFmtId="166">
      <sharedItems containsSemiMixedTypes="0" containsString="0" containsNumber="1" minValue="0" maxValue="1.8"/>
    </cacheField>
    <cacheField name="Bonus viteza" numFmtId="0">
      <sharedItems containsSemiMixedTypes="0" containsString="0" containsNumber="1" minValue="0" maxValue="4.5"/>
    </cacheField>
    <cacheField name="Bonus varsta" numFmtId="166">
      <sharedItems containsSemiMixedTypes="0" containsString="0" containsNumber="1" minValue="0" maxValue="0.75"/>
    </cacheField>
    <cacheField name="TOTAL ETAPA" numFmtId="164">
      <sharedItems containsSemiMixedTypes="0" containsString="0" containsNumber="1" minValue="1.25" maxValue="8.6606666666666676"/>
    </cacheField>
    <cacheField name="Ziua postarii" numFmtId="14">
      <sharedItems containsNonDate="0" containsDate="1" containsString="0" containsBlank="1" minDate="2020-06-01T00:00:00" maxDate="2020-08-24T00:00:00"/>
    </cacheField>
    <cacheField name="Check single entry" numFmtId="0">
      <sharedItems containsSemiMixedTypes="0" containsString="0" containsNumber="1" containsInteger="1" minValue="0" maxValue="1"/>
    </cacheField>
    <cacheField name="Eficienta" numFmtId="9">
      <sharedItems containsString="0" containsBlank="1" containsNumber="1" minValue="6.7716627634660423E-2" maxValue="2.7083333333333335"/>
    </cacheField>
    <cacheField name="Echipa" numFmtId="0">
      <sharedItems/>
    </cacheField>
  </cacheFields>
</pivotCacheDefinition>
</file>

<file path=xl/pivotCache/pivotCacheRecords1.xml><?xml version="1.0" encoding="utf-8"?>
<pivotCacheRecords xmlns="http://schemas.openxmlformats.org/spreadsheetml/2006/main" xmlns:r="http://schemas.openxmlformats.org/officeDocument/2006/relationships" count="410">
  <r>
    <x v="0"/>
    <s v="M"/>
    <n v="1"/>
    <n v="15.6"/>
    <d v="1899-12-30T01:17:47"/>
    <n v="360"/>
    <d v="1899-12-30T00:04:59"/>
    <n v="3.5"/>
    <n v="3"/>
    <n v="2.5"/>
    <x v="0"/>
    <n v="0.25"/>
    <n v="0.25"/>
    <n v="0.5"/>
    <n v="0.24"/>
    <n v="0"/>
    <n v="0"/>
    <n v="0"/>
    <n v="3.1150000000000002"/>
    <d v="2020-06-01T00:00:00"/>
    <n v="1"/>
    <n v="0.19967948717948719"/>
    <s v="Serioranistii"/>
  </r>
  <r>
    <x v="1"/>
    <s v="M"/>
    <n v="1"/>
    <n v="6.53"/>
    <d v="1899-12-30T00:36:19"/>
    <n v="35"/>
    <d v="1899-12-30T00:05:34"/>
    <n v="1.5"/>
    <n v="1.5"/>
    <n v="4"/>
    <x v="1"/>
    <n v="0.25"/>
    <n v="0.5"/>
    <n v="0.25"/>
    <n v="0"/>
    <n v="0"/>
    <n v="0"/>
    <n v="0"/>
    <n v="2.125"/>
    <d v="2020-06-01T00:00:00"/>
    <n v="1"/>
    <n v="0.32542113323124039"/>
    <s v="Serioranistii"/>
  </r>
  <r>
    <x v="2"/>
    <s v="F"/>
    <n v="1"/>
    <n v="21"/>
    <d v="1899-12-30T01:58:40"/>
    <n v="2"/>
    <d v="1899-12-30T00:05:39"/>
    <n v="5"/>
    <n v="2.5"/>
    <n v="1.5"/>
    <x v="2"/>
    <n v="0.5"/>
    <n v="0.25"/>
    <n v="0.25"/>
    <n v="0"/>
    <n v="0"/>
    <n v="0"/>
    <n v="0"/>
    <n v="3.5"/>
    <d v="2020-06-01T00:00:00"/>
    <n v="1"/>
    <n v="0.16666666666666666"/>
    <s v="Unicornii"/>
  </r>
  <r>
    <x v="3"/>
    <s v="M"/>
    <n v="1"/>
    <n v="21.5"/>
    <d v="1899-12-30T01:58:02"/>
    <n v="48"/>
    <d v="1899-12-30T00:05:29"/>
    <n v="5"/>
    <n v="2"/>
    <n v="4"/>
    <x v="0"/>
    <n v="0.25"/>
    <n v="0.25"/>
    <n v="0.5"/>
    <n v="0"/>
    <n v="0"/>
    <n v="0"/>
    <n v="0"/>
    <n v="3.75"/>
    <d v="2020-06-01T00:00:00"/>
    <n v="1"/>
    <n v="0.1744186046511628"/>
    <s v="Tenchei"/>
  </r>
  <r>
    <x v="4"/>
    <s v="M"/>
    <n v="1"/>
    <n v="21.21"/>
    <d v="1899-12-30T02:34:08"/>
    <n v="136"/>
    <d v="1899-12-30T00:07:16"/>
    <n v="5"/>
    <n v="1"/>
    <n v="4"/>
    <x v="0"/>
    <n v="0.25"/>
    <n v="0.25"/>
    <n v="0.5"/>
    <n v="9.0666666666666673E-2"/>
    <n v="0"/>
    <n v="0"/>
    <n v="0"/>
    <n v="3.5906666666666665"/>
    <d v="2020-06-01T00:00:00"/>
    <n v="1"/>
    <n v="0.16929121483576928"/>
    <s v=" Let it run"/>
  </r>
  <r>
    <x v="5"/>
    <s v="M"/>
    <n v="1"/>
    <n v="21.24"/>
    <d v="1899-12-30T01:43:46"/>
    <n v="37"/>
    <d v="1899-12-30T00:04:53"/>
    <n v="5"/>
    <n v="3"/>
    <n v="3"/>
    <x v="2"/>
    <n v="0.5"/>
    <n v="0.25"/>
    <n v="0.25"/>
    <n v="0"/>
    <n v="0"/>
    <n v="0"/>
    <n v="0"/>
    <n v="4"/>
    <d v="2020-06-01T00:00:00"/>
    <n v="1"/>
    <n v="0.18832391713747648"/>
    <s v="X Æ A-12"/>
  </r>
  <r>
    <x v="6"/>
    <s v="F"/>
    <n v="1"/>
    <n v="12.01"/>
    <d v="1899-12-30T01:43:46"/>
    <n v="13"/>
    <d v="1899-12-30T00:08:38"/>
    <n v="3"/>
    <n v="1"/>
    <n v="3"/>
    <x v="0"/>
    <n v="0.25"/>
    <n v="0.25"/>
    <n v="0.5"/>
    <n v="0"/>
    <n v="0"/>
    <n v="0"/>
    <n v="0.75"/>
    <n v="3.25"/>
    <d v="2020-06-03T00:00:00"/>
    <n v="1"/>
    <n v="0.27060782681099083"/>
    <s v="Tenchei"/>
  </r>
  <r>
    <x v="7"/>
    <s v="M"/>
    <n v="1"/>
    <n v="15.04"/>
    <d v="1899-12-30T01:25:05"/>
    <n v="448"/>
    <d v="1899-12-30T00:05:39"/>
    <n v="3.5"/>
    <n v="1.5"/>
    <n v="3.5"/>
    <x v="0"/>
    <n v="0.25"/>
    <n v="0.25"/>
    <n v="0.5"/>
    <n v="0.29866666666666669"/>
    <n v="0"/>
    <n v="0"/>
    <n v="0"/>
    <n v="3.2986666666666666"/>
    <d v="2020-06-04T00:00:00"/>
    <n v="1"/>
    <n v="0.21932624113475177"/>
    <s v=" Let it run"/>
  </r>
  <r>
    <x v="8"/>
    <s v="F"/>
    <n v="1"/>
    <n v="10.35"/>
    <d v="1899-12-30T01:27:00"/>
    <n v="524"/>
    <d v="1899-12-30T00:08:24"/>
    <n v="2.5"/>
    <n v="1"/>
    <n v="4"/>
    <x v="0"/>
    <n v="0.25"/>
    <n v="0.25"/>
    <n v="0.5"/>
    <n v="0.34933333333333333"/>
    <n v="0"/>
    <n v="0"/>
    <n v="0"/>
    <n v="3.2243333333333335"/>
    <d v="2020-06-04T00:00:00"/>
    <n v="1"/>
    <n v="0.31152979066022546"/>
    <s v="X Æ A-12"/>
  </r>
  <r>
    <x v="9"/>
    <s v="M"/>
    <n v="1"/>
    <n v="21.31"/>
    <d v="1899-12-30T01:50:01"/>
    <n v="39"/>
    <d v="1899-12-30T00:05:10"/>
    <n v="5"/>
    <n v="2.5"/>
    <n v="4.5"/>
    <x v="0"/>
    <n v="0.25"/>
    <n v="0.25"/>
    <n v="0.5"/>
    <n v="0"/>
    <n v="0"/>
    <n v="0"/>
    <n v="0"/>
    <n v="4.125"/>
    <d v="2020-06-04T00:00:00"/>
    <n v="1"/>
    <n v="0.1935710933833881"/>
    <s v="X Æ A-12"/>
  </r>
  <r>
    <x v="10"/>
    <s v="M"/>
    <n v="1"/>
    <n v="17.21"/>
    <d v="1899-12-30T02:04:41"/>
    <n v="389"/>
    <d v="1899-12-30T00:07:15"/>
    <n v="4"/>
    <n v="1"/>
    <n v="3.5"/>
    <x v="0"/>
    <n v="0.25"/>
    <n v="0.25"/>
    <n v="0.5"/>
    <n v="0.25933333333333336"/>
    <n v="0"/>
    <n v="0"/>
    <n v="0"/>
    <n v="3.2593333333333332"/>
    <d v="2020-06-06T00:00:00"/>
    <n v="1"/>
    <n v="0.18938601588223899"/>
    <s v="X Æ A-12"/>
  </r>
  <r>
    <x v="11"/>
    <s v="M"/>
    <n v="1"/>
    <n v="5"/>
    <d v="1899-12-30T00:23:19"/>
    <n v="19"/>
    <d v="1899-12-30T00:04:40"/>
    <n v="1.5"/>
    <n v="3.5"/>
    <n v="2.5"/>
    <x v="1"/>
    <n v="0.25"/>
    <n v="0.5"/>
    <n v="0.25"/>
    <n v="0"/>
    <n v="0"/>
    <n v="0"/>
    <n v="0"/>
    <n v="2.75"/>
    <d v="2020-06-06T00:00:00"/>
    <n v="1"/>
    <n v="0.55000000000000004"/>
    <s v="Unicornii"/>
  </r>
  <r>
    <x v="12"/>
    <s v="M"/>
    <n v="1"/>
    <n v="4.8499999999999996"/>
    <d v="1899-12-30T00:31:07"/>
    <n v="11"/>
    <d v="1899-12-30T00:06:25"/>
    <n v="1"/>
    <n v="1"/>
    <n v="1.5"/>
    <x v="0"/>
    <n v="0.25"/>
    <n v="0.25"/>
    <n v="0.5"/>
    <n v="0"/>
    <n v="0"/>
    <n v="0"/>
    <n v="0"/>
    <n v="1.25"/>
    <d v="2020-06-06T00:00:00"/>
    <n v="1"/>
    <n v="0.25773195876288663"/>
    <s v="X Æ A-12"/>
  </r>
  <r>
    <x v="13"/>
    <s v="M"/>
    <n v="1"/>
    <n v="10.56"/>
    <d v="1899-12-30T00:48:21"/>
    <n v="112"/>
    <d v="1899-12-30T00:04:35"/>
    <n v="2.5"/>
    <n v="3.5"/>
    <n v="1"/>
    <x v="1"/>
    <n v="0.25"/>
    <n v="0.5"/>
    <n v="0.25"/>
    <n v="7.4666666666666673E-2"/>
    <n v="0"/>
    <n v="0"/>
    <n v="0"/>
    <n v="2.6996666666666669"/>
    <d v="2020-06-07T00:00:00"/>
    <n v="1"/>
    <n v="0.25565025252525253"/>
    <s v="Tenchei"/>
  </r>
  <r>
    <x v="14"/>
    <s v="F"/>
    <n v="1"/>
    <n v="10.01"/>
    <d v="1899-12-30T01:00:49"/>
    <n v="0"/>
    <d v="1899-12-30T00:06:05"/>
    <n v="2.5"/>
    <n v="1.5"/>
    <n v="3"/>
    <x v="0"/>
    <n v="0.25"/>
    <n v="0.25"/>
    <n v="0.5"/>
    <n v="0"/>
    <n v="0"/>
    <n v="0"/>
    <n v="0"/>
    <n v="2.5"/>
    <d v="2020-06-07T00:00:00"/>
    <n v="1"/>
    <n v="0.24975024975024976"/>
    <s v="X Æ A-12"/>
  </r>
  <r>
    <x v="15"/>
    <s v="M"/>
    <n v="1"/>
    <n v="10.62"/>
    <d v="1899-12-30T00:43:54"/>
    <m/>
    <d v="1899-12-30T00:04:08"/>
    <n v="2.5"/>
    <n v="4.5"/>
    <n v="2.5"/>
    <x v="0"/>
    <n v="0.25"/>
    <n v="0.25"/>
    <n v="0.5"/>
    <n v="0"/>
    <n v="0"/>
    <n v="0"/>
    <n v="0"/>
    <n v="3"/>
    <d v="2020-06-07T00:00:00"/>
    <n v="1"/>
    <n v="0.2824858757062147"/>
    <s v=" Let it run"/>
  </r>
  <r>
    <x v="16"/>
    <s v="M"/>
    <n v="1"/>
    <n v="21.14"/>
    <d v="1899-12-30T01:44:21"/>
    <n v="29"/>
    <d v="1899-12-30T00:04:56"/>
    <n v="5"/>
    <n v="3"/>
    <n v="2"/>
    <x v="2"/>
    <n v="0.5"/>
    <n v="0.25"/>
    <n v="0.25"/>
    <n v="0"/>
    <n v="0"/>
    <n v="0"/>
    <n v="0"/>
    <n v="3.75"/>
    <d v="2020-06-07T00:00:00"/>
    <n v="1"/>
    <n v="0.17738883632923366"/>
    <s v="X Æ A-12"/>
  </r>
  <r>
    <x v="17"/>
    <s v="M"/>
    <n v="1"/>
    <n v="24.06"/>
    <d v="1899-12-30T02:47:49"/>
    <n v="510"/>
    <d v="1899-12-30T00:06:58"/>
    <n v="5"/>
    <n v="1"/>
    <n v="3.5"/>
    <x v="2"/>
    <n v="0.5"/>
    <n v="0.25"/>
    <n v="0.25"/>
    <n v="0.34"/>
    <n v="0"/>
    <n v="0"/>
    <n v="0.5"/>
    <n v="4.4649999999999999"/>
    <d v="2020-06-07T00:00:00"/>
    <n v="1"/>
    <n v="0.18557772236076475"/>
    <s v="Serioranistii"/>
  </r>
  <r>
    <x v="18"/>
    <s v="M"/>
    <n v="1"/>
    <n v="4.18"/>
    <d v="1899-12-30T00:29:57"/>
    <n v="0"/>
    <d v="1899-12-30T00:07:10"/>
    <n v="1"/>
    <n v="1"/>
    <n v="4"/>
    <x v="0"/>
    <n v="0.25"/>
    <n v="0.25"/>
    <n v="0.5"/>
    <n v="0"/>
    <n v="0"/>
    <n v="0"/>
    <n v="0"/>
    <n v="2.5"/>
    <d v="2020-06-07T00:00:00"/>
    <n v="1"/>
    <n v="0.59808612440191389"/>
    <s v="Tenchei"/>
  </r>
  <r>
    <x v="19"/>
    <s v="M"/>
    <n v="1"/>
    <n v="10.74"/>
    <d v="1899-12-30T00:57:40"/>
    <n v="54"/>
    <d v="1899-12-30T00:05:22"/>
    <n v="2.5"/>
    <n v="2"/>
    <n v="3"/>
    <x v="0"/>
    <n v="0.25"/>
    <n v="0.25"/>
    <n v="0.5"/>
    <n v="0"/>
    <n v="0"/>
    <n v="0"/>
    <n v="0"/>
    <n v="2.625"/>
    <d v="2020-06-07T00:00:00"/>
    <n v="1"/>
    <n v="0.24441340782122906"/>
    <s v="Unicornii"/>
  </r>
  <r>
    <x v="20"/>
    <s v="M"/>
    <n v="1"/>
    <n v="30.06"/>
    <d v="1899-12-30T02:57:55"/>
    <n v="954"/>
    <d v="1899-12-30T00:05:55"/>
    <n v="5"/>
    <n v="1.5"/>
    <n v="3"/>
    <x v="0"/>
    <n v="0.25"/>
    <n v="0.25"/>
    <n v="0.5"/>
    <n v="0.63600000000000001"/>
    <n v="0.1"/>
    <n v="0"/>
    <n v="0"/>
    <n v="3.8610000000000002"/>
    <d v="2020-06-07T00:00:00"/>
    <n v="1"/>
    <n v="0.1284431137724551"/>
    <s v="Tenchei"/>
  </r>
  <r>
    <x v="21"/>
    <s v="M"/>
    <n v="1"/>
    <n v="55.04"/>
    <d v="1899-12-30T10:02:19"/>
    <n v="2022"/>
    <d v="1899-12-30T00:10:57"/>
    <n v="5"/>
    <n v="0"/>
    <n v="4.5"/>
    <x v="0"/>
    <n v="0.25"/>
    <n v="0.25"/>
    <n v="0.5"/>
    <n v="1.3480000000000001"/>
    <n v="0.6"/>
    <n v="0"/>
    <n v="0"/>
    <n v="5.4479999999999995"/>
    <d v="2020-06-05T00:00:00"/>
    <n v="1"/>
    <n v="9.8982558139534882E-2"/>
    <s v="Serioranistii"/>
  </r>
  <r>
    <x v="22"/>
    <s v="M"/>
    <n v="1"/>
    <n v="34.020000000000003"/>
    <d v="1899-12-30T03:13:34"/>
    <n v="991"/>
    <d v="1899-12-30T00:05:41"/>
    <n v="5"/>
    <n v="1.5"/>
    <n v="3.5"/>
    <x v="2"/>
    <n v="0.5"/>
    <n v="0.25"/>
    <n v="0.25"/>
    <n v="0.66066666666666662"/>
    <n v="0.2"/>
    <n v="0"/>
    <n v="0"/>
    <n v="4.6106666666666669"/>
    <d v="2020-06-07T00:00:00"/>
    <n v="1"/>
    <n v="0.13552812071330589"/>
    <s v="Serioranistii"/>
  </r>
  <r>
    <x v="23"/>
    <s v="F"/>
    <n v="1"/>
    <n v="10"/>
    <d v="1899-12-30T01:20:21"/>
    <n v="42"/>
    <d v="1899-12-30T00:08:02"/>
    <n v="2.5"/>
    <n v="1"/>
    <n v="2.5"/>
    <x v="0"/>
    <n v="0.25"/>
    <n v="0.25"/>
    <n v="0.5"/>
    <n v="0"/>
    <n v="0"/>
    <n v="0"/>
    <n v="0.5"/>
    <n v="2.625"/>
    <d v="2020-06-04T00:00:00"/>
    <n v="1"/>
    <n v="0.26250000000000001"/>
    <s v="Serioranistii"/>
  </r>
  <r>
    <x v="24"/>
    <s v="M"/>
    <n v="1"/>
    <n v="43.52"/>
    <d v="1899-12-30T03:58:34"/>
    <n v="1296"/>
    <d v="1899-12-30T00:05:29"/>
    <n v="5"/>
    <n v="2"/>
    <n v="3.5"/>
    <x v="2"/>
    <n v="0.5"/>
    <n v="0.25"/>
    <n v="0.25"/>
    <n v="0.86399999999999999"/>
    <n v="0.4"/>
    <n v="0"/>
    <n v="0"/>
    <n v="5.1390000000000002"/>
    <d v="2020-06-07T00:00:00"/>
    <n v="1"/>
    <n v="0.11808363970588236"/>
    <s v="Unicornii"/>
  </r>
  <r>
    <x v="25"/>
    <s v="M"/>
    <n v="1"/>
    <n v="35.020000000000003"/>
    <d v="1899-12-30T02:55:08"/>
    <n v="845"/>
    <d v="1899-12-30T00:05:00"/>
    <n v="5"/>
    <n v="3"/>
    <n v="4"/>
    <x v="0"/>
    <n v="0.25"/>
    <n v="0.25"/>
    <n v="0.5"/>
    <n v="0.56333333333333335"/>
    <n v="0.2"/>
    <n v="0"/>
    <n v="0"/>
    <n v="4.7633333333333336"/>
    <d v="2020-06-07T00:00:00"/>
    <n v="1"/>
    <n v="0.13601751380163715"/>
    <s v="Tenchei"/>
  </r>
  <r>
    <x v="26"/>
    <s v="F"/>
    <n v="1"/>
    <n v="10.62"/>
    <d v="1899-12-30T01:11:10"/>
    <n v="0"/>
    <d v="1899-12-30T00:06:42"/>
    <n v="2.5"/>
    <n v="1"/>
    <n v="3"/>
    <x v="2"/>
    <n v="0.5"/>
    <n v="0.25"/>
    <n v="0.25"/>
    <n v="0"/>
    <n v="0"/>
    <n v="0"/>
    <n v="0"/>
    <n v="2.25"/>
    <d v="2020-06-07T00:00:00"/>
    <n v="1"/>
    <n v="0.21186440677966104"/>
    <s v="Serioranistii"/>
  </r>
  <r>
    <x v="27"/>
    <s v="M"/>
    <n v="1"/>
    <n v="15.03"/>
    <d v="1899-12-30T01:32:11"/>
    <n v="23"/>
    <d v="1899-12-30T00:06:08"/>
    <n v="3.5"/>
    <n v="1"/>
    <n v="3.5"/>
    <x v="0"/>
    <n v="0.25"/>
    <n v="0.25"/>
    <n v="0.5"/>
    <n v="0"/>
    <n v="0"/>
    <n v="0"/>
    <n v="0"/>
    <n v="2.875"/>
    <d v="2020-06-02T00:00:00"/>
    <n v="1"/>
    <n v="0.19128409846972722"/>
    <s v=" Let it run"/>
  </r>
  <r>
    <x v="28"/>
    <s v="M"/>
    <n v="1"/>
    <n v="10.02"/>
    <d v="1899-12-30T00:46:37"/>
    <n v="34"/>
    <d v="1899-12-30T00:04:39"/>
    <n v="2.5"/>
    <n v="3.5"/>
    <n v="4.5"/>
    <x v="1"/>
    <n v="0.25"/>
    <n v="0.5"/>
    <n v="0.25"/>
    <n v="0"/>
    <n v="0"/>
    <n v="0"/>
    <n v="0"/>
    <n v="3.5"/>
    <d v="2020-06-07T00:00:00"/>
    <n v="1"/>
    <n v="0.34930139720558884"/>
    <s v=" Let it run"/>
  </r>
  <r>
    <x v="29"/>
    <s v="M"/>
    <n v="1"/>
    <n v="10"/>
    <d v="1899-12-30T01:05:38"/>
    <n v="9"/>
    <d v="1899-12-30T00:06:34"/>
    <n v="2.5"/>
    <n v="1"/>
    <n v="4"/>
    <x v="0"/>
    <n v="0.25"/>
    <n v="0.25"/>
    <n v="0.5"/>
    <n v="0"/>
    <n v="0"/>
    <n v="0"/>
    <n v="0"/>
    <n v="2.875"/>
    <d v="2020-06-07T00:00:00"/>
    <n v="1"/>
    <n v="0.28749999999999998"/>
    <s v="Unicornii"/>
  </r>
  <r>
    <x v="30"/>
    <s v="M"/>
    <n v="1"/>
    <n v="7.71"/>
    <d v="1899-12-30T00:45:37"/>
    <n v="6"/>
    <d v="1899-12-30T00:05:55"/>
    <n v="2"/>
    <n v="1.5"/>
    <n v="3.5"/>
    <x v="0"/>
    <n v="0.25"/>
    <n v="0.25"/>
    <n v="0.5"/>
    <n v="0"/>
    <n v="0"/>
    <n v="0"/>
    <n v="0"/>
    <n v="2.625"/>
    <d v="2020-06-07T00:00:00"/>
    <n v="1"/>
    <n v="0.34046692607003892"/>
    <s v=" Let it run"/>
  </r>
  <r>
    <x v="31"/>
    <s v="F"/>
    <n v="1"/>
    <n v="12.01"/>
    <d v="1899-12-30T00:59:06"/>
    <n v="22"/>
    <d v="1899-12-30T00:04:55"/>
    <n v="3"/>
    <n v="4"/>
    <n v="4"/>
    <x v="0"/>
    <n v="0.25"/>
    <n v="0.25"/>
    <n v="0.5"/>
    <n v="0"/>
    <n v="0"/>
    <n v="0"/>
    <n v="0"/>
    <n v="3.75"/>
    <d v="2020-06-03T00:00:00"/>
    <n v="1"/>
    <n v="0.31223980016652791"/>
    <s v="Unicornii"/>
  </r>
  <r>
    <x v="32"/>
    <s v="M"/>
    <n v="1"/>
    <n v="30.5"/>
    <d v="1899-12-30T05:33:51"/>
    <n v="1038"/>
    <d v="1899-12-30T00:10:57"/>
    <n v="5"/>
    <n v="0"/>
    <n v="3"/>
    <x v="0"/>
    <n v="0.25"/>
    <n v="0.25"/>
    <n v="0.5"/>
    <n v="0.69199999999999995"/>
    <n v="0.1"/>
    <n v="0"/>
    <n v="0.5"/>
    <n v="4.0419999999999998"/>
    <d v="2020-06-07T00:00:00"/>
    <n v="1"/>
    <n v="0.13252459016393442"/>
    <s v=" Let it run"/>
  </r>
  <r>
    <x v="33"/>
    <s v="F"/>
    <n v="1"/>
    <n v="7.04"/>
    <d v="1899-12-30T00:41:47"/>
    <n v="18"/>
    <d v="1899-12-30T00:05:56"/>
    <n v="2"/>
    <n v="2"/>
    <n v="4"/>
    <x v="0"/>
    <n v="0.25"/>
    <n v="0.25"/>
    <n v="0.5"/>
    <n v="0"/>
    <n v="0"/>
    <n v="0"/>
    <n v="0"/>
    <n v="3"/>
    <d v="2020-06-03T00:00:00"/>
    <n v="1"/>
    <n v="0.42613636363636365"/>
    <s v="Tenchei"/>
  </r>
  <r>
    <x v="34"/>
    <s v="M"/>
    <n v="1"/>
    <n v="10.039999999999999"/>
    <d v="1899-12-30T00:55:50"/>
    <n v="12"/>
    <d v="1899-12-30T00:05:34"/>
    <n v="2.5"/>
    <n v="1.5"/>
    <n v="3"/>
    <x v="0"/>
    <n v="0.25"/>
    <n v="0.25"/>
    <n v="0.5"/>
    <n v="0"/>
    <n v="0"/>
    <n v="0"/>
    <n v="0"/>
    <n v="2.5"/>
    <d v="2020-06-01T00:00:00"/>
    <n v="1"/>
    <n v="0.24900398406374505"/>
    <s v="Unicornii"/>
  </r>
  <r>
    <x v="4"/>
    <s v="M"/>
    <n v="2"/>
    <n v="7.52"/>
    <d v="1899-12-30T00:46:21"/>
    <n v="41"/>
    <d v="1899-12-30T00:06:10"/>
    <n v="2"/>
    <n v="1"/>
    <n v="1.5"/>
    <x v="2"/>
    <n v="0.5"/>
    <n v="0.25"/>
    <n v="0.25"/>
    <n v="0"/>
    <n v="0"/>
    <n v="0"/>
    <n v="0"/>
    <n v="1.625"/>
    <d v="2020-06-08T00:00:00"/>
    <n v="1"/>
    <n v="0.2160904255319149"/>
    <s v=" Let it run"/>
  </r>
  <r>
    <x v="0"/>
    <s v="M"/>
    <n v="2"/>
    <n v="14.01"/>
    <d v="1899-12-30T01:09:32"/>
    <n v="312"/>
    <d v="1899-12-30T00:04:58"/>
    <n v="3"/>
    <n v="3"/>
    <n v="2"/>
    <x v="2"/>
    <n v="0.5"/>
    <n v="0.25"/>
    <n v="0.25"/>
    <n v="0.20799999999999999"/>
    <n v="0"/>
    <n v="0"/>
    <n v="0"/>
    <n v="2.9580000000000002"/>
    <d v="2020-06-10T00:00:00"/>
    <n v="1"/>
    <n v="0.21113490364025697"/>
    <s v="Serioranistii"/>
  </r>
  <r>
    <x v="6"/>
    <s v="F"/>
    <n v="2"/>
    <n v="10.01"/>
    <d v="1899-12-30T01:16:00"/>
    <n v="14"/>
    <d v="1899-12-30T00:07:36"/>
    <n v="2.5"/>
    <n v="1"/>
    <n v="3"/>
    <x v="2"/>
    <n v="0.5"/>
    <n v="0.25"/>
    <n v="0.25"/>
    <n v="0"/>
    <n v="0"/>
    <n v="0"/>
    <n v="0.75"/>
    <n v="3"/>
    <d v="2020-06-08T00:00:00"/>
    <n v="1"/>
    <n v="0.29970029970029971"/>
    <s v="Tenchei"/>
  </r>
  <r>
    <x v="22"/>
    <s v="M"/>
    <n v="2"/>
    <n v="13.01"/>
    <d v="1899-12-30T00:56:58"/>
    <n v="354"/>
    <d v="1899-12-30T00:04:23"/>
    <n v="3"/>
    <n v="4"/>
    <n v="3"/>
    <x v="1"/>
    <n v="0.25"/>
    <n v="0.5"/>
    <n v="0.25"/>
    <n v="0.23599999999999999"/>
    <n v="0"/>
    <n v="0"/>
    <n v="0"/>
    <n v="3.7359999999999998"/>
    <d v="2020-06-11T00:00:00"/>
    <n v="1"/>
    <n v="0.28716372021521908"/>
    <s v="Serioranistii"/>
  </r>
  <r>
    <x v="21"/>
    <s v="M"/>
    <n v="2"/>
    <n v="17.010000000000002"/>
    <d v="1899-12-30T01:23:06"/>
    <n v="30"/>
    <d v="1899-12-30T00:04:53"/>
    <n v="4"/>
    <n v="3"/>
    <n v="4"/>
    <x v="2"/>
    <n v="0.5"/>
    <n v="0.25"/>
    <n v="0.25"/>
    <n v="0"/>
    <n v="0"/>
    <n v="0"/>
    <n v="0"/>
    <n v="3.75"/>
    <d v="2020-06-11T00:00:00"/>
    <n v="1"/>
    <n v="0.22045855379188711"/>
    <s v="Serioranistii"/>
  </r>
  <r>
    <x v="14"/>
    <s v="F"/>
    <n v="2"/>
    <n v="12.01"/>
    <d v="1899-12-30T01:11:45"/>
    <n v="0"/>
    <d v="1899-12-30T00:05:58"/>
    <n v="3"/>
    <n v="2"/>
    <n v="3"/>
    <x v="2"/>
    <n v="0.5"/>
    <n v="0.25"/>
    <n v="0.25"/>
    <n v="0"/>
    <n v="0"/>
    <n v="0"/>
    <n v="0"/>
    <n v="2.75"/>
    <d v="2020-06-08T00:00:00"/>
    <n v="1"/>
    <n v="0.22897585345545379"/>
    <s v="X Æ A-12"/>
  </r>
  <r>
    <x v="3"/>
    <s v="M"/>
    <n v="2"/>
    <n v="22.04"/>
    <d v="1899-12-30T02:00:15"/>
    <n v="49"/>
    <d v="1899-12-30T00:05:27"/>
    <n v="5"/>
    <n v="2"/>
    <n v="3.5"/>
    <x v="2"/>
    <n v="0.5"/>
    <n v="0.25"/>
    <n v="0.25"/>
    <n v="0"/>
    <n v="0"/>
    <n v="0"/>
    <n v="0"/>
    <n v="3.875"/>
    <d v="2020-06-12T00:00:00"/>
    <n v="1"/>
    <n v="0.17581669691470056"/>
    <s v="Tenchei"/>
  </r>
  <r>
    <x v="35"/>
    <s v="M"/>
    <n v="2"/>
    <n v="10.11"/>
    <d v="1899-12-30T01:03:36"/>
    <n v="23"/>
    <d v="1899-12-30T00:06:17"/>
    <n v="2.5"/>
    <n v="1"/>
    <n v="1.5"/>
    <x v="2"/>
    <n v="0.5"/>
    <n v="0.25"/>
    <n v="0.25"/>
    <n v="0"/>
    <n v="0"/>
    <n v="0"/>
    <n v="0"/>
    <n v="1.875"/>
    <d v="2020-06-11T00:00:00"/>
    <n v="1"/>
    <n v="0.18545994065281901"/>
    <s v="Unicornii"/>
  </r>
  <r>
    <x v="15"/>
    <s v="M"/>
    <n v="2"/>
    <n v="12.54"/>
    <d v="1899-12-30T01:16:21"/>
    <n v="274"/>
    <d v="1899-12-30T00:06:05"/>
    <n v="3"/>
    <n v="1"/>
    <n v="2.5"/>
    <x v="2"/>
    <n v="0.5"/>
    <n v="0.25"/>
    <n v="0.25"/>
    <n v="0.18266666666666667"/>
    <n v="0"/>
    <n v="0"/>
    <n v="0"/>
    <n v="2.5576666666666665"/>
    <d v="2020-06-13T00:00:00"/>
    <n v="1"/>
    <n v="0.20396065922381712"/>
    <s v=" Let it run"/>
  </r>
  <r>
    <x v="36"/>
    <s v="M"/>
    <n v="2"/>
    <n v="34"/>
    <d v="1899-12-30T02:49:33"/>
    <n v="55"/>
    <d v="1899-12-30T00:04:59"/>
    <n v="5"/>
    <n v="3"/>
    <n v="2"/>
    <x v="2"/>
    <n v="0.5"/>
    <n v="0.25"/>
    <n v="0.25"/>
    <n v="0"/>
    <n v="0.2"/>
    <n v="0"/>
    <n v="0"/>
    <n v="3.95"/>
    <d v="2020-06-13T00:00:00"/>
    <n v="1"/>
    <n v="0.1161764705882353"/>
    <s v=" Let it run"/>
  </r>
  <r>
    <x v="2"/>
    <s v="F"/>
    <n v="2"/>
    <n v="30.02"/>
    <d v="1899-12-30T02:56:10"/>
    <n v="4"/>
    <d v="1899-12-30T00:05:52"/>
    <n v="5"/>
    <n v="2"/>
    <n v="2"/>
    <x v="2"/>
    <n v="0.5"/>
    <n v="0.25"/>
    <n v="0.25"/>
    <n v="0"/>
    <n v="0.1"/>
    <n v="0"/>
    <n v="0"/>
    <n v="3.6"/>
    <d v="2020-06-13T00:00:00"/>
    <n v="1"/>
    <n v="0.11992005329780148"/>
    <s v="Unicornii"/>
  </r>
  <r>
    <x v="10"/>
    <s v="M"/>
    <n v="2"/>
    <n v="27.01"/>
    <d v="1899-12-30T02:56:46"/>
    <n v="300"/>
    <d v="1899-12-30T00:06:33"/>
    <n v="5"/>
    <n v="1"/>
    <n v="3.5"/>
    <x v="2"/>
    <n v="0.5"/>
    <n v="0.25"/>
    <n v="0.25"/>
    <n v="0.2"/>
    <n v="0.1"/>
    <n v="0"/>
    <n v="0"/>
    <n v="3.9250000000000003"/>
    <d v="2020-06-13T00:00:00"/>
    <n v="1"/>
    <n v="0.14531654942613847"/>
    <s v="X Æ A-12"/>
  </r>
  <r>
    <x v="26"/>
    <s v="F"/>
    <n v="2"/>
    <n v="7.51"/>
    <d v="1899-12-30T00:45:45"/>
    <n v="52"/>
    <d v="1899-12-30T00:06:06"/>
    <n v="2"/>
    <n v="1.5"/>
    <n v="3"/>
    <x v="0"/>
    <n v="0.25"/>
    <n v="0.25"/>
    <n v="0.5"/>
    <n v="0"/>
    <n v="0"/>
    <n v="0"/>
    <n v="0"/>
    <n v="2.375"/>
    <d v="2020-06-12T00:00:00"/>
    <n v="1"/>
    <n v="0.3162450066577896"/>
    <s v="Serioranistii"/>
  </r>
  <r>
    <x v="12"/>
    <s v="M"/>
    <n v="2"/>
    <n v="8.0500000000000007"/>
    <d v="1899-12-30T00:43:02"/>
    <n v="14"/>
    <d v="1899-12-30T00:05:21"/>
    <n v="2"/>
    <n v="2"/>
    <n v="2.5"/>
    <x v="2"/>
    <n v="0.5"/>
    <n v="0.25"/>
    <n v="0.25"/>
    <n v="0"/>
    <n v="0"/>
    <n v="0"/>
    <n v="0"/>
    <n v="2.125"/>
    <d v="2020-06-13T00:00:00"/>
    <n v="1"/>
    <n v="0.2639751552795031"/>
    <s v="X Æ A-12"/>
  </r>
  <r>
    <x v="7"/>
    <s v="M"/>
    <n v="2"/>
    <n v="25.03"/>
    <d v="1899-12-30T01:59:04"/>
    <n v="0"/>
    <d v="1899-12-30T00:04:45"/>
    <n v="5"/>
    <n v="3.5"/>
    <n v="4"/>
    <x v="2"/>
    <n v="0.5"/>
    <n v="0.25"/>
    <n v="0.25"/>
    <n v="0"/>
    <n v="0"/>
    <n v="0"/>
    <n v="0"/>
    <n v="4.375"/>
    <d v="2020-06-13T00:00:00"/>
    <n v="1"/>
    <n v="0.17479025169796245"/>
    <s v=" Let it run"/>
  </r>
  <r>
    <x v="37"/>
    <s v="M"/>
    <n v="2"/>
    <n v="16"/>
    <d v="1899-12-30T01:22:20"/>
    <n v="0"/>
    <d v="1899-12-30T00:05:09"/>
    <n v="3.5"/>
    <n v="2.5"/>
    <n v="2"/>
    <x v="2"/>
    <n v="0.5"/>
    <n v="0.25"/>
    <n v="0.25"/>
    <n v="0"/>
    <n v="0"/>
    <n v="0"/>
    <n v="0"/>
    <n v="2.875"/>
    <d v="2020-06-13T00:00:00"/>
    <n v="1"/>
    <n v="0.1796875"/>
    <s v="Serioranistii"/>
  </r>
  <r>
    <x v="23"/>
    <s v="F"/>
    <n v="2"/>
    <n v="8"/>
    <d v="1899-12-30T01:16:18"/>
    <n v="49"/>
    <d v="1899-12-30T00:09:32"/>
    <n v="2"/>
    <n v="0"/>
    <n v="1"/>
    <x v="2"/>
    <n v="0.5"/>
    <n v="0.25"/>
    <n v="0.25"/>
    <n v="0"/>
    <n v="0"/>
    <n v="0"/>
    <n v="0.5"/>
    <n v="1.75"/>
    <d v="2020-06-12T00:00:00"/>
    <n v="1"/>
    <n v="0.21875"/>
    <s v="Serioranistii"/>
  </r>
  <r>
    <x v="8"/>
    <s v="F"/>
    <n v="2"/>
    <n v="22.51"/>
    <d v="1899-12-30T03:24:15"/>
    <n v="706"/>
    <d v="1899-12-30T00:09:04"/>
    <n v="5"/>
    <n v="0"/>
    <n v="4"/>
    <x v="2"/>
    <n v="0.5"/>
    <n v="0.25"/>
    <n v="0.25"/>
    <n v="0.47066666666666668"/>
    <n v="0"/>
    <n v="0"/>
    <n v="0"/>
    <n v="3.9706666666666668"/>
    <d v="2020-06-13T00:00:00"/>
    <n v="1"/>
    <n v="0.17639567599585368"/>
    <s v="X Æ A-12"/>
  </r>
  <r>
    <x v="16"/>
    <s v="M"/>
    <n v="2"/>
    <n v="18.510000000000002"/>
    <d v="1899-12-30T01:47:08"/>
    <n v="476"/>
    <d v="1899-12-30T00:05:47"/>
    <n v="4"/>
    <n v="1.5"/>
    <n v="4"/>
    <x v="0"/>
    <n v="0.25"/>
    <n v="0.25"/>
    <n v="0.5"/>
    <n v="0.31733333333333336"/>
    <n v="0"/>
    <n v="0"/>
    <n v="0"/>
    <n v="3.6923333333333335"/>
    <d v="2020-06-13T00:00:00"/>
    <n v="1"/>
    <n v="0.19947775976949395"/>
    <s v="X Æ A-12"/>
  </r>
  <r>
    <x v="25"/>
    <s v="M"/>
    <n v="2"/>
    <n v="42.25"/>
    <d v="1899-12-30T03:30:08"/>
    <n v="880"/>
    <d v="1899-12-30T00:04:58"/>
    <n v="5"/>
    <n v="3"/>
    <n v="4"/>
    <x v="2"/>
    <n v="0.5"/>
    <n v="0.25"/>
    <n v="0.25"/>
    <n v="0.58666666666666667"/>
    <n v="0.4"/>
    <n v="0"/>
    <n v="0"/>
    <n v="5.2366666666666672"/>
    <d v="2020-06-14T00:00:00"/>
    <n v="1"/>
    <n v="0.12394477317554242"/>
    <s v="Tenchei"/>
  </r>
  <r>
    <x v="5"/>
    <s v="M"/>
    <n v="2"/>
    <n v="30.15"/>
    <d v="1899-12-30T02:39:24"/>
    <n v="28"/>
    <d v="1899-12-30T00:05:17"/>
    <n v="5"/>
    <n v="2"/>
    <n v="3"/>
    <x v="2"/>
    <n v="0.5"/>
    <n v="0.25"/>
    <n v="0.25"/>
    <n v="0"/>
    <n v="0.1"/>
    <n v="0"/>
    <n v="0"/>
    <n v="3.85"/>
    <d v="2020-06-14T00:00:00"/>
    <n v="1"/>
    <n v="0.12769485903814262"/>
    <s v="X Æ A-12"/>
  </r>
  <r>
    <x v="27"/>
    <s v="M"/>
    <n v="2"/>
    <n v="15.08"/>
    <d v="1899-12-30T01:42:14"/>
    <n v="67"/>
    <d v="1899-12-30T00:06:47"/>
    <n v="3.5"/>
    <n v="1"/>
    <n v="3.5"/>
    <x v="2"/>
    <n v="0.5"/>
    <n v="0.25"/>
    <n v="0.25"/>
    <n v="0"/>
    <n v="0"/>
    <n v="0"/>
    <n v="0"/>
    <n v="2.875"/>
    <d v="2020-06-14T00:00:00"/>
    <n v="1"/>
    <n v="0.1906498673740053"/>
    <s v=" Let it run"/>
  </r>
  <r>
    <x v="20"/>
    <s v="M"/>
    <n v="2"/>
    <n v="42.2"/>
    <d v="1899-12-30T03:48:43"/>
    <n v="986"/>
    <d v="1899-12-30T00:05:25"/>
    <n v="5"/>
    <n v="2"/>
    <n v="3"/>
    <x v="2"/>
    <n v="0.5"/>
    <n v="0.25"/>
    <n v="0.25"/>
    <n v="0.65733333333333333"/>
    <n v="0.4"/>
    <n v="0"/>
    <n v="0"/>
    <n v="4.8073333333333341"/>
    <d v="2020-06-14T00:00:00"/>
    <n v="1"/>
    <n v="0.1139178515007899"/>
    <s v="Tenchei"/>
  </r>
  <r>
    <x v="17"/>
    <s v="M"/>
    <n v="2"/>
    <n v="9.48"/>
    <d v="1899-12-30T00:56:23"/>
    <n v="115"/>
    <d v="1899-12-30T00:05:57"/>
    <n v="2"/>
    <n v="1.5"/>
    <n v="3"/>
    <x v="0"/>
    <n v="0.25"/>
    <n v="0.25"/>
    <n v="0.5"/>
    <n v="7.6666666666666661E-2"/>
    <n v="0"/>
    <n v="0"/>
    <n v="0.5"/>
    <n v="2.9516666666666667"/>
    <d v="2020-06-14T00:00:00"/>
    <n v="1"/>
    <n v="0.31135724331926862"/>
    <s v="Serioranistii"/>
  </r>
  <r>
    <x v="19"/>
    <s v="M"/>
    <n v="2"/>
    <n v="15.1"/>
    <d v="1899-12-30T01:14:30"/>
    <n v="150"/>
    <d v="1899-12-30T00:04:56"/>
    <n v="3.5"/>
    <n v="3"/>
    <n v="4"/>
    <x v="2"/>
    <n v="0.5"/>
    <n v="0.25"/>
    <n v="0.25"/>
    <n v="0.1"/>
    <n v="0"/>
    <n v="0"/>
    <n v="0"/>
    <n v="3.6"/>
    <d v="2020-06-14T00:00:00"/>
    <n v="1"/>
    <n v="0.23841059602649009"/>
    <s v="Unicornii"/>
  </r>
  <r>
    <x v="11"/>
    <s v="M"/>
    <n v="2"/>
    <n v="25"/>
    <d v="1899-12-30T02:45:07"/>
    <n v="55"/>
    <d v="1899-12-30T00:06:36"/>
    <n v="5"/>
    <n v="1"/>
    <n v="4"/>
    <x v="0"/>
    <n v="0.25"/>
    <n v="0.25"/>
    <n v="0.5"/>
    <n v="0"/>
    <n v="0"/>
    <n v="0"/>
    <n v="0"/>
    <n v="3.5"/>
    <d v="2020-06-14T00:00:00"/>
    <n v="1"/>
    <n v="0.14000000000000001"/>
    <s v="Unicornii"/>
  </r>
  <r>
    <x v="38"/>
    <s v="F"/>
    <n v="2"/>
    <n v="6.68"/>
    <d v="1899-12-30T00:37:31"/>
    <n v="9"/>
    <d v="1899-12-30T00:05:37"/>
    <n v="2"/>
    <n v="2.5"/>
    <n v="3.5"/>
    <x v="0"/>
    <n v="0.25"/>
    <n v="0.25"/>
    <n v="0.5"/>
    <n v="0"/>
    <n v="0"/>
    <n v="0"/>
    <n v="0"/>
    <n v="2.875"/>
    <d v="2020-06-08T00:00:00"/>
    <n v="1"/>
    <n v="0.43038922155688625"/>
    <s v="X Æ A-12"/>
  </r>
  <r>
    <x v="1"/>
    <s v="M"/>
    <n v="2"/>
    <n v="10.039999999999999"/>
    <d v="1899-12-30T00:59:21"/>
    <n v="135"/>
    <d v="1899-12-30T00:05:55"/>
    <n v="2.5"/>
    <n v="1.5"/>
    <n v="4"/>
    <x v="0"/>
    <n v="0.25"/>
    <n v="0.25"/>
    <n v="0.5"/>
    <n v="0.09"/>
    <n v="0"/>
    <n v="0"/>
    <n v="0"/>
    <n v="3.09"/>
    <d v="2020-06-08T00:00:00"/>
    <n v="1"/>
    <n v="0.30776892430278885"/>
    <s v="Serioranistii"/>
  </r>
  <r>
    <x v="30"/>
    <s v="M"/>
    <n v="2"/>
    <n v="8.84"/>
    <d v="1899-12-30T00:48:00"/>
    <n v="7"/>
    <d v="1899-12-30T00:05:26"/>
    <n v="2"/>
    <n v="2"/>
    <n v="3.5"/>
    <x v="0"/>
    <n v="0.25"/>
    <n v="0.25"/>
    <n v="0.5"/>
    <n v="0"/>
    <n v="0"/>
    <n v="0"/>
    <n v="0"/>
    <n v="2.75"/>
    <d v="2020-06-14T00:00:00"/>
    <n v="1"/>
    <n v="0.31108597285067874"/>
    <s v=" Let it run"/>
  </r>
  <r>
    <x v="9"/>
    <s v="M"/>
    <n v="2"/>
    <n v="21.3"/>
    <d v="1899-12-30T01:55:01"/>
    <n v="33"/>
    <d v="1899-12-30T00:05:24"/>
    <n v="5"/>
    <n v="2"/>
    <n v="4.5"/>
    <x v="2"/>
    <n v="0.5"/>
    <n v="0.25"/>
    <n v="0.25"/>
    <n v="0"/>
    <n v="0"/>
    <n v="0"/>
    <n v="0"/>
    <n v="4.125"/>
    <d v="2020-06-11T00:00:00"/>
    <n v="1"/>
    <n v="0.19366197183098591"/>
    <s v="X Æ A-12"/>
  </r>
  <r>
    <x v="24"/>
    <s v="M"/>
    <n v="2"/>
    <n v="10.029999999999999"/>
    <d v="1899-12-30T00:36:46"/>
    <n v="30"/>
    <d v="1899-12-30T00:03:40"/>
    <n v="2.5"/>
    <n v="5"/>
    <n v="2.5"/>
    <x v="1"/>
    <n v="0.25"/>
    <n v="0.5"/>
    <n v="0.25"/>
    <n v="0"/>
    <n v="0"/>
    <n v="1.5"/>
    <n v="0"/>
    <n v="5.25"/>
    <d v="2020-06-13T00:00:00"/>
    <n v="1"/>
    <n v="0.52342971086739787"/>
    <s v="Unicornii"/>
  </r>
  <r>
    <x v="29"/>
    <s v="M"/>
    <n v="2"/>
    <n v="9"/>
    <d v="1899-12-30T00:53:44"/>
    <n v="9"/>
    <d v="1899-12-30T00:05:58"/>
    <n v="2"/>
    <n v="1.5"/>
    <n v="3.5"/>
    <x v="2"/>
    <n v="0.5"/>
    <n v="0.25"/>
    <n v="0.25"/>
    <n v="0"/>
    <n v="0"/>
    <n v="0"/>
    <n v="0"/>
    <n v="2.25"/>
    <d v="2020-06-13T00:00:00"/>
    <n v="1"/>
    <n v="0.25"/>
    <s v="Unicornii"/>
  </r>
  <r>
    <x v="34"/>
    <s v="M"/>
    <n v="2"/>
    <n v="10.029999999999999"/>
    <d v="1899-12-30T00:56:25"/>
    <n v="10"/>
    <d v="1899-12-30T00:05:37"/>
    <n v="2.5"/>
    <n v="1.5"/>
    <n v="2"/>
    <x v="2"/>
    <n v="0.5"/>
    <n v="0.25"/>
    <n v="0.25"/>
    <n v="0"/>
    <n v="0"/>
    <n v="0"/>
    <n v="0"/>
    <n v="2.125"/>
    <d v="2020-06-08T00:00:00"/>
    <n v="1"/>
    <n v="0.21186440677966104"/>
    <s v="Unicornii"/>
  </r>
  <r>
    <x v="32"/>
    <s v="M"/>
    <n v="2"/>
    <n v="10.56"/>
    <d v="1899-12-30T01:44:41"/>
    <n v="205"/>
    <d v="1899-12-30T00:09:55"/>
    <n v="2.5"/>
    <n v="0"/>
    <n v="3.5"/>
    <x v="0"/>
    <n v="0.25"/>
    <n v="0.25"/>
    <n v="0.5"/>
    <n v="0.13666666666666666"/>
    <n v="0"/>
    <n v="0"/>
    <n v="0.5"/>
    <n v="3.0116666666666667"/>
    <d v="2020-06-11T00:00:00"/>
    <n v="1"/>
    <n v="0.28519570707070707"/>
    <s v=" Let it run"/>
  </r>
  <r>
    <x v="28"/>
    <s v="M"/>
    <n v="2"/>
    <n v="12.04"/>
    <d v="1899-12-30T01:00:37"/>
    <n v="36"/>
    <d v="1899-12-30T00:05:02"/>
    <n v="3"/>
    <n v="2.5"/>
    <n v="4"/>
    <x v="2"/>
    <n v="0.5"/>
    <n v="0.25"/>
    <n v="0.25"/>
    <n v="0"/>
    <n v="0"/>
    <n v="0"/>
    <n v="0"/>
    <n v="3.125"/>
    <d v="2020-06-14T00:00:00"/>
    <n v="1"/>
    <n v="0.25955149501661129"/>
    <s v=" Let it run"/>
  </r>
  <r>
    <x v="31"/>
    <s v="F"/>
    <n v="2"/>
    <n v="21.12"/>
    <d v="1899-12-30T01:49:45"/>
    <n v="73"/>
    <d v="1899-12-30T00:05:12"/>
    <n v="5"/>
    <n v="3.5"/>
    <n v="3.5"/>
    <x v="2"/>
    <n v="0.5"/>
    <n v="0.25"/>
    <n v="0.25"/>
    <n v="0"/>
    <n v="0"/>
    <n v="0"/>
    <n v="0"/>
    <n v="4.25"/>
    <d v="2020-06-14T00:00:00"/>
    <n v="1"/>
    <n v="0.20123106060606061"/>
    <s v="Unicornii"/>
  </r>
  <r>
    <x v="13"/>
    <s v="M"/>
    <n v="2"/>
    <n v="14.7"/>
    <d v="1899-12-30T01:18:00"/>
    <n v="21"/>
    <d v="1899-12-30T00:05:18"/>
    <n v="3"/>
    <n v="2"/>
    <n v="1"/>
    <x v="2"/>
    <n v="0.5"/>
    <n v="0.25"/>
    <n v="0.25"/>
    <n v="0"/>
    <n v="0"/>
    <n v="0"/>
    <n v="0"/>
    <n v="2.25"/>
    <d v="2020-06-11T00:00:00"/>
    <n v="1"/>
    <n v="0.15306122448979592"/>
    <s v="Tenchei"/>
  </r>
  <r>
    <x v="0"/>
    <s v="M"/>
    <n v="3"/>
    <n v="15"/>
    <d v="1899-12-30T01:14:21"/>
    <n v="301"/>
    <d v="1899-12-30T00:04:57"/>
    <n v="3.5"/>
    <n v="3"/>
    <n v="2"/>
    <x v="1"/>
    <n v="0.25"/>
    <n v="0.5"/>
    <n v="0.25"/>
    <n v="0.20066666666666666"/>
    <n v="0"/>
    <n v="0"/>
    <n v="0"/>
    <n v="3.0756666666666668"/>
    <d v="2020-06-16T00:00:00"/>
    <n v="1"/>
    <n v="0.20504444444444445"/>
    <s v="Serioranistii"/>
  </r>
  <r>
    <x v="7"/>
    <s v="M"/>
    <n v="3"/>
    <n v="10.029999999999999"/>
    <d v="1899-12-30T00:45:30"/>
    <n v="0"/>
    <d v="1899-12-30T00:04:32"/>
    <n v="2.5"/>
    <n v="3.5"/>
    <n v="3"/>
    <x v="1"/>
    <n v="0.25"/>
    <n v="0.5"/>
    <n v="0.25"/>
    <n v="0"/>
    <n v="0"/>
    <n v="0"/>
    <n v="0"/>
    <n v="3.125"/>
    <d v="2020-06-16T00:00:00"/>
    <n v="1"/>
    <n v="0.31156530408773681"/>
    <s v=" Let it run"/>
  </r>
  <r>
    <x v="19"/>
    <s v="M"/>
    <n v="3"/>
    <n v="12.3"/>
    <d v="1899-12-30T00:57:08"/>
    <n v="8"/>
    <d v="1899-12-30T00:04:39"/>
    <n v="3"/>
    <n v="3.5"/>
    <n v="3.5"/>
    <x v="1"/>
    <n v="0.25"/>
    <n v="0.5"/>
    <n v="0.25"/>
    <n v="0"/>
    <n v="0"/>
    <n v="0"/>
    <n v="0"/>
    <n v="3.375"/>
    <d v="2020-06-16T00:00:00"/>
    <n v="1"/>
    <n v="0.27439024390243899"/>
    <s v="Unicornii"/>
  </r>
  <r>
    <x v="6"/>
    <s v="F"/>
    <n v="3"/>
    <n v="8"/>
    <d v="1899-12-30T00:55:55"/>
    <n v="11"/>
    <d v="1899-12-30T00:06:59"/>
    <n v="2"/>
    <n v="1"/>
    <n v="2.5"/>
    <x v="1"/>
    <n v="0.25"/>
    <n v="0.5"/>
    <n v="0.25"/>
    <n v="0"/>
    <n v="0"/>
    <n v="0"/>
    <n v="0.75"/>
    <n v="2.375"/>
    <d v="2020-06-15T00:00:00"/>
    <n v="1"/>
    <n v="0.296875"/>
    <s v="Tenchei"/>
  </r>
  <r>
    <x v="13"/>
    <s v="M"/>
    <n v="3"/>
    <n v="10"/>
    <d v="1899-12-30T00:45:56"/>
    <n v="0"/>
    <d v="1899-12-30T00:04:36"/>
    <n v="2.5"/>
    <n v="3.5"/>
    <n v="1"/>
    <x v="1"/>
    <n v="0.25"/>
    <n v="0.5"/>
    <n v="0.25"/>
    <n v="0"/>
    <n v="0"/>
    <n v="0"/>
    <n v="0"/>
    <n v="2.625"/>
    <d v="2020-06-18T00:00:00"/>
    <n v="1"/>
    <n v="0.26250000000000001"/>
    <s v="Tenchei"/>
  </r>
  <r>
    <x v="25"/>
    <s v="M"/>
    <n v="3"/>
    <n v="6.6"/>
    <d v="1899-12-30T00:26:10"/>
    <n v="0"/>
    <d v="1899-12-30T00:03:58"/>
    <n v="1.5"/>
    <n v="5"/>
    <n v="3"/>
    <x v="1"/>
    <n v="0.25"/>
    <n v="0.5"/>
    <n v="0.25"/>
    <n v="0"/>
    <n v="0"/>
    <n v="0.1"/>
    <n v="0"/>
    <n v="3.7250000000000001"/>
    <d v="2020-06-17T00:00:00"/>
    <n v="1"/>
    <n v="0.56439393939393945"/>
    <s v="Tenchei"/>
  </r>
  <r>
    <x v="3"/>
    <s v="M"/>
    <n v="3"/>
    <n v="22.03"/>
    <d v="1899-12-30T01:53:33"/>
    <n v="49"/>
    <d v="1899-12-30T00:05:09"/>
    <n v="5"/>
    <n v="2.5"/>
    <n v="3.5"/>
    <x v="1"/>
    <n v="0.25"/>
    <n v="0.5"/>
    <n v="0.25"/>
    <n v="0"/>
    <n v="0"/>
    <n v="0"/>
    <n v="0"/>
    <n v="3.375"/>
    <d v="2020-06-18T00:00:00"/>
    <n v="1"/>
    <n v="0.15320018157058557"/>
    <s v="Tenchei"/>
  </r>
  <r>
    <x v="8"/>
    <s v="F"/>
    <n v="3"/>
    <n v="12.66"/>
    <d v="1899-12-30T01:16:12"/>
    <n v="338"/>
    <d v="1899-12-30T00:06:01"/>
    <n v="3"/>
    <n v="1.5"/>
    <n v="4"/>
    <x v="1"/>
    <n v="0.25"/>
    <n v="0.5"/>
    <n v="0.25"/>
    <n v="0.22533333333333333"/>
    <n v="0"/>
    <n v="0"/>
    <n v="0"/>
    <n v="2.7253333333333334"/>
    <d v="2020-06-18T00:00:00"/>
    <n v="1"/>
    <n v="0.2152711953659821"/>
    <s v="X Æ A-12"/>
  </r>
  <r>
    <x v="23"/>
    <s v="F"/>
    <n v="3"/>
    <n v="10.01"/>
    <d v="1899-12-30T01:18:15"/>
    <n v="14"/>
    <d v="1899-12-30T00:07:49"/>
    <n v="2.5"/>
    <n v="1"/>
    <n v="2.5"/>
    <x v="1"/>
    <n v="0.25"/>
    <n v="0.5"/>
    <n v="0.25"/>
    <n v="0"/>
    <n v="0"/>
    <n v="0"/>
    <n v="0.5"/>
    <n v="2.25"/>
    <d v="2020-06-19T00:00:00"/>
    <n v="1"/>
    <n v="0.22477522477522477"/>
    <s v="Serioranistii"/>
  </r>
  <r>
    <x v="10"/>
    <s v="M"/>
    <n v="3"/>
    <n v="4.9800000000000004"/>
    <d v="1899-12-30T00:24:42"/>
    <n v="0"/>
    <d v="1899-12-30T00:04:58"/>
    <n v="1"/>
    <n v="3"/>
    <n v="2.5"/>
    <x v="1"/>
    <n v="0.25"/>
    <n v="0.5"/>
    <n v="0.25"/>
    <n v="0"/>
    <n v="0"/>
    <n v="0"/>
    <n v="0"/>
    <n v="2.375"/>
    <d v="2020-06-19T00:00:00"/>
    <n v="1"/>
    <n v="0.47690763052208829"/>
    <s v="X Æ A-12"/>
  </r>
  <r>
    <x v="2"/>
    <s v="F"/>
    <n v="3"/>
    <n v="10"/>
    <d v="1899-12-30T00:52:20"/>
    <n v="2"/>
    <d v="1899-12-30T00:05:14"/>
    <n v="2.5"/>
    <n v="3.5"/>
    <n v="3"/>
    <x v="1"/>
    <n v="0.25"/>
    <n v="0.5"/>
    <n v="0.25"/>
    <n v="0"/>
    <n v="0"/>
    <n v="0"/>
    <n v="0"/>
    <n v="3.125"/>
    <d v="2020-06-19T00:00:00"/>
    <n v="1"/>
    <n v="0.3125"/>
    <s v="Unicornii"/>
  </r>
  <r>
    <x v="12"/>
    <s v="M"/>
    <n v="3"/>
    <n v="8.0500000000000007"/>
    <d v="1899-12-30T00:45:41"/>
    <n v="20"/>
    <d v="1899-12-30T00:05:40"/>
    <n v="2"/>
    <n v="1.5"/>
    <n v="2.5"/>
    <x v="1"/>
    <n v="0.25"/>
    <n v="0.5"/>
    <n v="0.25"/>
    <n v="0"/>
    <n v="0"/>
    <n v="0"/>
    <n v="0"/>
    <n v="1.875"/>
    <d v="2020-06-20T00:00:00"/>
    <n v="1"/>
    <n v="0.23291925465838506"/>
    <s v="X Æ A-12"/>
  </r>
  <r>
    <x v="36"/>
    <s v="M"/>
    <n v="3"/>
    <n v="21.13"/>
    <d v="1899-12-30T01:40:26"/>
    <n v="35"/>
    <d v="1899-12-30T00:04:45"/>
    <n v="5"/>
    <n v="3.5"/>
    <n v="3.5"/>
    <x v="1"/>
    <n v="0.25"/>
    <n v="0.5"/>
    <n v="0.25"/>
    <n v="0"/>
    <n v="0"/>
    <n v="0"/>
    <n v="0"/>
    <n v="3.875"/>
    <d v="2020-06-19T00:00:00"/>
    <n v="1"/>
    <n v="0.1833885470894463"/>
    <s v=" Let it run"/>
  </r>
  <r>
    <x v="1"/>
    <s v="M"/>
    <n v="3"/>
    <n v="21.66"/>
    <d v="1899-12-30T02:40:45"/>
    <n v="701"/>
    <d v="1899-12-30T00:07:25"/>
    <n v="5"/>
    <n v="1"/>
    <n v="4.5"/>
    <x v="2"/>
    <n v="0.5"/>
    <n v="0.25"/>
    <n v="0.25"/>
    <n v="0.46733333333333332"/>
    <n v="0"/>
    <n v="0"/>
    <n v="0"/>
    <n v="4.3423333333333334"/>
    <d v="2020-06-20T00:00:00"/>
    <n v="1"/>
    <n v="0.2004770698676516"/>
    <s v="Serioranistii"/>
  </r>
  <r>
    <x v="11"/>
    <s v="M"/>
    <n v="3"/>
    <n v="5"/>
    <d v="1899-12-30T00:29:03"/>
    <n v="0"/>
    <d v="1899-12-30T00:05:49"/>
    <n v="1.5"/>
    <n v="1.5"/>
    <n v="3.5"/>
    <x v="0"/>
    <n v="0.25"/>
    <n v="0.25"/>
    <n v="0.5"/>
    <n v="0"/>
    <n v="0"/>
    <n v="0"/>
    <n v="0"/>
    <n v="2.5"/>
    <d v="2020-06-20T00:00:00"/>
    <n v="1"/>
    <n v="0.5"/>
    <s v="Unicornii"/>
  </r>
  <r>
    <x v="16"/>
    <s v="M"/>
    <n v="3"/>
    <n v="8.1"/>
    <d v="1899-12-30T00:35:10"/>
    <n v="0"/>
    <d v="1899-12-30T00:04:20"/>
    <n v="2"/>
    <n v="4"/>
    <n v="3.5"/>
    <x v="1"/>
    <n v="0.25"/>
    <n v="0.5"/>
    <n v="0.25"/>
    <n v="0"/>
    <n v="0"/>
    <n v="0"/>
    <n v="0"/>
    <n v="3.375"/>
    <d v="2020-06-17T00:00:00"/>
    <n v="1"/>
    <n v="0.41666666666666669"/>
    <s v="X Æ A-12"/>
  </r>
  <r>
    <x v="24"/>
    <s v="M"/>
    <n v="3"/>
    <n v="42.32"/>
    <d v="1899-12-30T03:19:00"/>
    <n v="0"/>
    <d v="1899-12-30T00:04:42"/>
    <n v="5"/>
    <n v="3.5"/>
    <n v="4"/>
    <x v="0"/>
    <n v="0.25"/>
    <n v="0.25"/>
    <n v="0.5"/>
    <n v="0"/>
    <n v="0.4"/>
    <n v="0"/>
    <n v="0"/>
    <n v="4.5250000000000004"/>
    <d v="2020-06-21T00:00:00"/>
    <n v="1"/>
    <n v="0.10692344045368621"/>
    <s v="Unicornii"/>
  </r>
  <r>
    <x v="20"/>
    <s v="M"/>
    <n v="3"/>
    <n v="5"/>
    <d v="1899-12-30T00:19:58"/>
    <n v="0"/>
    <d v="1899-12-30T00:04:00"/>
    <n v="1.5"/>
    <n v="5"/>
    <n v="2.5"/>
    <x v="1"/>
    <n v="0.25"/>
    <n v="0.5"/>
    <n v="0.25"/>
    <n v="0"/>
    <n v="0"/>
    <n v="0.1"/>
    <n v="0"/>
    <n v="3.6"/>
    <d v="2020-06-20T00:00:00"/>
    <n v="1"/>
    <n v="0.72"/>
    <s v="Tenchei"/>
  </r>
  <r>
    <x v="37"/>
    <s v="M"/>
    <n v="3"/>
    <n v="42.29"/>
    <d v="1899-12-30T05:06:31"/>
    <n v="84"/>
    <d v="1899-12-30T00:07:15"/>
    <n v="5"/>
    <n v="1"/>
    <n v="4"/>
    <x v="0"/>
    <n v="0.25"/>
    <n v="0.25"/>
    <n v="0.5"/>
    <n v="0"/>
    <n v="0.4"/>
    <n v="0"/>
    <n v="0"/>
    <n v="3.9"/>
    <d v="2020-06-20T00:00:00"/>
    <n v="1"/>
    <n v="9.2220383069283512E-2"/>
    <s v="Serioranistii"/>
  </r>
  <r>
    <x v="17"/>
    <s v="M"/>
    <n v="3"/>
    <n v="16.29"/>
    <d v="1899-12-30T01:36:38"/>
    <n v="142"/>
    <d v="1899-12-30T00:05:56"/>
    <n v="3.5"/>
    <n v="1.5"/>
    <n v="2"/>
    <x v="2"/>
    <n v="0.5"/>
    <n v="0.25"/>
    <n v="0.25"/>
    <n v="9.4666666666666663E-2"/>
    <n v="0"/>
    <n v="0"/>
    <n v="0.5"/>
    <n v="3.2196666666666665"/>
    <d v="2020-06-21T00:00:00"/>
    <n v="1"/>
    <n v="0.19764681808880705"/>
    <s v="Serioranistii"/>
  </r>
  <r>
    <x v="21"/>
    <s v="M"/>
    <n v="3"/>
    <n v="42.03"/>
    <d v="1899-12-30T05:31:01"/>
    <n v="2004"/>
    <d v="1899-12-30T00:07:53"/>
    <n v="5"/>
    <n v="1"/>
    <n v="5"/>
    <x v="2"/>
    <n v="0.5"/>
    <n v="0.25"/>
    <n v="0.25"/>
    <n v="1.3360000000000001"/>
    <n v="0.4"/>
    <n v="0"/>
    <n v="0"/>
    <n v="5.7360000000000007"/>
    <d v="2020-06-21T00:00:00"/>
    <n v="1"/>
    <n v="0.13647394718058531"/>
    <s v="Serioranistii"/>
  </r>
  <r>
    <x v="22"/>
    <s v="M"/>
    <n v="3"/>
    <n v="31.06"/>
    <d v="1899-12-30T02:25:33"/>
    <n v="445"/>
    <d v="1899-12-30T00:04:41"/>
    <n v="5"/>
    <n v="3.5"/>
    <n v="2.5"/>
    <x v="0"/>
    <n v="0.25"/>
    <n v="0.25"/>
    <n v="0.5"/>
    <n v="0.29666666666666669"/>
    <n v="0.2"/>
    <n v="0"/>
    <n v="0"/>
    <n v="3.871666666666667"/>
    <d v="2020-06-21T00:00:00"/>
    <n v="1"/>
    <n v="0.12465121270658941"/>
    <s v="Serioranistii"/>
  </r>
  <r>
    <x v="38"/>
    <s v="F"/>
    <n v="3"/>
    <n v="10.18"/>
    <d v="1899-12-30T00:59:53"/>
    <n v="37"/>
    <d v="1899-12-30T00:05:53"/>
    <n v="2.5"/>
    <n v="2"/>
    <n v="3.5"/>
    <x v="2"/>
    <n v="0.5"/>
    <n v="0.25"/>
    <n v="0.25"/>
    <n v="0"/>
    <n v="0"/>
    <n v="0"/>
    <n v="0"/>
    <n v="2.625"/>
    <d v="2020-06-21T00:00:00"/>
    <n v="1"/>
    <n v="0.25785854616895876"/>
    <s v="X Æ A-12"/>
  </r>
  <r>
    <x v="15"/>
    <s v="M"/>
    <n v="3"/>
    <n v="21.53"/>
    <d v="1899-12-30T02:00:34"/>
    <n v="656"/>
    <d v="1899-12-30T00:05:36"/>
    <n v="5"/>
    <n v="1.5"/>
    <n v="1.5"/>
    <x v="2"/>
    <n v="0.5"/>
    <n v="0.25"/>
    <n v="0.25"/>
    <n v="0.43733333333333335"/>
    <n v="0"/>
    <n v="0"/>
    <n v="0"/>
    <n v="3.6873333333333331"/>
    <d v="2020-06-21T00:00:00"/>
    <n v="1"/>
    <n v="0.17126490168756772"/>
    <s v=" Let it run"/>
  </r>
  <r>
    <x v="9"/>
    <s v="M"/>
    <n v="3"/>
    <n v="10.1"/>
    <d v="1899-12-30T00:49:55"/>
    <n v="22"/>
    <d v="1899-12-30T00:04:57"/>
    <n v="2.5"/>
    <n v="3"/>
    <n v="4"/>
    <x v="1"/>
    <n v="0.25"/>
    <n v="0.5"/>
    <n v="0.25"/>
    <n v="0"/>
    <n v="0"/>
    <n v="0"/>
    <n v="0"/>
    <n v="3.125"/>
    <d v="2020-06-15T00:00:00"/>
    <n v="1"/>
    <n v="0.3094059405940594"/>
    <s v="X Æ A-12"/>
  </r>
  <r>
    <x v="31"/>
    <s v="F"/>
    <n v="3"/>
    <n v="10.01"/>
    <d v="1899-12-30T00:46:11"/>
    <n v="12"/>
    <d v="1899-12-30T00:04:37"/>
    <n v="2.5"/>
    <n v="4.5"/>
    <n v="3"/>
    <x v="1"/>
    <n v="0.25"/>
    <n v="0.5"/>
    <n v="0.25"/>
    <n v="0"/>
    <n v="0"/>
    <n v="0"/>
    <n v="0"/>
    <n v="3.625"/>
    <d v="2020-06-21T00:00:00"/>
    <n v="1"/>
    <n v="0.36213786213786214"/>
    <s v="Unicornii"/>
  </r>
  <r>
    <x v="5"/>
    <s v="M"/>
    <n v="3"/>
    <n v="5.45"/>
    <d v="1899-12-30T00:26:09"/>
    <n v="0"/>
    <d v="1899-12-30T00:04:48"/>
    <n v="1.5"/>
    <n v="3"/>
    <n v="2"/>
    <x v="0"/>
    <n v="0.25"/>
    <n v="0.25"/>
    <n v="0.5"/>
    <n v="0"/>
    <n v="0"/>
    <n v="0"/>
    <n v="0"/>
    <n v="2.125"/>
    <d v="2020-06-21T00:00:00"/>
    <n v="1"/>
    <n v="0.38990825688073394"/>
    <s v="X Æ A-12"/>
  </r>
  <r>
    <x v="32"/>
    <s v="M"/>
    <n v="3"/>
    <n v="17.05"/>
    <d v="1899-12-30T03:11:29"/>
    <n v="701"/>
    <d v="1899-12-30T00:11:14"/>
    <n v="0"/>
    <n v="0"/>
    <n v="3"/>
    <x v="0"/>
    <n v="0.25"/>
    <n v="0.25"/>
    <n v="0.5"/>
    <n v="0.46733333333333332"/>
    <n v="0"/>
    <n v="0"/>
    <n v="0.5"/>
    <n v="2.4673333333333334"/>
    <d v="2020-06-21T00:00:00"/>
    <n v="1"/>
    <n v="0.14471163245356794"/>
    <s v=" Let it run"/>
  </r>
  <r>
    <x v="34"/>
    <s v="M"/>
    <n v="3"/>
    <m/>
    <m/>
    <m/>
    <e v="#DIV/0!"/>
    <e v="#DIV/0!"/>
    <e v="#DIV/0!"/>
    <m/>
    <x v="1"/>
    <n v="0.25"/>
    <n v="0.5"/>
    <n v="0.25"/>
    <n v="0"/>
    <n v="0"/>
    <n v="0"/>
    <n v="0"/>
    <n v="1.5"/>
    <d v="2020-06-21T00:00:00"/>
    <n v="1"/>
    <m/>
    <s v="Unicornii"/>
  </r>
  <r>
    <x v="28"/>
    <s v="M"/>
    <n v="3"/>
    <n v="15.03"/>
    <d v="1899-12-30T01:13:26"/>
    <n v="47"/>
    <d v="1899-12-30T00:04:53"/>
    <n v="3.5"/>
    <n v="3"/>
    <n v="3.5"/>
    <x v="2"/>
    <n v="0.5"/>
    <n v="0.25"/>
    <n v="0.25"/>
    <n v="0"/>
    <n v="0"/>
    <n v="0"/>
    <n v="0"/>
    <n v="3.375"/>
    <d v="2020-06-21T00:00:00"/>
    <n v="1"/>
    <n v="0.22455089820359284"/>
    <s v=" Let it run"/>
  </r>
  <r>
    <x v="27"/>
    <s v="M"/>
    <n v="3"/>
    <n v="10.119999999999999"/>
    <d v="1899-12-30T01:05:03"/>
    <n v="0"/>
    <d v="1899-12-30T00:06:26"/>
    <n v="2.5"/>
    <n v="1"/>
    <n v="3.5"/>
    <x v="0"/>
    <n v="0.25"/>
    <n v="0.25"/>
    <n v="0.5"/>
    <n v="0"/>
    <n v="0"/>
    <n v="0"/>
    <n v="0"/>
    <n v="2.625"/>
    <d v="2020-06-21T00:00:00"/>
    <n v="1"/>
    <n v="0.25938735177865613"/>
    <s v=" Let it run"/>
  </r>
  <r>
    <x v="30"/>
    <s v="M"/>
    <n v="3"/>
    <n v="9.01"/>
    <d v="1899-12-30T00:51:33"/>
    <n v="7"/>
    <d v="1899-12-30T00:05:43"/>
    <n v="2"/>
    <n v="1.5"/>
    <n v="3.5"/>
    <x v="0"/>
    <n v="0.25"/>
    <n v="0.25"/>
    <n v="0.5"/>
    <n v="0"/>
    <n v="0"/>
    <n v="0"/>
    <n v="0"/>
    <n v="2.625"/>
    <d v="2020-06-21T00:00:00"/>
    <n v="1"/>
    <n v="0.29134295227524976"/>
    <s v=" Let it run"/>
  </r>
  <r>
    <x v="4"/>
    <s v="M"/>
    <n v="3"/>
    <n v="15.01"/>
    <d v="1899-12-30T01:33:01"/>
    <n v="11"/>
    <d v="1899-12-30T00:06:12"/>
    <n v="3.5"/>
    <n v="1"/>
    <n v="3"/>
    <x v="2"/>
    <n v="0.5"/>
    <n v="0.25"/>
    <n v="0.25"/>
    <n v="0"/>
    <n v="0"/>
    <n v="0"/>
    <n v="0"/>
    <n v="2.75"/>
    <d v="2020-06-21T00:00:00"/>
    <n v="1"/>
    <n v="0.18321119253830781"/>
    <s v=" Let it run"/>
  </r>
  <r>
    <x v="29"/>
    <s v="M"/>
    <n v="3"/>
    <n v="21.21"/>
    <d v="1899-12-30T02:22:36"/>
    <n v="0"/>
    <d v="1899-12-30T00:06:43"/>
    <n v="5"/>
    <n v="1"/>
    <n v="4"/>
    <x v="2"/>
    <n v="0.5"/>
    <n v="0.25"/>
    <n v="0.25"/>
    <n v="0"/>
    <n v="0"/>
    <n v="0"/>
    <n v="0"/>
    <n v="3.75"/>
    <d v="2020-06-21T00:00:00"/>
    <n v="1"/>
    <n v="0.1768033946251768"/>
    <s v="Unicornii"/>
  </r>
  <r>
    <x v="26"/>
    <s v="F"/>
    <n v="3"/>
    <n v="7.24"/>
    <d v="1899-12-30T00:45:04"/>
    <n v="33"/>
    <d v="1899-12-30T00:06:13"/>
    <n v="2"/>
    <n v="1.5"/>
    <n v="3.5"/>
    <x v="0"/>
    <n v="0.25"/>
    <n v="0.25"/>
    <n v="0.5"/>
    <n v="0"/>
    <n v="0"/>
    <n v="0"/>
    <n v="0"/>
    <n v="2.625"/>
    <d v="2020-06-21T00:00:00"/>
    <n v="1"/>
    <n v="0.36256906077348067"/>
    <s v="Serioranistii"/>
  </r>
  <r>
    <x v="33"/>
    <s v="F"/>
    <n v="3"/>
    <n v="6.48"/>
    <d v="1899-12-30T00:39:47"/>
    <n v="15"/>
    <d v="1899-12-30T00:06:08"/>
    <n v="1.5"/>
    <n v="1.5"/>
    <n v="3"/>
    <x v="1"/>
    <n v="0.25"/>
    <n v="0.5"/>
    <n v="0.25"/>
    <n v="0"/>
    <n v="0"/>
    <n v="0"/>
    <n v="0"/>
    <n v="1.875"/>
    <d v="2020-06-16T00:00:00"/>
    <n v="1"/>
    <n v="0.28935185185185186"/>
    <s v="Tenchei"/>
  </r>
  <r>
    <x v="18"/>
    <s v="M"/>
    <n v="3"/>
    <n v="10.52"/>
    <d v="1899-12-30T01:00:57"/>
    <n v="0"/>
    <d v="1899-12-30T00:05:48"/>
    <n v="2.5"/>
    <n v="1.5"/>
    <n v="2.5"/>
    <x v="1"/>
    <n v="0.25"/>
    <n v="0.5"/>
    <n v="0.25"/>
    <n v="0"/>
    <n v="0"/>
    <n v="0"/>
    <n v="0"/>
    <n v="2"/>
    <d v="2020-06-18T00:00:00"/>
    <n v="1"/>
    <n v="0.19011406844106465"/>
    <s v="Tenchei"/>
  </r>
  <r>
    <x v="31"/>
    <s v="F"/>
    <n v="4"/>
    <n v="20.02"/>
    <d v="1899-12-30T01:46:36"/>
    <n v="154"/>
    <d v="1899-12-30T00:05:19"/>
    <n v="5"/>
    <n v="3"/>
    <n v="4"/>
    <x v="0"/>
    <n v="0.25"/>
    <n v="0.25"/>
    <n v="0.5"/>
    <n v="0.10266666666666667"/>
    <n v="0"/>
    <n v="0"/>
    <n v="0"/>
    <n v="4.1026666666666669"/>
    <d v="2020-06-28T00:00:00"/>
    <n v="1"/>
    <n v="0.20492840492840494"/>
    <s v="Unicornii"/>
  </r>
  <r>
    <x v="28"/>
    <s v="M"/>
    <n v="4"/>
    <n v="3.03"/>
    <d v="1899-12-30T00:13:09"/>
    <n v="9"/>
    <d v="1899-12-30T00:04:20"/>
    <n v="1"/>
    <n v="4"/>
    <n v="3.5"/>
    <x v="1"/>
    <n v="0.25"/>
    <n v="0.5"/>
    <n v="0.25"/>
    <n v="0"/>
    <n v="0"/>
    <n v="0"/>
    <n v="0"/>
    <n v="3.125"/>
    <d v="2020-06-28T00:00:00"/>
    <n v="1"/>
    <n v="1.0313531353135315"/>
    <s v=" Let it run"/>
  </r>
  <r>
    <x v="27"/>
    <s v="M"/>
    <n v="4"/>
    <n v="16.05"/>
    <d v="1899-12-30T01:57:19"/>
    <n v="0"/>
    <d v="1899-12-30T00:07:19"/>
    <n v="3.5"/>
    <n v="1"/>
    <n v="3.5"/>
    <x v="2"/>
    <n v="0.5"/>
    <n v="0.25"/>
    <n v="0.25"/>
    <n v="0"/>
    <n v="0"/>
    <n v="0"/>
    <n v="0"/>
    <n v="2.875"/>
    <d v="2020-06-27T00:00:00"/>
    <n v="1"/>
    <n v="0.17912772585669781"/>
    <s v=" Let it run"/>
  </r>
  <r>
    <x v="32"/>
    <s v="M"/>
    <n v="4"/>
    <n v="21.12"/>
    <d v="1899-12-30T03:00:05"/>
    <n v="500"/>
    <d v="1899-12-30T00:08:32"/>
    <n v="5"/>
    <n v="0"/>
    <n v="3"/>
    <x v="0"/>
    <n v="0.25"/>
    <n v="0.25"/>
    <n v="0.5"/>
    <n v="0.33333333333333331"/>
    <n v="0"/>
    <n v="0"/>
    <n v="0.5"/>
    <n v="3.5833333333333335"/>
    <d v="2020-06-28T00:00:00"/>
    <n v="1"/>
    <n v="0.16966540404040403"/>
    <s v=" Let it run"/>
  </r>
  <r>
    <x v="30"/>
    <s v="M"/>
    <n v="4"/>
    <n v="8.09"/>
    <d v="1899-12-30T00:44:06"/>
    <n v="8"/>
    <d v="1899-12-30T00:05:27"/>
    <n v="2"/>
    <n v="2"/>
    <n v="3.5"/>
    <x v="0"/>
    <n v="0.25"/>
    <n v="0.25"/>
    <n v="0.5"/>
    <n v="0"/>
    <n v="0"/>
    <n v="0"/>
    <n v="0"/>
    <n v="2.75"/>
    <d v="2020-06-28T00:00:00"/>
    <n v="1"/>
    <n v="0.33992583436341162"/>
    <s v=" Let it run"/>
  </r>
  <r>
    <x v="4"/>
    <s v="M"/>
    <n v="4"/>
    <n v="8.5"/>
    <d v="1899-12-30T00:49:42"/>
    <n v="28"/>
    <d v="1899-12-30T00:05:51"/>
    <n v="2"/>
    <n v="1.5"/>
    <n v="3"/>
    <x v="0"/>
    <n v="0.25"/>
    <n v="0.25"/>
    <n v="0.5"/>
    <n v="0"/>
    <n v="0"/>
    <n v="0"/>
    <n v="0"/>
    <n v="2.375"/>
    <d v="2020-06-23T00:00:00"/>
    <n v="1"/>
    <n v="0.27941176470588236"/>
    <s v=" Let it run"/>
  </r>
  <r>
    <x v="29"/>
    <s v="M"/>
    <n v="4"/>
    <n v="5.01"/>
    <d v="1899-12-30T00:27:57"/>
    <n v="5"/>
    <d v="1899-12-30T00:05:35"/>
    <n v="1.5"/>
    <n v="1.5"/>
    <n v="4.5"/>
    <x v="0"/>
    <n v="0.25"/>
    <n v="0.25"/>
    <n v="0.5"/>
    <n v="0"/>
    <n v="0"/>
    <n v="0"/>
    <n v="0"/>
    <n v="3"/>
    <d v="2020-06-25T00:00:00"/>
    <n v="1"/>
    <n v="0.5988023952095809"/>
    <s v="Unicornii"/>
  </r>
  <r>
    <x v="26"/>
    <s v="F"/>
    <n v="4"/>
    <n v="8.02"/>
    <d v="1899-12-30T00:48:18"/>
    <n v="54"/>
    <d v="1899-12-30T00:06:01"/>
    <n v="2"/>
    <n v="1.5"/>
    <n v="2"/>
    <x v="1"/>
    <n v="0.25"/>
    <n v="0.5"/>
    <n v="0.25"/>
    <n v="0"/>
    <n v="0"/>
    <n v="0"/>
    <n v="0"/>
    <n v="1.75"/>
    <d v="2020-06-24T00:00:00"/>
    <n v="1"/>
    <n v="0.21820448877805487"/>
    <s v="Serioranistii"/>
  </r>
  <r>
    <x v="34"/>
    <s v="M"/>
    <n v="4"/>
    <n v="10.19"/>
    <d v="1899-12-30T00:57:38"/>
    <n v="11"/>
    <d v="1899-12-30T00:05:39"/>
    <n v="2.5"/>
    <n v="1.5"/>
    <n v="3"/>
    <x v="0"/>
    <n v="0.25"/>
    <n v="0.25"/>
    <n v="0.5"/>
    <n v="0"/>
    <n v="0"/>
    <n v="0"/>
    <n v="0"/>
    <n v="2.5"/>
    <d v="2020-06-28T00:00:00"/>
    <n v="1"/>
    <n v="0.24533856722276742"/>
    <s v="Unicornii"/>
  </r>
  <r>
    <x v="33"/>
    <s v="F"/>
    <n v="4"/>
    <n v="6.05"/>
    <d v="1899-12-30T00:35:44"/>
    <n v="12"/>
    <d v="1899-12-30T00:05:54"/>
    <n v="1.5"/>
    <n v="2"/>
    <n v="2.5"/>
    <x v="1"/>
    <n v="0.25"/>
    <n v="0.5"/>
    <n v="0.25"/>
    <n v="0"/>
    <n v="0"/>
    <n v="0"/>
    <n v="0"/>
    <n v="2"/>
    <d v="2020-06-22T00:00:00"/>
    <n v="1"/>
    <n v="0.33057851239669422"/>
    <s v="Tenchei"/>
  </r>
  <r>
    <x v="37"/>
    <s v="M"/>
    <n v="4"/>
    <n v="10.41"/>
    <d v="1899-12-30T00:50:07"/>
    <n v="19"/>
    <d v="1899-12-30T00:04:49"/>
    <n v="2.5"/>
    <n v="3"/>
    <n v="1.5"/>
    <x v="1"/>
    <n v="0.25"/>
    <n v="0.5"/>
    <n v="0.25"/>
    <n v="0"/>
    <n v="0"/>
    <n v="0"/>
    <n v="0"/>
    <n v="2.5"/>
    <d v="2020-06-28T00:00:00"/>
    <n v="1"/>
    <n v="0.24015369836695485"/>
    <s v="Serioranistii"/>
  </r>
  <r>
    <x v="38"/>
    <s v="F"/>
    <n v="4"/>
    <n v="5"/>
    <d v="1899-12-30T00:28:35"/>
    <n v="0"/>
    <d v="1899-12-30T00:05:43"/>
    <n v="1.5"/>
    <n v="2.5"/>
    <n v="4"/>
    <x v="1"/>
    <n v="0.25"/>
    <n v="0.5"/>
    <n v="0.25"/>
    <n v="0"/>
    <n v="0"/>
    <n v="0"/>
    <n v="0"/>
    <n v="2.625"/>
    <d v="2020-06-28T00:00:00"/>
    <n v="1"/>
    <n v="0.52500000000000002"/>
    <s v="X Æ A-12"/>
  </r>
  <r>
    <x v="12"/>
    <s v="M"/>
    <n v="4"/>
    <n v="11.26"/>
    <d v="1899-12-30T01:00:30"/>
    <n v="17"/>
    <d v="1899-12-30T00:05:22"/>
    <n v="2.5"/>
    <n v="2"/>
    <n v="2.5"/>
    <x v="0"/>
    <n v="0.25"/>
    <n v="0.25"/>
    <n v="0.5"/>
    <n v="0"/>
    <n v="0"/>
    <n v="0"/>
    <n v="0"/>
    <n v="2.375"/>
    <d v="2020-06-27T00:00:00"/>
    <n v="1"/>
    <n v="0.21092362344582594"/>
    <s v="X Æ A-12"/>
  </r>
  <r>
    <x v="36"/>
    <s v="M"/>
    <n v="4"/>
    <n v="37.04"/>
    <d v="1899-12-30T03:15:47"/>
    <n v="67"/>
    <d v="1899-12-30T00:05:17"/>
    <n v="5"/>
    <n v="2"/>
    <n v="3.5"/>
    <x v="2"/>
    <n v="0.5"/>
    <n v="0.25"/>
    <n v="0.25"/>
    <n v="0"/>
    <n v="0.3"/>
    <n v="0"/>
    <n v="0"/>
    <n v="4.1749999999999998"/>
    <d v="2020-06-27T00:00:00"/>
    <n v="1"/>
    <n v="0.11271598272138229"/>
    <s v=" Let it run"/>
  </r>
  <r>
    <x v="23"/>
    <s v="F"/>
    <n v="4"/>
    <n v="20"/>
    <d v="1899-12-30T03:10:08"/>
    <n v="0"/>
    <d v="1899-12-30T00:09:30"/>
    <n v="5"/>
    <n v="0"/>
    <n v="1"/>
    <x v="2"/>
    <n v="0.5"/>
    <n v="0.25"/>
    <n v="0.25"/>
    <n v="0"/>
    <n v="0"/>
    <n v="0"/>
    <n v="0.5"/>
    <n v="3.25"/>
    <d v="2020-06-28T00:00:00"/>
    <n v="1"/>
    <n v="0.16250000000000001"/>
    <s v="Serioranistii"/>
  </r>
  <r>
    <x v="13"/>
    <s v="M"/>
    <n v="4"/>
    <n v="15.08"/>
    <d v="1899-12-30T01:12:19"/>
    <n v="163"/>
    <d v="1899-12-30T00:04:48"/>
    <n v="3.5"/>
    <n v="3"/>
    <n v="1"/>
    <x v="2"/>
    <n v="0.5"/>
    <n v="0.25"/>
    <n v="0.25"/>
    <n v="0.10866666666666666"/>
    <n v="0"/>
    <n v="0"/>
    <n v="0"/>
    <n v="2.8586666666666667"/>
    <d v="2020-06-28T00:00:00"/>
    <n v="1"/>
    <n v="0.18956675508399645"/>
    <s v="Tenchei"/>
  </r>
  <r>
    <x v="1"/>
    <s v="M"/>
    <n v="4"/>
    <n v="7.12"/>
    <d v="1899-12-30T00:52:36"/>
    <n v="71"/>
    <d v="1899-12-30T00:07:23"/>
    <n v="2"/>
    <n v="1"/>
    <n v="3.5"/>
    <x v="0"/>
    <n v="0.25"/>
    <n v="0.25"/>
    <n v="0.5"/>
    <n v="0"/>
    <n v="0"/>
    <n v="0"/>
    <n v="0"/>
    <n v="2.5"/>
    <d v="2020-06-28T00:00:00"/>
    <n v="1"/>
    <n v="0.35112359550561795"/>
    <s v="Serioranistii"/>
  </r>
  <r>
    <x v="15"/>
    <s v="M"/>
    <n v="4"/>
    <n v="10.199999999999999"/>
    <d v="1899-12-30T00:40:43"/>
    <n v="0"/>
    <d v="1899-12-30T00:04:00"/>
    <n v="2.5"/>
    <n v="5"/>
    <n v="2.5"/>
    <x v="1"/>
    <n v="0.25"/>
    <n v="0.5"/>
    <n v="0.25"/>
    <n v="0"/>
    <n v="0"/>
    <n v="0.1"/>
    <n v="0"/>
    <n v="3.85"/>
    <d v="2020-06-28T00:00:00"/>
    <n v="1"/>
    <n v="0.37745098039215691"/>
    <s v=" Let it run"/>
  </r>
  <r>
    <x v="0"/>
    <s v="M"/>
    <n v="4"/>
    <n v="12.01"/>
    <d v="1899-12-30T00:59:21"/>
    <n v="261"/>
    <d v="1899-12-30T00:04:57"/>
    <n v="3"/>
    <n v="3"/>
    <n v="2"/>
    <x v="0"/>
    <n v="0.25"/>
    <n v="0.25"/>
    <n v="0.5"/>
    <n v="0.17399999999999999"/>
    <n v="0"/>
    <n v="0"/>
    <n v="0"/>
    <n v="2.6739999999999999"/>
    <d v="2020-06-22T00:00:00"/>
    <n v="1"/>
    <n v="0.22264779350541217"/>
    <s v="Serioranistii"/>
  </r>
  <r>
    <x v="19"/>
    <s v="M"/>
    <n v="4"/>
    <n v="12.84"/>
    <d v="1899-12-30T01:13:11"/>
    <n v="133"/>
    <d v="1899-12-30T00:05:42"/>
    <n v="3"/>
    <n v="1.5"/>
    <n v="4.5"/>
    <x v="0"/>
    <n v="0.25"/>
    <n v="0.25"/>
    <n v="0.5"/>
    <n v="8.8666666666666671E-2"/>
    <n v="0"/>
    <n v="0"/>
    <n v="0"/>
    <n v="3.4636666666666667"/>
    <d v="2020-06-27T00:00:00"/>
    <n v="1"/>
    <n v="0.26975597092419523"/>
    <s v="Unicornii"/>
  </r>
  <r>
    <x v="11"/>
    <s v="M"/>
    <n v="4"/>
    <n v="85.4"/>
    <d v="1899-12-30T13:39:50"/>
    <n v="1437"/>
    <d v="1899-12-30T00:09:36"/>
    <n v="5"/>
    <n v="0"/>
    <n v="4.5"/>
    <x v="2"/>
    <n v="0.5"/>
    <n v="0.25"/>
    <n v="0.25"/>
    <n v="0.95799999999999996"/>
    <n v="1.2"/>
    <n v="0"/>
    <n v="0"/>
    <n v="5.7830000000000004"/>
    <d v="2020-06-27T00:00:00"/>
    <n v="1"/>
    <n v="6.7716627634660423E-2"/>
    <s v="Unicornii"/>
  </r>
  <r>
    <x v="2"/>
    <s v="F"/>
    <n v="4"/>
    <n v="30.02"/>
    <d v="1899-12-30T02:56:48"/>
    <n v="4"/>
    <d v="1899-12-30T00:05:53"/>
    <n v="5"/>
    <n v="2"/>
    <n v="3"/>
    <x v="0"/>
    <n v="0.25"/>
    <n v="0.25"/>
    <n v="0.5"/>
    <n v="0"/>
    <n v="0.1"/>
    <n v="0"/>
    <n v="0"/>
    <n v="3.35"/>
    <d v="2020-06-28T00:00:00"/>
    <n v="1"/>
    <n v="0.11159227181878748"/>
    <s v="Unicornii"/>
  </r>
  <r>
    <x v="17"/>
    <s v="M"/>
    <n v="4"/>
    <n v="11.81"/>
    <d v="1899-12-30T01:04:49"/>
    <n v="168"/>
    <d v="1899-12-30T00:05:29"/>
    <n v="2.5"/>
    <n v="2"/>
    <n v="3"/>
    <x v="1"/>
    <n v="0.25"/>
    <n v="0.5"/>
    <n v="0.25"/>
    <n v="0.112"/>
    <n v="0"/>
    <n v="0"/>
    <n v="0.5"/>
    <n v="2.9870000000000001"/>
    <d v="2020-06-24T00:00:00"/>
    <n v="1"/>
    <n v="0.2529212531752752"/>
    <s v="Serioranistii"/>
  </r>
  <r>
    <x v="8"/>
    <s v="F"/>
    <n v="4"/>
    <n v="14.01"/>
    <d v="1899-12-30T01:52:40"/>
    <n v="387"/>
    <d v="1899-12-30T00:08:03"/>
    <n v="3.5"/>
    <n v="1"/>
    <n v="4"/>
    <x v="0"/>
    <n v="0.25"/>
    <n v="0.25"/>
    <n v="0.5"/>
    <n v="0.25800000000000001"/>
    <n v="0"/>
    <n v="0"/>
    <n v="0"/>
    <n v="3.383"/>
    <d v="2020-06-27T00:00:00"/>
    <n v="1"/>
    <n v="0.24147037830121343"/>
    <s v="X Æ A-12"/>
  </r>
  <r>
    <x v="10"/>
    <s v="M"/>
    <n v="4"/>
    <n v="13.02"/>
    <d v="1899-12-30T01:14:54"/>
    <n v="99"/>
    <d v="1899-12-30T00:05:45"/>
    <n v="3"/>
    <n v="1.5"/>
    <n v="4"/>
    <x v="0"/>
    <n v="0.25"/>
    <n v="0.25"/>
    <n v="0.5"/>
    <n v="0"/>
    <n v="0"/>
    <n v="0"/>
    <n v="0"/>
    <n v="3.125"/>
    <d v="2020-06-26T00:00:00"/>
    <n v="1"/>
    <n v="0.24001536098310292"/>
    <s v="X Æ A-12"/>
  </r>
  <r>
    <x v="16"/>
    <s v="M"/>
    <n v="4"/>
    <n v="9.01"/>
    <d v="1899-12-30T00:41:57"/>
    <n v="0"/>
    <d v="1899-12-30T00:04:39"/>
    <n v="2"/>
    <n v="3.5"/>
    <n v="2.5"/>
    <x v="1"/>
    <n v="0.25"/>
    <n v="0.5"/>
    <n v="0.25"/>
    <n v="0"/>
    <n v="0"/>
    <n v="0"/>
    <n v="0"/>
    <n v="2.875"/>
    <d v="2020-06-25T00:00:00"/>
    <n v="1"/>
    <n v="0.31908990011098781"/>
    <s v="X Æ A-12"/>
  </r>
  <r>
    <x v="3"/>
    <s v="M"/>
    <n v="4"/>
    <n v="21.3"/>
    <d v="1899-12-30T01:53:04"/>
    <n v="49"/>
    <d v="1899-12-30T00:05:18"/>
    <n v="5"/>
    <n v="2"/>
    <n v="4.5"/>
    <x v="0"/>
    <n v="0.25"/>
    <n v="0.25"/>
    <n v="0.5"/>
    <n v="0"/>
    <n v="0"/>
    <n v="0"/>
    <n v="0"/>
    <n v="4"/>
    <d v="2020-06-24T00:00:00"/>
    <n v="1"/>
    <n v="0.18779342723004694"/>
    <s v="Tenchei"/>
  </r>
  <r>
    <x v="7"/>
    <s v="M"/>
    <n v="4"/>
    <n v="21.05"/>
    <d v="1899-12-30T01:44:12"/>
    <n v="0"/>
    <d v="1899-12-30T00:04:57"/>
    <n v="5"/>
    <n v="3"/>
    <n v="3.5"/>
    <x v="0"/>
    <n v="0.25"/>
    <n v="0.25"/>
    <n v="0.5"/>
    <n v="0"/>
    <n v="0"/>
    <n v="0"/>
    <n v="0"/>
    <n v="3.75"/>
    <d v="2020-06-27T00:00:00"/>
    <n v="1"/>
    <n v="0.17814726840855105"/>
    <s v=" Let it run"/>
  </r>
  <r>
    <x v="9"/>
    <s v="M"/>
    <n v="4"/>
    <n v="16.739999999999998"/>
    <d v="1899-12-30T01:31:32"/>
    <n v="25"/>
    <d v="1899-12-30T00:05:28"/>
    <n v="3.5"/>
    <n v="2"/>
    <n v="4"/>
    <x v="0"/>
    <n v="0.25"/>
    <n v="0.25"/>
    <n v="0.5"/>
    <n v="0"/>
    <n v="0"/>
    <n v="0"/>
    <n v="0"/>
    <n v="3.375"/>
    <d v="2020-06-25T00:00:00"/>
    <n v="1"/>
    <n v="0.20161290322580647"/>
    <s v="X Æ A-12"/>
  </r>
  <r>
    <x v="22"/>
    <s v="M"/>
    <n v="4"/>
    <n v="22.53"/>
    <d v="1899-12-30T01:59:12"/>
    <n v="681"/>
    <d v="1899-12-30T00:05:17"/>
    <n v="5"/>
    <n v="2"/>
    <n v="2"/>
    <x v="2"/>
    <n v="0.5"/>
    <n v="0.25"/>
    <n v="0.25"/>
    <n v="0.45400000000000001"/>
    <n v="0"/>
    <n v="0"/>
    <n v="0"/>
    <n v="3.9540000000000002"/>
    <d v="2020-06-28T00:00:00"/>
    <n v="1"/>
    <n v="0.17549933422103861"/>
    <s v="Serioranistii"/>
  </r>
  <r>
    <x v="20"/>
    <s v="M"/>
    <n v="4"/>
    <n v="12.17"/>
    <d v="1899-12-30T01:01:04"/>
    <n v="21"/>
    <d v="1899-12-30T00:05:01"/>
    <n v="3"/>
    <n v="2.5"/>
    <n v="1.5"/>
    <x v="0"/>
    <n v="0.25"/>
    <n v="0.25"/>
    <n v="0.5"/>
    <n v="0"/>
    <n v="0"/>
    <n v="0"/>
    <n v="0"/>
    <n v="2.125"/>
    <d v="2020-06-24T00:00:00"/>
    <n v="1"/>
    <n v="0.17460969597370585"/>
    <s v="Tenchei"/>
  </r>
  <r>
    <x v="25"/>
    <s v="M"/>
    <n v="4"/>
    <n v="22.6"/>
    <d v="1899-12-30T01:59:35"/>
    <n v="596"/>
    <d v="1899-12-30T00:05:17"/>
    <n v="5"/>
    <n v="2"/>
    <n v="4"/>
    <x v="0"/>
    <n v="0.25"/>
    <n v="0.25"/>
    <n v="0.5"/>
    <n v="0.39733333333333332"/>
    <n v="0"/>
    <n v="0"/>
    <n v="0"/>
    <n v="4.1473333333333331"/>
    <d v="2020-06-28T00:00:00"/>
    <n v="1"/>
    <n v="0.1835103244837758"/>
    <s v="Tenchei"/>
  </r>
  <r>
    <x v="21"/>
    <s v="M"/>
    <n v="4"/>
    <n v="44"/>
    <d v="1899-12-30T06:52:57"/>
    <n v="1984"/>
    <d v="1899-12-30T00:09:23"/>
    <n v="5"/>
    <n v="0"/>
    <n v="4"/>
    <x v="2"/>
    <n v="0.5"/>
    <n v="0.25"/>
    <n v="0.25"/>
    <n v="1.3226666666666667"/>
    <n v="0.4"/>
    <n v="0"/>
    <n v="0"/>
    <n v="5.222666666666667"/>
    <d v="2020-06-28T00:00:00"/>
    <n v="1"/>
    <n v="0.1186969696969697"/>
    <s v="Serioranistii"/>
  </r>
  <r>
    <x v="24"/>
    <s v="M"/>
    <n v="4"/>
    <n v="12.02"/>
    <d v="1899-12-30T00:46:26"/>
    <n v="14"/>
    <d v="1899-12-30T00:03:52"/>
    <n v="3"/>
    <n v="5"/>
    <n v="3.5"/>
    <x v="1"/>
    <n v="0.25"/>
    <n v="0.5"/>
    <n v="0.25"/>
    <n v="0"/>
    <n v="0"/>
    <n v="0.30000000000000004"/>
    <n v="0"/>
    <n v="4.4249999999999998"/>
    <d v="2020-06-28T00:00:00"/>
    <n v="1"/>
    <n v="0.36813643926788686"/>
    <s v="Unicornii"/>
  </r>
  <r>
    <x v="31"/>
    <s v="F"/>
    <n v="5"/>
    <n v="20.02"/>
    <d v="1899-12-30T01:39:35"/>
    <n v="35"/>
    <d v="1899-12-30T00:04:58"/>
    <n v="5"/>
    <n v="4"/>
    <n v="3.5"/>
    <x v="2"/>
    <n v="0.5"/>
    <n v="0.25"/>
    <n v="0.25"/>
    <n v="0"/>
    <n v="0"/>
    <n v="0"/>
    <n v="0"/>
    <n v="4.375"/>
    <d v="2020-07-05T00:00:00"/>
    <n v="1"/>
    <n v="0.21853146853146854"/>
    <s v="Unicornii"/>
  </r>
  <r>
    <x v="28"/>
    <s v="M"/>
    <n v="5"/>
    <n v="10.029999999999999"/>
    <d v="1899-12-30T00:52:42"/>
    <n v="30"/>
    <d v="1899-12-30T00:05:15"/>
    <n v="2.5"/>
    <n v="2.5"/>
    <n v="3.5"/>
    <x v="0"/>
    <n v="0.25"/>
    <n v="0.25"/>
    <n v="0.5"/>
    <n v="0"/>
    <n v="0"/>
    <n v="0"/>
    <n v="0"/>
    <n v="3"/>
    <d v="2020-07-05T00:00:00"/>
    <n v="1"/>
    <n v="0.29910269192422734"/>
    <s v=" Let it run"/>
  </r>
  <r>
    <x v="27"/>
    <s v="M"/>
    <n v="5"/>
    <n v="10.029999999999999"/>
    <d v="1899-12-30T01:19:18"/>
    <n v="0"/>
    <d v="1899-12-30T00:07:54"/>
    <n v="2.5"/>
    <n v="1"/>
    <n v="3"/>
    <x v="2"/>
    <n v="0.5"/>
    <n v="0.25"/>
    <n v="0.25"/>
    <n v="0"/>
    <n v="0"/>
    <n v="0"/>
    <n v="0"/>
    <n v="2.25"/>
    <d v="2020-07-03T00:00:00"/>
    <n v="1"/>
    <n v="0.2243270189431705"/>
    <s v=" Let it run"/>
  </r>
  <r>
    <x v="32"/>
    <s v="M"/>
    <n v="5"/>
    <n v="23.53"/>
    <d v="1899-12-30T04:00:54"/>
    <n v="708"/>
    <d v="1899-12-30T00:10:14"/>
    <n v="5"/>
    <n v="0"/>
    <n v="2.5"/>
    <x v="2"/>
    <n v="0.5"/>
    <n v="0.25"/>
    <n v="0.25"/>
    <n v="0.47199999999999998"/>
    <n v="0"/>
    <n v="0"/>
    <n v="0.5"/>
    <n v="4.0969999999999995"/>
    <d v="2020-07-04T00:00:00"/>
    <n v="1"/>
    <n v="0.17411814704632381"/>
    <s v=" Let it run"/>
  </r>
  <r>
    <x v="30"/>
    <s v="M"/>
    <n v="5"/>
    <n v="9.33"/>
    <d v="1899-12-30T00:50:57"/>
    <m/>
    <d v="1899-12-30T00:05:28"/>
    <n v="2"/>
    <n v="2"/>
    <n v="3.5"/>
    <x v="2"/>
    <n v="0.5"/>
    <n v="0.25"/>
    <n v="0.25"/>
    <n v="0"/>
    <n v="0"/>
    <n v="0"/>
    <n v="0"/>
    <n v="2.375"/>
    <d v="2020-07-05T00:00:00"/>
    <n v="1"/>
    <n v="0.25455519828510181"/>
    <s v=" Let it run"/>
  </r>
  <r>
    <x v="4"/>
    <s v="M"/>
    <n v="5"/>
    <n v="21.13"/>
    <d v="1899-12-30T02:15:42"/>
    <n v="62"/>
    <d v="1899-12-30T00:06:25"/>
    <n v="5"/>
    <n v="1"/>
    <n v="4"/>
    <x v="2"/>
    <n v="0.5"/>
    <n v="0.25"/>
    <n v="0.25"/>
    <n v="0"/>
    <n v="0"/>
    <n v="0"/>
    <n v="0"/>
    <n v="3.75"/>
    <d v="2020-06-30T00:00:00"/>
    <n v="1"/>
    <n v="0.17747278750591577"/>
    <s v=" Let it run"/>
  </r>
  <r>
    <x v="29"/>
    <s v="M"/>
    <n v="5"/>
    <n v="7"/>
    <d v="1899-12-30T00:52:39"/>
    <n v="8"/>
    <d v="1899-12-30T00:07:31"/>
    <n v="2"/>
    <n v="1"/>
    <n v="4"/>
    <x v="1"/>
    <n v="0.25"/>
    <n v="0.5"/>
    <n v="0.25"/>
    <n v="0"/>
    <n v="0"/>
    <n v="0"/>
    <n v="0"/>
    <n v="2"/>
    <d v="2020-07-01T00:00:00"/>
    <n v="1"/>
    <n v="0.2857142857142857"/>
    <s v="Unicornii"/>
  </r>
  <r>
    <x v="26"/>
    <s v="F"/>
    <n v="5"/>
    <n v="10.02"/>
    <d v="1899-12-30T01:02:28"/>
    <n v="66"/>
    <d v="1899-12-30T00:06:14"/>
    <n v="2.5"/>
    <n v="1.5"/>
    <n v="2.5"/>
    <x v="2"/>
    <n v="0.5"/>
    <n v="0.25"/>
    <n v="0.25"/>
    <n v="0"/>
    <n v="0"/>
    <n v="0"/>
    <n v="0"/>
    <n v="2.25"/>
    <d v="2020-07-03T00:00:00"/>
    <n v="1"/>
    <n v="0.22455089820359284"/>
    <s v="Serioranistii"/>
  </r>
  <r>
    <x v="37"/>
    <s v="M"/>
    <n v="5"/>
    <n v="10.27"/>
    <d v="1899-12-30T00:49:12"/>
    <n v="27"/>
    <d v="1899-12-30T00:04:47"/>
    <n v="2.5"/>
    <n v="3"/>
    <n v="2"/>
    <x v="1"/>
    <n v="0.25"/>
    <n v="0.5"/>
    <n v="0.25"/>
    <n v="0"/>
    <n v="0"/>
    <n v="0"/>
    <n v="0"/>
    <n v="2.625"/>
    <d v="2020-07-01T00:00:00"/>
    <n v="1"/>
    <n v="0.25559883154819862"/>
    <s v="Serioranistii"/>
  </r>
  <r>
    <x v="38"/>
    <s v="F"/>
    <n v="5"/>
    <n v="4.51"/>
    <d v="1899-12-30T00:27:09"/>
    <n v="8"/>
    <d v="1899-12-30T00:06:01"/>
    <n v="1.5"/>
    <n v="1.5"/>
    <n v="3.5"/>
    <x v="0"/>
    <n v="0.25"/>
    <n v="0.25"/>
    <n v="0.5"/>
    <n v="0"/>
    <n v="0"/>
    <n v="0"/>
    <n v="0"/>
    <n v="2.5"/>
    <d v="2020-07-05T00:00:00"/>
    <n v="1"/>
    <n v="0.55432372505543237"/>
    <s v="X Æ A-12"/>
  </r>
  <r>
    <x v="12"/>
    <s v="M"/>
    <n v="5"/>
    <n v="14.49"/>
    <d v="1899-12-30T01:20:02"/>
    <n v="18"/>
    <d v="1899-12-30T00:05:31"/>
    <n v="3"/>
    <n v="1.5"/>
    <n v="1.5"/>
    <x v="2"/>
    <n v="0.5"/>
    <n v="0.25"/>
    <n v="0.25"/>
    <n v="0"/>
    <n v="0"/>
    <n v="0"/>
    <n v="0"/>
    <n v="2.25"/>
    <d v="2020-07-04T00:00:00"/>
    <n v="1"/>
    <n v="0.15527950310559005"/>
    <s v="X Æ A-12"/>
  </r>
  <r>
    <x v="36"/>
    <s v="M"/>
    <n v="5"/>
    <n v="21"/>
    <d v="1899-12-30T01:40:31"/>
    <n v="23"/>
    <d v="1899-12-30T00:04:47"/>
    <n v="5"/>
    <n v="3"/>
    <n v="3.5"/>
    <x v="1"/>
    <n v="0.25"/>
    <n v="0.5"/>
    <n v="0.25"/>
    <n v="0"/>
    <n v="0"/>
    <n v="0"/>
    <n v="0"/>
    <n v="3.625"/>
    <d v="2020-07-05T00:00:00"/>
    <n v="1"/>
    <n v="0.17261904761904762"/>
    <s v=" Let it run"/>
  </r>
  <r>
    <x v="23"/>
    <s v="F"/>
    <n v="5"/>
    <n v="5"/>
    <d v="1899-12-30T00:40:07"/>
    <n v="7"/>
    <d v="1899-12-30T00:08:01"/>
    <n v="1.5"/>
    <n v="1"/>
    <n v="1"/>
    <x v="1"/>
    <n v="0.25"/>
    <n v="0.5"/>
    <n v="0.25"/>
    <n v="0"/>
    <n v="0"/>
    <n v="0"/>
    <n v="0.5"/>
    <n v="1.625"/>
    <d v="2020-07-02T00:00:00"/>
    <n v="1"/>
    <n v="0.32500000000000001"/>
    <s v="Serioranistii"/>
  </r>
  <r>
    <x v="13"/>
    <s v="M"/>
    <n v="5"/>
    <n v="14.2"/>
    <d v="1899-12-30T01:18:35"/>
    <n v="79"/>
    <d v="1899-12-30T00:05:32"/>
    <n v="3"/>
    <n v="1.5"/>
    <n v="1"/>
    <x v="0"/>
    <n v="0.25"/>
    <n v="0.25"/>
    <n v="0.5"/>
    <n v="0"/>
    <n v="0"/>
    <n v="0"/>
    <n v="0"/>
    <n v="1.625"/>
    <d v="2020-07-05T00:00:00"/>
    <n v="1"/>
    <n v="0.11443661971830986"/>
    <s v="Tenchei"/>
  </r>
  <r>
    <x v="1"/>
    <s v="M"/>
    <n v="5"/>
    <n v="5.01"/>
    <d v="1899-12-30T00:30:50"/>
    <n v="28"/>
    <d v="1899-12-30T00:06:09"/>
    <n v="1.5"/>
    <n v="1"/>
    <n v="4"/>
    <x v="0"/>
    <n v="0.25"/>
    <n v="0.25"/>
    <n v="0.5"/>
    <n v="0"/>
    <n v="0"/>
    <n v="0"/>
    <n v="0"/>
    <n v="2.625"/>
    <d v="2020-07-05T00:00:00"/>
    <n v="1"/>
    <n v="0.5239520958083832"/>
    <s v="Serioranistii"/>
  </r>
  <r>
    <x v="15"/>
    <s v="M"/>
    <n v="5"/>
    <n v="21.12"/>
    <d v="1899-12-30T01:41:33"/>
    <n v="394"/>
    <d v="1899-12-30T00:04:48"/>
    <n v="5"/>
    <n v="3"/>
    <n v="1.5"/>
    <x v="2"/>
    <n v="0.5"/>
    <n v="0.25"/>
    <n v="0.25"/>
    <n v="0.26266666666666666"/>
    <n v="0"/>
    <n v="0"/>
    <n v="0"/>
    <n v="3.8876666666666666"/>
    <d v="2020-07-05T00:00:00"/>
    <n v="1"/>
    <n v="0.18407512626262626"/>
    <s v=" Let it run"/>
  </r>
  <r>
    <x v="0"/>
    <s v="M"/>
    <n v="5"/>
    <n v="10"/>
    <d v="1899-12-30T00:49:33"/>
    <n v="301"/>
    <d v="1899-12-30T00:04:57"/>
    <n v="2.5"/>
    <n v="3"/>
    <n v="2.5"/>
    <x v="2"/>
    <n v="0.5"/>
    <n v="0.25"/>
    <n v="0.25"/>
    <n v="0.20066666666666666"/>
    <n v="0"/>
    <n v="0"/>
    <n v="0"/>
    <n v="2.8256666666666668"/>
    <d v="2020-06-30T00:00:00"/>
    <n v="1"/>
    <n v="0.28256666666666669"/>
    <s v="Serioranistii"/>
  </r>
  <r>
    <x v="19"/>
    <s v="M"/>
    <n v="5"/>
    <n v="17.02"/>
    <d v="1899-12-30T01:27:35"/>
    <n v="17"/>
    <d v="1899-12-30T00:05:09"/>
    <n v="4"/>
    <n v="2.5"/>
    <n v="3"/>
    <x v="2"/>
    <n v="0.5"/>
    <n v="0.25"/>
    <n v="0.25"/>
    <n v="0"/>
    <n v="0"/>
    <n v="0"/>
    <n v="0"/>
    <n v="3.375"/>
    <d v="2020-06-30T00:00:00"/>
    <n v="1"/>
    <n v="0.1982961222091657"/>
    <s v="Unicornii"/>
  </r>
  <r>
    <x v="11"/>
    <s v="M"/>
    <n v="5"/>
    <n v="11"/>
    <d v="1899-12-30T01:08:05"/>
    <n v="53"/>
    <d v="1899-12-30T00:06:11"/>
    <n v="2.5"/>
    <n v="1"/>
    <n v="4"/>
    <x v="0"/>
    <n v="0.25"/>
    <n v="0.25"/>
    <n v="0.5"/>
    <n v="0"/>
    <n v="0"/>
    <n v="0"/>
    <n v="0"/>
    <n v="2.875"/>
    <d v="2020-07-05T00:00:00"/>
    <n v="1"/>
    <n v="0.26136363636363635"/>
    <s v="Unicornii"/>
  </r>
  <r>
    <x v="2"/>
    <s v="F"/>
    <n v="5"/>
    <n v="30"/>
    <d v="1899-12-30T03:01:20"/>
    <n v="5"/>
    <d v="1899-12-30T00:06:03"/>
    <n v="5"/>
    <n v="1.5"/>
    <n v="1.5"/>
    <x v="2"/>
    <n v="0.5"/>
    <n v="0.25"/>
    <n v="0.25"/>
    <n v="0"/>
    <n v="0.1"/>
    <n v="0"/>
    <n v="0"/>
    <n v="3.35"/>
    <d v="2020-07-05T00:00:00"/>
    <n v="1"/>
    <n v="0.11166666666666666"/>
    <s v="Unicornii"/>
  </r>
  <r>
    <x v="17"/>
    <s v="M"/>
    <n v="5"/>
    <n v="22.19"/>
    <d v="1899-12-30T02:09:37"/>
    <n v="347"/>
    <d v="1899-12-30T00:05:50"/>
    <n v="5"/>
    <n v="1.5"/>
    <n v="2.5"/>
    <x v="2"/>
    <n v="0.5"/>
    <n v="0.25"/>
    <n v="0.25"/>
    <n v="0.23133333333333334"/>
    <n v="0"/>
    <n v="0"/>
    <n v="0.5"/>
    <n v="4.2313333333333336"/>
    <d v="2020-07-04T00:00:00"/>
    <n v="1"/>
    <n v="0.19068649541835661"/>
    <s v="Serioranistii"/>
  </r>
  <r>
    <x v="8"/>
    <s v="F"/>
    <n v="5"/>
    <n v="21"/>
    <d v="1899-12-30T02:17:28"/>
    <n v="447"/>
    <d v="1899-12-30T00:06:33"/>
    <n v="5"/>
    <n v="1"/>
    <n v="4"/>
    <x v="2"/>
    <n v="0.5"/>
    <n v="0.25"/>
    <n v="0.25"/>
    <n v="0.29799999999999999"/>
    <n v="0"/>
    <n v="0"/>
    <n v="0"/>
    <n v="4.048"/>
    <d v="2020-07-05T00:00:00"/>
    <n v="1"/>
    <n v="0.19276190476190477"/>
    <s v="X Æ A-12"/>
  </r>
  <r>
    <x v="10"/>
    <s v="M"/>
    <n v="5"/>
    <n v="18.03"/>
    <d v="1899-12-30T01:48:09"/>
    <n v="121"/>
    <d v="1899-12-30T00:06:00"/>
    <n v="4"/>
    <n v="1.5"/>
    <n v="4"/>
    <x v="2"/>
    <n v="0.5"/>
    <n v="0.25"/>
    <n v="0.25"/>
    <n v="8.0666666666666664E-2"/>
    <n v="0"/>
    <n v="0"/>
    <n v="0"/>
    <n v="3.4556666666666667"/>
    <d v="2020-06-30T00:00:00"/>
    <n v="1"/>
    <n v="0.19166204474024773"/>
    <s v="X Æ A-12"/>
  </r>
  <r>
    <x v="16"/>
    <s v="M"/>
    <n v="5"/>
    <n v="21.37"/>
    <d v="1899-12-30T01:48:51"/>
    <n v="21"/>
    <d v="1899-12-30T00:05:06"/>
    <n v="5"/>
    <n v="2.5"/>
    <n v="3.5"/>
    <x v="2"/>
    <n v="0.5"/>
    <n v="0.25"/>
    <n v="0.25"/>
    <n v="0"/>
    <n v="0"/>
    <n v="0"/>
    <n v="0"/>
    <n v="4"/>
    <d v="2020-07-04T00:00:00"/>
    <n v="1"/>
    <n v="0.18717828731867103"/>
    <s v="X Æ A-12"/>
  </r>
  <r>
    <x v="3"/>
    <s v="M"/>
    <n v="5"/>
    <n v="23.13"/>
    <d v="1899-12-30T02:16:30"/>
    <n v="76"/>
    <d v="1899-12-30T00:05:54"/>
    <n v="5"/>
    <n v="1.5"/>
    <n v="4"/>
    <x v="2"/>
    <n v="0.5"/>
    <n v="0.25"/>
    <n v="0.25"/>
    <n v="0"/>
    <n v="0"/>
    <n v="0"/>
    <n v="0"/>
    <n v="3.875"/>
    <d v="2020-07-04T00:00:00"/>
    <n v="1"/>
    <n v="0.16753134457414615"/>
    <s v="Tenchei"/>
  </r>
  <r>
    <x v="7"/>
    <s v="M"/>
    <n v="5"/>
    <n v="26.04"/>
    <d v="1899-12-30T02:11:23"/>
    <n v="0"/>
    <d v="1899-12-30T00:05:03"/>
    <n v="5"/>
    <n v="2.5"/>
    <n v="3.5"/>
    <x v="2"/>
    <n v="0.5"/>
    <n v="0.25"/>
    <n v="0.25"/>
    <n v="0"/>
    <n v="0.1"/>
    <n v="0"/>
    <n v="0"/>
    <n v="4.0999999999999996"/>
    <d v="2020-07-04T00:00:00"/>
    <n v="1"/>
    <n v="0.15745007680491552"/>
    <s v=" Let it run"/>
  </r>
  <r>
    <x v="9"/>
    <s v="M"/>
    <n v="5"/>
    <n v="12.34"/>
    <d v="1899-12-30T01:10:27"/>
    <n v="26"/>
    <d v="1899-12-30T00:05:43"/>
    <n v="3"/>
    <n v="1.5"/>
    <n v="4.5"/>
    <x v="0"/>
    <n v="0.25"/>
    <n v="0.25"/>
    <n v="0.5"/>
    <n v="0"/>
    <n v="0"/>
    <n v="0"/>
    <n v="0"/>
    <n v="3.375"/>
    <d v="2020-07-02T00:00:00"/>
    <n v="1"/>
    <n v="0.27350081037277146"/>
    <s v="X Æ A-12"/>
  </r>
  <r>
    <x v="22"/>
    <s v="M"/>
    <n v="5"/>
    <n v="10.130000000000001"/>
    <d v="1899-12-30T00:36:03"/>
    <n v="77"/>
    <d v="1899-12-30T00:03:34"/>
    <n v="2.5"/>
    <n v="5"/>
    <n v="2"/>
    <x v="1"/>
    <n v="0.25"/>
    <n v="0.5"/>
    <n v="0.25"/>
    <n v="0"/>
    <n v="0"/>
    <n v="2.1"/>
    <n v="0"/>
    <n v="5.7249999999999996"/>
    <d v="2020-07-02T00:00:00"/>
    <n v="1"/>
    <n v="0.56515301085883507"/>
    <s v="Serioranistii"/>
  </r>
  <r>
    <x v="20"/>
    <s v="M"/>
    <n v="5"/>
    <n v="25"/>
    <d v="1899-12-30T02:11:09"/>
    <n v="253"/>
    <d v="1899-12-30T00:05:15"/>
    <n v="5"/>
    <n v="2.5"/>
    <n v="3"/>
    <x v="2"/>
    <n v="0.5"/>
    <n v="0.25"/>
    <n v="0.25"/>
    <n v="0.16866666666666666"/>
    <n v="0"/>
    <n v="0"/>
    <n v="0"/>
    <n v="4.0436666666666667"/>
    <d v="2020-07-05T00:00:00"/>
    <n v="1"/>
    <n v="0.16174666666666668"/>
    <s v="Tenchei"/>
  </r>
  <r>
    <x v="25"/>
    <s v="M"/>
    <n v="5"/>
    <n v="30.32"/>
    <d v="1899-12-30T02:14:23"/>
    <n v="457"/>
    <d v="1899-12-30T00:04:26"/>
    <n v="5"/>
    <n v="4"/>
    <n v="4"/>
    <x v="2"/>
    <n v="0.5"/>
    <n v="0.25"/>
    <n v="0.25"/>
    <n v="0.30466666666666664"/>
    <n v="0.1"/>
    <n v="0"/>
    <n v="0"/>
    <n v="4.9046666666666665"/>
    <d v="2020-07-05T00:00:00"/>
    <n v="1"/>
    <n v="0.16176341248900614"/>
    <s v="Tenchei"/>
  </r>
  <r>
    <x v="21"/>
    <s v="M"/>
    <n v="5"/>
    <n v="21.11"/>
    <d v="1899-12-30T01:44:40"/>
    <n v="27"/>
    <d v="1899-12-30T00:04:57"/>
    <n v="5"/>
    <n v="3"/>
    <n v="5"/>
    <x v="1"/>
    <n v="0.25"/>
    <n v="0.5"/>
    <n v="0.25"/>
    <n v="0"/>
    <n v="0"/>
    <n v="0"/>
    <n v="0"/>
    <n v="4"/>
    <d v="2020-07-04T00:00:00"/>
    <n v="1"/>
    <n v="0.18948365703458078"/>
    <s v="Serioranistii"/>
  </r>
  <r>
    <x v="24"/>
    <s v="M"/>
    <n v="5"/>
    <n v="50.11"/>
    <d v="1899-12-30T04:05:46"/>
    <n v="476"/>
    <d v="1899-12-30T00:04:54"/>
    <n v="5"/>
    <n v="3"/>
    <n v="4"/>
    <x v="2"/>
    <n v="0.5"/>
    <n v="0.25"/>
    <n v="0.25"/>
    <n v="0.31733333333333336"/>
    <n v="0.5"/>
    <n v="0"/>
    <n v="0"/>
    <n v="5.067333333333333"/>
    <d v="2020-07-05T00:00:00"/>
    <n v="1"/>
    <n v="0.10112419344109624"/>
    <s v="Unicornii"/>
  </r>
  <r>
    <x v="5"/>
    <s v="M"/>
    <n v="5"/>
    <n v="10.01"/>
    <d v="1899-12-30T00:46:50"/>
    <n v="167"/>
    <d v="1899-12-30T00:04:41"/>
    <n v="2.5"/>
    <n v="3.5"/>
    <n v="2.5"/>
    <x v="1"/>
    <n v="0.25"/>
    <n v="0.5"/>
    <n v="0.25"/>
    <n v="0.11133333333333334"/>
    <n v="0"/>
    <n v="0"/>
    <n v="0"/>
    <n v="3.1113333333333335"/>
    <d v="2020-07-03T00:00:00"/>
    <n v="1"/>
    <n v="0.31082251082251083"/>
    <s v="X Æ A-12"/>
  </r>
  <r>
    <x v="6"/>
    <s v="F"/>
    <n v="5"/>
    <n v="8"/>
    <d v="1899-12-30T00:58:57"/>
    <n v="2"/>
    <d v="1899-12-30T00:07:22"/>
    <n v="2"/>
    <n v="1"/>
    <n v="3"/>
    <x v="2"/>
    <n v="0.5"/>
    <n v="0.25"/>
    <n v="0.25"/>
    <n v="0"/>
    <n v="0"/>
    <n v="0"/>
    <n v="0.75"/>
    <n v="2.75"/>
    <d v="2020-06-01T00:00:00"/>
    <n v="1"/>
    <n v="0.34375"/>
    <s v="Tenchei"/>
  </r>
  <r>
    <x v="39"/>
    <s v="M"/>
    <n v="5"/>
    <n v="7.45"/>
    <d v="1899-12-30T00:36:11"/>
    <n v="12"/>
    <d v="1899-12-30T00:04:51"/>
    <n v="2"/>
    <n v="3"/>
    <n v="1.5"/>
    <x v="2"/>
    <n v="0.5"/>
    <n v="0.25"/>
    <n v="0.25"/>
    <n v="0"/>
    <n v="0"/>
    <n v="0"/>
    <n v="0"/>
    <n v="2.125"/>
    <d v="2020-07-03T00:00:00"/>
    <n v="1"/>
    <n v="0.28523489932885904"/>
    <s v="Tenchei"/>
  </r>
  <r>
    <x v="31"/>
    <s v="F"/>
    <n v="6"/>
    <n v="12.76"/>
    <d v="1899-12-30T01:04:57"/>
    <n v="15"/>
    <d v="1899-12-30T00:05:05"/>
    <n v="3"/>
    <n v="3.5"/>
    <n v="2.5"/>
    <x v="1"/>
    <n v="0.25"/>
    <n v="0.5"/>
    <n v="0.25"/>
    <n v="0"/>
    <n v="0"/>
    <n v="0"/>
    <n v="0"/>
    <n v="3.125"/>
    <d v="2020-07-09T00:00:00"/>
    <n v="1"/>
    <n v="0.24490595611285268"/>
    <s v="Unicornii"/>
  </r>
  <r>
    <x v="28"/>
    <s v="M"/>
    <n v="6"/>
    <n v="21.45"/>
    <d v="1899-12-30T02:32:51"/>
    <n v="632"/>
    <d v="1899-12-30T00:07:08"/>
    <n v="5"/>
    <n v="1"/>
    <n v="3.5"/>
    <x v="2"/>
    <n v="0.5"/>
    <n v="0.25"/>
    <n v="0.25"/>
    <n v="0.42133333333333334"/>
    <n v="0"/>
    <n v="0"/>
    <n v="0"/>
    <n v="4.0463333333333331"/>
    <d v="2020-07-12T00:00:00"/>
    <n v="1"/>
    <n v="0.18864024864024864"/>
    <s v=" Let it run"/>
  </r>
  <r>
    <x v="27"/>
    <s v="M"/>
    <n v="6"/>
    <n v="10.029999999999999"/>
    <d v="1899-12-30T01:04:08"/>
    <n v="0"/>
    <d v="1899-12-30T00:06:24"/>
    <n v="2.5"/>
    <n v="1"/>
    <n v="3"/>
    <x v="1"/>
    <n v="0.25"/>
    <n v="0.5"/>
    <n v="0.25"/>
    <n v="0"/>
    <n v="0"/>
    <n v="0"/>
    <n v="0"/>
    <n v="1.875"/>
    <d v="2020-07-07T00:00:00"/>
    <n v="1"/>
    <n v="0.18693918245264207"/>
    <s v=" Let it run"/>
  </r>
  <r>
    <x v="32"/>
    <s v="M"/>
    <n v="6"/>
    <n v="75.31"/>
    <d v="1899-12-30T12:51:04"/>
    <n v="2799"/>
    <d v="1899-12-30T00:10:14"/>
    <n v="5"/>
    <n v="0"/>
    <n v="4.5"/>
    <x v="2"/>
    <n v="0.5"/>
    <n v="0.25"/>
    <n v="0.25"/>
    <n v="1.8660000000000001"/>
    <n v="1"/>
    <n v="0"/>
    <n v="0.5"/>
    <n v="6.9909999999999997"/>
    <d v="2020-07-10T00:00:00"/>
    <n v="1"/>
    <n v="9.2829637498340181E-2"/>
    <s v=" Let it run"/>
  </r>
  <r>
    <x v="30"/>
    <s v="M"/>
    <n v="6"/>
    <n v="9.81"/>
    <d v="1899-12-30T00:54:11"/>
    <n v="9"/>
    <d v="1899-12-30T00:05:31"/>
    <n v="2.5"/>
    <n v="1.5"/>
    <n v="3"/>
    <x v="2"/>
    <n v="0.5"/>
    <n v="0.25"/>
    <n v="0.25"/>
    <n v="0"/>
    <n v="0"/>
    <n v="0"/>
    <n v="0"/>
    <n v="2.375"/>
    <d v="2020-07-12T00:00:00"/>
    <n v="1"/>
    <n v="0.24209989806320081"/>
    <s v=" Let it run"/>
  </r>
  <r>
    <x v="4"/>
    <s v="M"/>
    <n v="6"/>
    <n v="5.01"/>
    <d v="1899-12-30T00:27:16"/>
    <n v="0"/>
    <d v="1899-12-30T00:05:27"/>
    <n v="1.5"/>
    <n v="2"/>
    <n v="1.5"/>
    <x v="1"/>
    <n v="0.25"/>
    <n v="0.5"/>
    <n v="0.25"/>
    <n v="0"/>
    <n v="0"/>
    <n v="0"/>
    <n v="0"/>
    <n v="1.75"/>
    <d v="2020-07-11T00:00:00"/>
    <n v="1"/>
    <n v="0.34930139720558884"/>
    <s v=" Let it run"/>
  </r>
  <r>
    <x v="29"/>
    <s v="M"/>
    <n v="6"/>
    <n v="10.01"/>
    <d v="1899-12-30T01:08:30"/>
    <n v="13"/>
    <d v="1899-12-30T00:06:51"/>
    <n v="2.5"/>
    <n v="1"/>
    <n v="3.5"/>
    <x v="0"/>
    <n v="0.25"/>
    <n v="0.25"/>
    <n v="0.5"/>
    <n v="0"/>
    <n v="0"/>
    <n v="0"/>
    <n v="0"/>
    <n v="2.625"/>
    <d v="2020-07-09T00:00:00"/>
    <n v="1"/>
    <n v="0.26223776223776224"/>
    <s v="Unicornii"/>
  </r>
  <r>
    <x v="26"/>
    <s v="F"/>
    <n v="6"/>
    <n v="7.03"/>
    <d v="1899-12-30T00:41:22"/>
    <n v="42"/>
    <d v="1899-12-30T00:05:53"/>
    <n v="2"/>
    <n v="2"/>
    <n v="3"/>
    <x v="1"/>
    <n v="0.25"/>
    <n v="0.5"/>
    <n v="0.25"/>
    <n v="0"/>
    <n v="0"/>
    <n v="0"/>
    <n v="0"/>
    <n v="2.25"/>
    <d v="2020-07-08T00:00:00"/>
    <n v="1"/>
    <n v="0.32005689900426743"/>
    <s v="Serioranistii"/>
  </r>
  <r>
    <x v="37"/>
    <s v="M"/>
    <n v="6"/>
    <n v="21.29"/>
    <d v="1899-12-30T01:41:58"/>
    <n v="28"/>
    <d v="1899-12-30T00:04:47"/>
    <n v="5"/>
    <n v="3"/>
    <n v="2.5"/>
    <x v="2"/>
    <n v="0.5"/>
    <n v="0.25"/>
    <n v="0.25"/>
    <n v="0"/>
    <n v="0"/>
    <n v="0"/>
    <n v="0"/>
    <n v="3.875"/>
    <d v="2020-07-11T00:00:00"/>
    <n v="1"/>
    <n v="0.18201033348990137"/>
    <s v="Serioranistii"/>
  </r>
  <r>
    <x v="38"/>
    <s v="F"/>
    <n v="6"/>
    <n v="5"/>
    <d v="1899-12-30T00:30:39"/>
    <n v="9"/>
    <d v="1899-12-30T00:06:08"/>
    <n v="1.5"/>
    <n v="1.5"/>
    <n v="3"/>
    <x v="0"/>
    <n v="0.25"/>
    <n v="0.25"/>
    <n v="0.5"/>
    <n v="0"/>
    <n v="0"/>
    <n v="0"/>
    <n v="0"/>
    <n v="2.25"/>
    <d v="2020-07-09T00:00:00"/>
    <n v="1"/>
    <n v="0.45"/>
    <s v="X Æ A-12"/>
  </r>
  <r>
    <x v="12"/>
    <s v="M"/>
    <n v="6"/>
    <n v="11.27"/>
    <d v="1899-12-30T01:01:54"/>
    <m/>
    <d v="1899-12-30T00:05:30"/>
    <n v="2.5"/>
    <n v="2"/>
    <n v="1.5"/>
    <x v="1"/>
    <n v="0.25"/>
    <n v="0.5"/>
    <n v="0.25"/>
    <n v="0"/>
    <n v="0"/>
    <n v="0"/>
    <n v="0"/>
    <n v="2"/>
    <d v="2020-07-06T00:00:00"/>
    <n v="1"/>
    <n v="0.1774622892635315"/>
    <s v="X Æ A-12"/>
  </r>
  <r>
    <x v="36"/>
    <s v="M"/>
    <n v="6"/>
    <n v="27.22"/>
    <d v="1899-12-30T02:24:13"/>
    <n v="0"/>
    <d v="1899-12-30T00:05:18"/>
    <n v="5"/>
    <n v="2"/>
    <n v="3.5"/>
    <x v="2"/>
    <n v="0.5"/>
    <n v="0.25"/>
    <n v="0.25"/>
    <n v="0"/>
    <n v="0.1"/>
    <n v="0"/>
    <n v="0"/>
    <n v="3.9750000000000001"/>
    <d v="2020-07-11T00:00:00"/>
    <n v="1"/>
    <n v="0.14603232916972814"/>
    <s v=" Let it run"/>
  </r>
  <r>
    <x v="23"/>
    <s v="F"/>
    <n v="6"/>
    <n v="13.63"/>
    <d v="1899-12-30T03:06:40"/>
    <n v="736"/>
    <d v="1899-12-30T00:13:42"/>
    <n v="0"/>
    <n v="0"/>
    <n v="3.5"/>
    <x v="0"/>
    <n v="0.25"/>
    <n v="0.25"/>
    <n v="0.5"/>
    <n v="0.49066666666666664"/>
    <n v="0"/>
    <n v="0"/>
    <n v="0.5"/>
    <n v="2.7406666666666668"/>
    <d v="2020-07-12T00:00:00"/>
    <n v="1"/>
    <n v="0.20107605771582293"/>
    <s v="Serioranistii"/>
  </r>
  <r>
    <x v="13"/>
    <s v="M"/>
    <n v="6"/>
    <n v="22.03"/>
    <d v="1899-12-30T01:53:04"/>
    <n v="266"/>
    <d v="1899-12-30T00:05:08"/>
    <n v="5"/>
    <n v="2.5"/>
    <n v="1"/>
    <x v="2"/>
    <n v="0.5"/>
    <n v="0.25"/>
    <n v="0.25"/>
    <n v="0.17733333333333334"/>
    <n v="0"/>
    <n v="0"/>
    <n v="0"/>
    <n v="3.5523333333333333"/>
    <d v="2020-07-12T00:00:00"/>
    <n v="1"/>
    <n v="0.16124981086397336"/>
    <s v="Tenchei"/>
  </r>
  <r>
    <x v="1"/>
    <s v="M"/>
    <n v="6"/>
    <n v="15.01"/>
    <d v="1899-12-30T01:53:00"/>
    <n v="457"/>
    <d v="1899-12-30T00:07:32"/>
    <n v="3.5"/>
    <n v="1"/>
    <n v="4"/>
    <x v="2"/>
    <n v="0.5"/>
    <n v="0.25"/>
    <n v="0.25"/>
    <n v="0.30466666666666664"/>
    <n v="0"/>
    <n v="0"/>
    <n v="0"/>
    <n v="3.3046666666666669"/>
    <d v="2020-07-12T00:00:00"/>
    <n v="1"/>
    <n v="0.22016433488785256"/>
    <s v="Serioranistii"/>
  </r>
  <r>
    <x v="15"/>
    <s v="M"/>
    <n v="6"/>
    <n v="21.3"/>
    <d v="1899-12-30T01:29:16"/>
    <n v="0"/>
    <d v="1899-12-30T00:04:11"/>
    <n v="5"/>
    <n v="4.5"/>
    <n v="3"/>
    <x v="1"/>
    <n v="0.25"/>
    <n v="0.5"/>
    <n v="0.25"/>
    <n v="0"/>
    <n v="0"/>
    <n v="0"/>
    <n v="0"/>
    <n v="4.25"/>
    <d v="2020-07-12T00:00:00"/>
    <n v="1"/>
    <n v="0.19953051643192488"/>
    <s v=" Let it run"/>
  </r>
  <r>
    <x v="0"/>
    <s v="M"/>
    <n v="6"/>
    <n v="11.01"/>
    <d v="1899-12-30T00:54:47"/>
    <n v="304"/>
    <d v="1899-12-30T00:04:59"/>
    <n v="2.5"/>
    <n v="3"/>
    <n v="2.5"/>
    <x v="1"/>
    <n v="0.25"/>
    <n v="0.5"/>
    <n v="0.25"/>
    <n v="0.20266666666666666"/>
    <n v="0"/>
    <n v="0"/>
    <n v="0"/>
    <n v="2.9526666666666666"/>
    <d v="2020-07-07T00:00:00"/>
    <n v="1"/>
    <n v="0.26818044202240388"/>
    <s v="Serioranistii"/>
  </r>
  <r>
    <x v="19"/>
    <s v="M"/>
    <n v="6"/>
    <n v="7.05"/>
    <d v="1899-12-30T00:32:41"/>
    <n v="8"/>
    <d v="1899-12-30T00:04:38"/>
    <n v="2"/>
    <n v="3.5"/>
    <n v="3.5"/>
    <x v="1"/>
    <n v="0.25"/>
    <n v="0.5"/>
    <n v="0.25"/>
    <n v="0"/>
    <n v="0"/>
    <n v="0"/>
    <n v="0"/>
    <n v="3.125"/>
    <d v="2020-07-07T00:00:00"/>
    <n v="1"/>
    <n v="0.44326241134751776"/>
    <s v="Unicornii"/>
  </r>
  <r>
    <x v="11"/>
    <s v="M"/>
    <n v="6"/>
    <n v="8"/>
    <d v="1899-12-30T00:38:09"/>
    <n v="35"/>
    <d v="1899-12-30T00:04:46"/>
    <n v="2"/>
    <n v="3"/>
    <n v="2.5"/>
    <x v="1"/>
    <n v="0.25"/>
    <n v="0.5"/>
    <n v="0.25"/>
    <n v="0"/>
    <n v="0"/>
    <n v="0"/>
    <n v="0"/>
    <n v="2.625"/>
    <d v="2020-07-11T00:00:00"/>
    <n v="1"/>
    <n v="0.328125"/>
    <s v="Unicornii"/>
  </r>
  <r>
    <x v="2"/>
    <s v="F"/>
    <n v="6"/>
    <n v="16"/>
    <d v="1899-12-30T01:32:48"/>
    <n v="13"/>
    <d v="1899-12-30T00:05:48"/>
    <n v="4"/>
    <n v="2"/>
    <n v="4"/>
    <x v="0"/>
    <n v="0.25"/>
    <n v="0.25"/>
    <n v="0.5"/>
    <n v="0"/>
    <n v="0"/>
    <n v="0"/>
    <n v="0"/>
    <n v="3.5"/>
    <d v="2020-07-12T00:00:00"/>
    <n v="1"/>
    <n v="0.21875"/>
    <s v="Unicornii"/>
  </r>
  <r>
    <x v="17"/>
    <s v="M"/>
    <n v="6"/>
    <n v="11.59"/>
    <d v="1899-12-30T01:03:40"/>
    <n v="95"/>
    <d v="1899-12-30T00:05:30"/>
    <n v="2.5"/>
    <n v="2"/>
    <n v="3"/>
    <x v="1"/>
    <n v="0.25"/>
    <n v="0.5"/>
    <n v="0.25"/>
    <n v="0"/>
    <n v="0"/>
    <n v="0"/>
    <n v="0.5"/>
    <n v="2.875"/>
    <d v="2020-06-08T00:00:00"/>
    <n v="1"/>
    <n v="0.24805867126833478"/>
    <s v="Serioranistii"/>
  </r>
  <r>
    <x v="8"/>
    <s v="F"/>
    <n v="6"/>
    <n v="10"/>
    <d v="1899-12-30T01:04:47"/>
    <n v="28"/>
    <d v="1899-12-30T00:06:29"/>
    <n v="2.5"/>
    <n v="1.5"/>
    <n v="3"/>
    <x v="1"/>
    <n v="0.25"/>
    <n v="0.5"/>
    <n v="0.25"/>
    <n v="0"/>
    <n v="0"/>
    <n v="0"/>
    <n v="0"/>
    <n v="2.125"/>
    <d v="2020-06-08T00:00:00"/>
    <n v="1"/>
    <n v="0.21249999999999999"/>
    <s v="X Æ A-12"/>
  </r>
  <r>
    <x v="16"/>
    <s v="M"/>
    <n v="6"/>
    <n v="21.22"/>
    <d v="1899-12-30T02:10:49"/>
    <n v="759"/>
    <d v="1899-12-30T00:06:10"/>
    <n v="5"/>
    <n v="1"/>
    <n v="4"/>
    <x v="0"/>
    <n v="0.25"/>
    <n v="0.25"/>
    <n v="0.5"/>
    <n v="0.50600000000000001"/>
    <n v="0"/>
    <n v="0"/>
    <n v="0"/>
    <n v="4.0060000000000002"/>
    <d v="2020-07-11T00:00:00"/>
    <n v="1"/>
    <n v="0.18878416588124414"/>
    <s v="X Æ A-12"/>
  </r>
  <r>
    <x v="3"/>
    <s v="M"/>
    <n v="6"/>
    <n v="23.4"/>
    <d v="1899-12-30T02:04:40"/>
    <n v="0"/>
    <d v="1899-12-30T00:05:20"/>
    <n v="5"/>
    <n v="2"/>
    <n v="4"/>
    <x v="1"/>
    <n v="0.25"/>
    <n v="0.5"/>
    <n v="0.25"/>
    <n v="0"/>
    <n v="0"/>
    <n v="0"/>
    <n v="0"/>
    <n v="3.25"/>
    <d v="2020-07-10T00:00:00"/>
    <n v="1"/>
    <n v="0.1388888888888889"/>
    <s v="Tenchei"/>
  </r>
  <r>
    <x v="7"/>
    <s v="M"/>
    <n v="6"/>
    <n v="16.04"/>
    <d v="1899-12-30T01:14:48"/>
    <n v="0"/>
    <d v="1899-12-30T00:04:40"/>
    <n v="3.5"/>
    <n v="3.5"/>
    <n v="3.5"/>
    <x v="1"/>
    <n v="0.25"/>
    <n v="0.5"/>
    <n v="0.25"/>
    <n v="0"/>
    <n v="0"/>
    <n v="0"/>
    <n v="0"/>
    <n v="3.5"/>
    <d v="2020-07-11T00:00:00"/>
    <n v="1"/>
    <n v="0.21820448877805487"/>
    <s v=" Let it run"/>
  </r>
  <r>
    <x v="9"/>
    <s v="M"/>
    <n v="6"/>
    <n v="21.48"/>
    <d v="1899-12-30T01:58:00"/>
    <n v="44"/>
    <d v="1899-12-30T00:05:30"/>
    <n v="5"/>
    <n v="2"/>
    <n v="4"/>
    <x v="2"/>
    <n v="0.5"/>
    <n v="0.25"/>
    <n v="0.25"/>
    <n v="0"/>
    <n v="0"/>
    <n v="0"/>
    <n v="0"/>
    <n v="4"/>
    <d v="2020-07-08T00:00:00"/>
    <n v="1"/>
    <n v="0.18621973929236499"/>
    <s v="X Æ A-12"/>
  </r>
  <r>
    <x v="22"/>
    <s v="M"/>
    <n v="6"/>
    <m/>
    <m/>
    <m/>
    <e v="#DIV/0!"/>
    <e v="#DIV/0!"/>
    <e v="#DIV/0!"/>
    <m/>
    <x v="3"/>
    <n v="0.25"/>
    <n v="0.25"/>
    <n v="0.25"/>
    <n v="0"/>
    <n v="0"/>
    <n v="0"/>
    <n v="0"/>
    <n v="1.5"/>
    <m/>
    <n v="1"/>
    <m/>
    <s v="Serioranistii"/>
  </r>
  <r>
    <x v="20"/>
    <s v="M"/>
    <n v="6"/>
    <n v="5"/>
    <d v="1899-12-30T00:20:58"/>
    <n v="0"/>
    <d v="1899-12-30T00:04:12"/>
    <n v="1.5"/>
    <n v="4.5"/>
    <n v="2.5"/>
    <x v="1"/>
    <n v="0.25"/>
    <n v="0.5"/>
    <n v="0.25"/>
    <n v="0"/>
    <n v="0"/>
    <n v="0"/>
    <n v="0"/>
    <n v="3.25"/>
    <d v="2020-07-07T00:00:00"/>
    <n v="1"/>
    <n v="0.65"/>
    <s v="Tenchei"/>
  </r>
  <r>
    <x v="25"/>
    <s v="M"/>
    <n v="6"/>
    <n v="5"/>
    <d v="1899-12-30T00:18:06"/>
    <n v="5"/>
    <d v="1899-12-30T00:03:37"/>
    <n v="1.5"/>
    <n v="5"/>
    <n v="3.5"/>
    <x v="1"/>
    <n v="0.25"/>
    <n v="0.5"/>
    <n v="0.25"/>
    <n v="0"/>
    <n v="0"/>
    <n v="1.5"/>
    <n v="0"/>
    <n v="5.25"/>
    <d v="2020-07-08T00:00:00"/>
    <n v="1"/>
    <n v="1.05"/>
    <s v="Tenchei"/>
  </r>
  <r>
    <x v="21"/>
    <s v="M"/>
    <n v="6"/>
    <n v="32.270000000000003"/>
    <d v="1899-12-30T05:19:39"/>
    <n v="2282"/>
    <d v="1899-12-30T00:09:54"/>
    <n v="5"/>
    <n v="0"/>
    <n v="4.5"/>
    <x v="0"/>
    <n v="0.25"/>
    <n v="0.25"/>
    <n v="0.5"/>
    <n v="1.5213333333333334"/>
    <n v="0.2"/>
    <n v="0"/>
    <n v="0"/>
    <n v="5.2213333333333338"/>
    <d v="2020-07-11T00:00:00"/>
    <n v="1"/>
    <n v="0.1618014667906208"/>
    <s v="Serioranistii"/>
  </r>
  <r>
    <x v="34"/>
    <s v="M"/>
    <n v="6"/>
    <n v="11.01"/>
    <d v="1899-12-30T00:59:45"/>
    <n v="6"/>
    <d v="1899-12-30T00:05:26"/>
    <n v="2.5"/>
    <n v="2"/>
    <n v="3"/>
    <x v="1"/>
    <n v="0.25"/>
    <n v="0.5"/>
    <n v="0.25"/>
    <n v="0"/>
    <n v="0"/>
    <n v="0"/>
    <n v="0"/>
    <n v="2.375"/>
    <d v="2020-07-12T00:00:00"/>
    <n v="1"/>
    <n v="0.21571298819255222"/>
    <s v="Unicornii"/>
  </r>
  <r>
    <x v="24"/>
    <s v="M"/>
    <n v="6"/>
    <n v="7.25"/>
    <d v="1899-12-30T00:27:12"/>
    <n v="36"/>
    <d v="1899-12-30T00:03:45"/>
    <n v="2"/>
    <n v="5"/>
    <n v="3.5"/>
    <x v="0"/>
    <n v="0.25"/>
    <n v="0.25"/>
    <n v="0.5"/>
    <n v="0"/>
    <n v="0"/>
    <n v="0.99999999999999989"/>
    <n v="0"/>
    <n v="4.5"/>
    <d v="2020-07-08T00:00:00"/>
    <n v="1"/>
    <n v="0.62068965517241381"/>
    <s v="Unicornii"/>
  </r>
  <r>
    <x v="5"/>
    <s v="M"/>
    <n v="6"/>
    <n v="6.23"/>
    <d v="1899-12-30T00:27:48"/>
    <n v="32"/>
    <d v="1899-12-30T00:04:28"/>
    <n v="1.5"/>
    <n v="4"/>
    <n v="1.5"/>
    <x v="1"/>
    <n v="0.25"/>
    <n v="0.5"/>
    <n v="0.25"/>
    <n v="0"/>
    <n v="0"/>
    <n v="0"/>
    <n v="0"/>
    <n v="2.75"/>
    <d v="2020-07-11T00:00:00"/>
    <n v="1"/>
    <n v="0.44141252006420545"/>
    <s v="X Æ A-12"/>
  </r>
  <r>
    <x v="6"/>
    <s v="F"/>
    <n v="6"/>
    <n v="8.01"/>
    <d v="1899-12-30T00:57:43"/>
    <n v="2"/>
    <d v="1899-12-30T00:07:12"/>
    <n v="2"/>
    <n v="1"/>
    <n v="3.5"/>
    <x v="1"/>
    <n v="0.25"/>
    <n v="0.5"/>
    <n v="0.25"/>
    <n v="0"/>
    <n v="0"/>
    <n v="0"/>
    <n v="0.75"/>
    <n v="2.625"/>
    <d v="2020-07-08T00:00:00"/>
    <n v="1"/>
    <n v="0.32771535580524347"/>
    <s v="Tenchei"/>
  </r>
  <r>
    <x v="39"/>
    <s v="M"/>
    <n v="6"/>
    <n v="7.11"/>
    <d v="1899-12-30T00:34:45"/>
    <n v="8"/>
    <d v="1899-12-30T00:04:53"/>
    <n v="2"/>
    <n v="3"/>
    <n v="1"/>
    <x v="1"/>
    <n v="0.25"/>
    <n v="0.5"/>
    <n v="0.25"/>
    <n v="0"/>
    <n v="0"/>
    <n v="0"/>
    <n v="0"/>
    <n v="2.25"/>
    <d v="2020-07-09T00:00:00"/>
    <n v="1"/>
    <n v="0.31645569620253161"/>
    <s v="Tenchei"/>
  </r>
  <r>
    <x v="31"/>
    <s v="F"/>
    <n v="7"/>
    <n v="12.01"/>
    <d v="1899-12-30T00:55:59"/>
    <n v="10"/>
    <d v="1899-12-30T00:04:40"/>
    <n v="3"/>
    <n v="4.5"/>
    <n v="4"/>
    <x v="1"/>
    <n v="0.25"/>
    <n v="0.5"/>
    <n v="0.25"/>
    <n v="0"/>
    <n v="0"/>
    <n v="0"/>
    <n v="0"/>
    <n v="4"/>
    <d v="2020-07-17T00:00:00"/>
    <n v="1"/>
    <n v="0.33305578684429643"/>
    <s v="Unicornii"/>
  </r>
  <r>
    <x v="28"/>
    <s v="M"/>
    <n v="7"/>
    <n v="34.799999999999997"/>
    <d v="1899-12-30T06:06:06"/>
    <n v="2102"/>
    <d v="1899-12-30T00:10:31"/>
    <n v="5"/>
    <n v="0"/>
    <n v="4.5"/>
    <x v="0"/>
    <n v="0.25"/>
    <n v="0.25"/>
    <n v="0.5"/>
    <n v="1.4013333333333333"/>
    <n v="0.2"/>
    <n v="0"/>
    <n v="0"/>
    <n v="5.1013333333333337"/>
    <d v="2020-07-15T00:00:00"/>
    <n v="1"/>
    <n v="0.14659003831417627"/>
    <s v=" Let it run"/>
  </r>
  <r>
    <x v="27"/>
    <s v="M"/>
    <n v="7"/>
    <n v="10.050000000000001"/>
    <d v="1899-12-30T01:02:56"/>
    <n v="0"/>
    <d v="1899-12-30T00:06:16"/>
    <n v="2.5"/>
    <n v="1"/>
    <n v="3.5"/>
    <x v="0"/>
    <n v="0.25"/>
    <n v="0.25"/>
    <n v="0.5"/>
    <n v="0"/>
    <n v="0"/>
    <n v="0"/>
    <n v="0"/>
    <n v="2.625"/>
    <d v="2020-07-14T00:00:00"/>
    <n v="1"/>
    <n v="0.26119402985074625"/>
    <s v=" Let it run"/>
  </r>
  <r>
    <x v="32"/>
    <s v="M"/>
    <n v="7"/>
    <n v="14.11"/>
    <d v="1899-12-30T01:40:38"/>
    <n v="35"/>
    <d v="1899-12-30T00:07:08"/>
    <n v="3"/>
    <n v="1"/>
    <n v="3.5"/>
    <x v="1"/>
    <n v="0.25"/>
    <n v="0.5"/>
    <n v="0.25"/>
    <n v="0"/>
    <n v="0"/>
    <n v="0"/>
    <n v="0.5"/>
    <n v="2.625"/>
    <d v="2020-07-18T00:00:00"/>
    <n v="1"/>
    <n v="0.18603827072997875"/>
    <s v=" Let it run"/>
  </r>
  <r>
    <x v="30"/>
    <s v="M"/>
    <n v="7"/>
    <n v="10.55"/>
    <d v="1899-12-30T00:57:00"/>
    <n v="10"/>
    <d v="1899-12-30T00:05:24"/>
    <n v="2.5"/>
    <n v="2"/>
    <n v="3"/>
    <x v="2"/>
    <n v="0.5"/>
    <n v="0.25"/>
    <n v="0.25"/>
    <n v="0"/>
    <n v="0"/>
    <n v="0"/>
    <n v="0"/>
    <n v="2.5"/>
    <d v="2020-07-19T00:00:00"/>
    <n v="1"/>
    <n v="0.23696682464454974"/>
    <s v=" Let it run"/>
  </r>
  <r>
    <x v="4"/>
    <s v="M"/>
    <n v="7"/>
    <n v="10.01"/>
    <d v="1899-12-30T00:54:30"/>
    <n v="0"/>
    <d v="1899-12-30T00:05:27"/>
    <n v="2.5"/>
    <n v="2"/>
    <n v="2.5"/>
    <x v="1"/>
    <n v="0.25"/>
    <n v="0.5"/>
    <n v="0.25"/>
    <n v="0"/>
    <n v="0"/>
    <n v="0"/>
    <n v="0"/>
    <n v="2.25"/>
    <d v="2020-07-13T00:00:00"/>
    <n v="1"/>
    <n v="0.22477522477522477"/>
    <s v=" Let it run"/>
  </r>
  <r>
    <x v="29"/>
    <s v="M"/>
    <n v="7"/>
    <n v="7"/>
    <d v="1899-12-30T00:47:23"/>
    <m/>
    <d v="1899-12-30T00:06:46"/>
    <n v="2"/>
    <n v="1"/>
    <n v="4.5"/>
    <x v="0"/>
    <n v="0.25"/>
    <n v="0.25"/>
    <n v="0.5"/>
    <n v="0"/>
    <n v="0"/>
    <n v="0"/>
    <n v="0"/>
    <n v="3"/>
    <d v="2020-07-14T00:00:00"/>
    <n v="1"/>
    <n v="0.42857142857142855"/>
    <s v="Unicornii"/>
  </r>
  <r>
    <x v="26"/>
    <s v="F"/>
    <n v="7"/>
    <n v="13.03"/>
    <d v="1899-12-30T01:21:16"/>
    <n v="77"/>
    <d v="1899-12-30T00:06:14"/>
    <n v="3"/>
    <n v="1.5"/>
    <n v="3"/>
    <x v="2"/>
    <n v="0.5"/>
    <n v="0.25"/>
    <n v="0.25"/>
    <n v="0"/>
    <n v="0"/>
    <n v="0"/>
    <n v="0"/>
    <n v="2.625"/>
    <d v="2020-07-16T00:00:00"/>
    <n v="1"/>
    <n v="0.20145817344589409"/>
    <s v="Serioranistii"/>
  </r>
  <r>
    <x v="37"/>
    <s v="M"/>
    <n v="7"/>
    <n v="24.34"/>
    <d v="1899-12-30T01:50:40"/>
    <n v="31"/>
    <d v="1899-12-30T00:04:33"/>
    <n v="5"/>
    <n v="3.5"/>
    <n v="2"/>
    <x v="1"/>
    <n v="0.25"/>
    <n v="0.5"/>
    <n v="0.25"/>
    <n v="0"/>
    <n v="0"/>
    <n v="0"/>
    <n v="0"/>
    <n v="3.5"/>
    <d v="2020-07-19T00:00:00"/>
    <n v="1"/>
    <n v="0.14379622021364011"/>
    <s v="Serioranistii"/>
  </r>
  <r>
    <x v="38"/>
    <s v="F"/>
    <n v="7"/>
    <n v="5.65"/>
    <d v="1899-12-30T00:33:33"/>
    <n v="9"/>
    <d v="1899-12-30T00:05:56"/>
    <n v="1.5"/>
    <n v="2"/>
    <n v="3.5"/>
    <x v="1"/>
    <n v="0.25"/>
    <n v="0.5"/>
    <n v="0.25"/>
    <n v="0"/>
    <n v="0"/>
    <n v="0"/>
    <n v="0"/>
    <n v="2.25"/>
    <d v="2020-07-19T00:00:00"/>
    <n v="1"/>
    <n v="0.39823008849557517"/>
    <s v="X Æ A-12"/>
  </r>
  <r>
    <x v="12"/>
    <s v="M"/>
    <n v="7"/>
    <n v="16.100000000000001"/>
    <d v="1899-12-30T01:39:33"/>
    <n v="31"/>
    <d v="1899-12-30T00:06:11"/>
    <n v="3.5"/>
    <n v="1"/>
    <n v="2"/>
    <x v="0"/>
    <n v="0.25"/>
    <n v="0.25"/>
    <n v="0.5"/>
    <n v="0"/>
    <n v="0"/>
    <n v="0"/>
    <n v="0"/>
    <n v="2.125"/>
    <d v="2020-07-18T00:00:00"/>
    <n v="1"/>
    <n v="0.13198757763975155"/>
    <s v="X Æ A-12"/>
  </r>
  <r>
    <x v="36"/>
    <s v="M"/>
    <n v="7"/>
    <n v="13"/>
    <d v="1899-12-30T00:58:56"/>
    <n v="59"/>
    <d v="1899-12-30T00:04:32"/>
    <n v="3"/>
    <n v="3.5"/>
    <n v="2"/>
    <x v="1"/>
    <n v="0.25"/>
    <n v="0.5"/>
    <n v="0.25"/>
    <n v="0"/>
    <n v="0"/>
    <n v="0"/>
    <n v="0"/>
    <n v="3"/>
    <d v="2020-07-14T00:00:00"/>
    <n v="1"/>
    <n v="0.23076923076923078"/>
    <s v=" Let it run"/>
  </r>
  <r>
    <x v="23"/>
    <s v="F"/>
    <n v="7"/>
    <n v="7.05"/>
    <d v="1899-12-30T01:00:07"/>
    <n v="21"/>
    <d v="1899-12-30T00:08:32"/>
    <n v="2"/>
    <n v="1"/>
    <n v="2.5"/>
    <x v="0"/>
    <n v="0.25"/>
    <n v="0.25"/>
    <n v="0.5"/>
    <n v="0"/>
    <n v="0"/>
    <n v="0"/>
    <n v="0.5"/>
    <n v="2.5"/>
    <d v="2020-07-17T00:00:00"/>
    <n v="1"/>
    <n v="0.3546099290780142"/>
    <s v="Serioranistii"/>
  </r>
  <r>
    <x v="13"/>
    <s v="M"/>
    <n v="7"/>
    <n v="14.01"/>
    <d v="1899-12-30T01:06:40"/>
    <n v="147"/>
    <d v="1899-12-30T00:04:46"/>
    <n v="3"/>
    <n v="3.5"/>
    <n v="1"/>
    <x v="1"/>
    <n v="0.25"/>
    <n v="0.5"/>
    <n v="0.25"/>
    <n v="9.8000000000000004E-2"/>
    <n v="0"/>
    <n v="0"/>
    <n v="0"/>
    <n v="2.8479999999999999"/>
    <d v="2020-07-16T00:00:00"/>
    <n v="1"/>
    <n v="0.20328336902212704"/>
    <s v="Tenchei"/>
  </r>
  <r>
    <x v="1"/>
    <s v="M"/>
    <n v="7"/>
    <n v="6.28"/>
    <d v="1899-12-30T00:39:24"/>
    <n v="153"/>
    <d v="1899-12-30T00:06:16"/>
    <n v="1.5"/>
    <n v="1"/>
    <n v="3.5"/>
    <x v="0"/>
    <n v="0.25"/>
    <n v="0.25"/>
    <n v="0.5"/>
    <n v="0.10199999999999999"/>
    <n v="0"/>
    <n v="0"/>
    <n v="0"/>
    <n v="2.4769999999999999"/>
    <d v="2020-07-15T00:00:00"/>
    <n v="1"/>
    <n v="0.39442675159235663"/>
    <s v="Serioranistii"/>
  </r>
  <r>
    <x v="15"/>
    <s v="M"/>
    <n v="7"/>
    <n v="13.62"/>
    <d v="1899-12-30T01:00:01"/>
    <n v="0"/>
    <d v="1899-12-30T00:04:24"/>
    <n v="3"/>
    <n v="4"/>
    <n v="2"/>
    <x v="0"/>
    <n v="0.25"/>
    <n v="0.25"/>
    <n v="0.5"/>
    <n v="0"/>
    <n v="0"/>
    <n v="0"/>
    <n v="0"/>
    <n v="2.75"/>
    <d v="2020-07-18T00:00:00"/>
    <n v="1"/>
    <n v="0.20190895741556536"/>
    <s v=" Let it run"/>
  </r>
  <r>
    <x v="0"/>
    <s v="M"/>
    <n v="7"/>
    <n v="18"/>
    <d v="1899-12-30T01:32:34"/>
    <n v="294"/>
    <d v="1899-12-30T00:05:09"/>
    <n v="4"/>
    <n v="2.5"/>
    <n v="2"/>
    <x v="0"/>
    <n v="0.25"/>
    <n v="0.25"/>
    <n v="0.5"/>
    <n v="0.19600000000000001"/>
    <n v="0"/>
    <n v="0"/>
    <n v="0"/>
    <n v="2.8210000000000002"/>
    <d v="2020-07-14T00:00:00"/>
    <n v="1"/>
    <n v="0.15672222222222223"/>
    <s v="Serioranistii"/>
  </r>
  <r>
    <x v="19"/>
    <s v="M"/>
    <n v="7"/>
    <n v="35.409999999999997"/>
    <d v="1899-12-30T06:51:37"/>
    <n v="2079"/>
    <d v="1899-12-30T00:11:37"/>
    <n v="0"/>
    <n v="0"/>
    <n v="5"/>
    <x v="0"/>
    <n v="0.25"/>
    <n v="0.25"/>
    <n v="0.5"/>
    <n v="1.3859999999999999"/>
    <n v="0.2"/>
    <n v="0"/>
    <n v="0"/>
    <n v="4.0860000000000003"/>
    <d v="2020-07-15T00:00:00"/>
    <n v="1"/>
    <n v="0.1153911324484609"/>
    <s v="Unicornii"/>
  </r>
  <r>
    <x v="11"/>
    <s v="M"/>
    <n v="7"/>
    <n v="27"/>
    <d v="1899-12-30T02:37:27"/>
    <n v="0"/>
    <d v="1899-12-30T00:05:50"/>
    <n v="5"/>
    <n v="1.5"/>
    <n v="4"/>
    <x v="2"/>
    <n v="0.5"/>
    <n v="0.25"/>
    <n v="0.25"/>
    <n v="0"/>
    <n v="0.1"/>
    <n v="0"/>
    <n v="0"/>
    <n v="3.9750000000000001"/>
    <d v="2020-07-19T00:00:00"/>
    <n v="1"/>
    <n v="0.14722222222222223"/>
    <s v="Unicornii"/>
  </r>
  <r>
    <x v="2"/>
    <s v="F"/>
    <n v="7"/>
    <n v="42.01"/>
    <d v="1899-12-30T04:08:55"/>
    <n v="2"/>
    <d v="1899-12-30T00:05:56"/>
    <n v="5"/>
    <n v="2"/>
    <n v="3"/>
    <x v="2"/>
    <n v="0.5"/>
    <n v="0.25"/>
    <n v="0.25"/>
    <n v="0"/>
    <n v="0.4"/>
    <n v="0"/>
    <n v="0"/>
    <n v="4.1500000000000004"/>
    <d v="2020-07-19T00:00:00"/>
    <n v="1"/>
    <n v="9.8786003332539882E-2"/>
    <s v="Unicornii"/>
  </r>
  <r>
    <x v="17"/>
    <s v="M"/>
    <n v="7"/>
    <n v="21.67"/>
    <d v="1899-12-30T02:19:53"/>
    <n v="536"/>
    <d v="1899-12-30T00:06:27"/>
    <n v="5"/>
    <n v="1"/>
    <n v="2.5"/>
    <x v="2"/>
    <n v="0.5"/>
    <n v="0.25"/>
    <n v="0.25"/>
    <n v="0.35733333333333334"/>
    <n v="0"/>
    <n v="0"/>
    <n v="0.5"/>
    <n v="4.2323333333333331"/>
    <d v="2020-07-19T00:00:00"/>
    <n v="1"/>
    <n v="0.19530841409013994"/>
    <s v="Serioranistii"/>
  </r>
  <r>
    <x v="8"/>
    <s v="F"/>
    <n v="7"/>
    <n v="17.739999999999998"/>
    <d v="1899-12-30T03:54:09"/>
    <n v="1472"/>
    <d v="1899-12-30T00:13:12"/>
    <n v="0"/>
    <n v="0"/>
    <n v="4.5"/>
    <x v="0"/>
    <n v="0.25"/>
    <n v="0.25"/>
    <n v="0.5"/>
    <n v="0.98133333333333328"/>
    <n v="0"/>
    <n v="0"/>
    <n v="0"/>
    <n v="3.2313333333333332"/>
    <d v="2020-07-15T00:00:00"/>
    <n v="1"/>
    <n v="0.18214956783164224"/>
    <s v="X Æ A-12"/>
  </r>
  <r>
    <x v="16"/>
    <s v="M"/>
    <n v="7"/>
    <n v="16.03"/>
    <d v="1899-12-30T01:14:27"/>
    <n v="0"/>
    <d v="1899-12-30T00:04:39"/>
    <n v="3.5"/>
    <n v="3.5"/>
    <n v="4.5"/>
    <x v="0"/>
    <n v="0.25"/>
    <n v="0.25"/>
    <n v="0.5"/>
    <n v="0"/>
    <n v="0"/>
    <n v="0"/>
    <n v="0"/>
    <n v="4"/>
    <d v="2020-07-15T00:00:00"/>
    <n v="1"/>
    <n v="0.24953212726138488"/>
    <s v="X Æ A-12"/>
  </r>
  <r>
    <x v="3"/>
    <s v="M"/>
    <n v="7"/>
    <n v="21.25"/>
    <d v="1899-12-30T01:54:33"/>
    <n v="48"/>
    <d v="1899-12-30T00:05:23"/>
    <n v="5"/>
    <n v="2"/>
    <n v="4.5"/>
    <x v="0"/>
    <n v="0.25"/>
    <n v="0.25"/>
    <n v="0.5"/>
    <n v="0"/>
    <n v="0"/>
    <n v="0"/>
    <n v="0"/>
    <n v="4"/>
    <d v="2020-07-17T00:00:00"/>
    <n v="1"/>
    <n v="0.18823529411764706"/>
    <s v="Tenchei"/>
  </r>
  <r>
    <x v="7"/>
    <s v="M"/>
    <n v="7"/>
    <n v="15.02"/>
    <d v="1899-12-30T01:14:21"/>
    <n v="0"/>
    <d v="1899-12-30T00:04:57"/>
    <n v="3.5"/>
    <n v="3"/>
    <n v="4.5"/>
    <x v="0"/>
    <n v="0.25"/>
    <n v="0.25"/>
    <n v="0.5"/>
    <n v="0"/>
    <n v="0"/>
    <n v="0"/>
    <n v="0"/>
    <n v="3.875"/>
    <d v="2020-07-16T00:00:00"/>
    <n v="1"/>
    <n v="0.25798934753661784"/>
    <s v=" Let it run"/>
  </r>
  <r>
    <x v="9"/>
    <s v="M"/>
    <n v="7"/>
    <n v="23.03"/>
    <d v="1899-12-30T02:04:30"/>
    <n v="53"/>
    <d v="1899-12-30T00:05:24"/>
    <n v="5"/>
    <n v="2"/>
    <n v="4.5"/>
    <x v="0"/>
    <n v="0.25"/>
    <n v="0.25"/>
    <n v="0.5"/>
    <n v="0"/>
    <n v="0"/>
    <n v="0"/>
    <n v="0"/>
    <n v="4"/>
    <d v="2020-07-14T00:00:00"/>
    <n v="1"/>
    <n v="0.17368649587494572"/>
    <s v="X Æ A-12"/>
  </r>
  <r>
    <x v="18"/>
    <s v="M"/>
    <n v="7"/>
    <n v="25.51"/>
    <d v="1899-12-30T02:29:02"/>
    <n v="159"/>
    <d v="1899-12-30T00:05:51"/>
    <n v="5"/>
    <n v="1.5"/>
    <n v="2.5"/>
    <x v="0"/>
    <n v="0.25"/>
    <n v="0.25"/>
    <n v="0.5"/>
    <n v="0.106"/>
    <n v="0"/>
    <n v="0"/>
    <n v="0"/>
    <n v="2.9809999999999999"/>
    <d v="2020-07-19T00:00:00"/>
    <n v="1"/>
    <n v="0.11685613484907878"/>
    <s v="Tenchei"/>
  </r>
  <r>
    <x v="20"/>
    <s v="M"/>
    <n v="7"/>
    <n v="15"/>
    <d v="1899-12-30T01:09:51"/>
    <n v="27"/>
    <d v="1899-12-30T00:04:39"/>
    <n v="3.5"/>
    <n v="3.5"/>
    <n v="2.5"/>
    <x v="1"/>
    <n v="0.25"/>
    <n v="0.5"/>
    <n v="0.25"/>
    <n v="0"/>
    <n v="0"/>
    <n v="0"/>
    <n v="0"/>
    <n v="3.25"/>
    <d v="2020-07-17T00:00:00"/>
    <n v="1"/>
    <n v="0.21666666666666667"/>
    <s v="Tenchei"/>
  </r>
  <r>
    <x v="25"/>
    <s v="M"/>
    <n v="7"/>
    <n v="21.11"/>
    <d v="1899-12-30T01:41:07"/>
    <n v="295"/>
    <d v="1899-12-30T00:04:47"/>
    <n v="5"/>
    <n v="3"/>
    <n v="4.5"/>
    <x v="0"/>
    <n v="0.25"/>
    <n v="0.25"/>
    <n v="0.5"/>
    <n v="0.19666666666666666"/>
    <n v="0"/>
    <n v="0"/>
    <n v="0"/>
    <n v="4.4466666666666663"/>
    <d v="2020-07-18T00:00:00"/>
    <n v="1"/>
    <n v="0.21064266540344229"/>
    <s v="Tenchei"/>
  </r>
  <r>
    <x v="21"/>
    <s v="M"/>
    <n v="7"/>
    <n v="12.01"/>
    <d v="1899-12-30T01:28:34"/>
    <n v="525"/>
    <d v="1899-12-30T00:07:22"/>
    <n v="3"/>
    <n v="1"/>
    <n v="4.5"/>
    <x v="0"/>
    <n v="0.25"/>
    <n v="0.25"/>
    <n v="0.5"/>
    <n v="0.35"/>
    <n v="0"/>
    <n v="0"/>
    <n v="0"/>
    <n v="3.6"/>
    <d v="2020-07-17T00:00:00"/>
    <n v="1"/>
    <n v="0.2997502081598668"/>
    <s v="Serioranistii"/>
  </r>
  <r>
    <x v="24"/>
    <s v="M"/>
    <n v="7"/>
    <n v="30.01"/>
    <d v="1899-12-30T01:59:25"/>
    <n v="50"/>
    <d v="1899-12-30T00:03:59"/>
    <n v="5"/>
    <n v="5"/>
    <n v="3.5"/>
    <x v="1"/>
    <n v="0.25"/>
    <n v="0.5"/>
    <n v="0.25"/>
    <n v="0"/>
    <n v="0.1"/>
    <n v="0.1"/>
    <n v="0"/>
    <n v="4.8249999999999993"/>
    <d v="2020-07-14T00:00:00"/>
    <n v="1"/>
    <n v="0.16077974008663776"/>
    <s v="Unicornii"/>
  </r>
  <r>
    <x v="10"/>
    <s v="M"/>
    <n v="7"/>
    <n v="33.479999999999997"/>
    <d v="1899-12-30T08:14:05"/>
    <n v="1438"/>
    <d v="1899-12-30T00:14:45"/>
    <n v="0"/>
    <n v="0"/>
    <n v="4"/>
    <x v="0"/>
    <n v="0.25"/>
    <n v="0.25"/>
    <n v="0.5"/>
    <n v="0.95866666666666667"/>
    <n v="0.2"/>
    <n v="0"/>
    <n v="0"/>
    <n v="3.158666666666667"/>
    <d v="2020-07-14T00:00:00"/>
    <n v="1"/>
    <n v="9.4344882516925549E-2"/>
    <s v="X Æ A-12"/>
  </r>
  <r>
    <x v="5"/>
    <s v="M"/>
    <n v="7"/>
    <n v="21.13"/>
    <d v="1899-12-30T01:50:23"/>
    <n v="43"/>
    <d v="1899-12-30T00:05:13"/>
    <n v="5"/>
    <n v="2.5"/>
    <n v="2"/>
    <x v="0"/>
    <n v="0.25"/>
    <n v="0.25"/>
    <n v="0.5"/>
    <n v="0"/>
    <n v="0"/>
    <n v="0"/>
    <n v="0"/>
    <n v="2.875"/>
    <d v="2020-07-18T00:00:00"/>
    <n v="1"/>
    <n v="0.13606247042120209"/>
    <s v="X Æ A-12"/>
  </r>
  <r>
    <x v="6"/>
    <s v="F"/>
    <n v="7"/>
    <n v="8.1300000000000008"/>
    <d v="1899-12-30T00:56:49"/>
    <n v="15"/>
    <d v="1899-12-30T00:06:59"/>
    <n v="2"/>
    <n v="1"/>
    <n v="2.5"/>
    <x v="0"/>
    <n v="0.25"/>
    <n v="0.25"/>
    <n v="0.5"/>
    <n v="0"/>
    <n v="0"/>
    <n v="0"/>
    <n v="0.75"/>
    <n v="2.75"/>
    <d v="2020-07-13T00:00:00"/>
    <n v="1"/>
    <n v="0.33825338253382531"/>
    <s v="Tenchei"/>
  </r>
  <r>
    <x v="39"/>
    <s v="M"/>
    <n v="7"/>
    <n v="6.79"/>
    <d v="1899-12-30T00:32:58"/>
    <n v="3"/>
    <d v="1899-12-30T00:04:51"/>
    <n v="1.5"/>
    <n v="3"/>
    <n v="1"/>
    <x v="0"/>
    <n v="0.25"/>
    <n v="0.25"/>
    <n v="0.5"/>
    <n v="0"/>
    <n v="0"/>
    <n v="0"/>
    <n v="0"/>
    <n v="1.625"/>
    <d v="2020-07-15T00:00:00"/>
    <n v="1"/>
    <n v="0.23932253313696614"/>
    <s v="Tenchei"/>
  </r>
  <r>
    <x v="31"/>
    <s v="F"/>
    <n v="8"/>
    <n v="21.31"/>
    <d v="1899-12-30T02:16:31"/>
    <n v="780"/>
    <d v="1899-12-30T00:06:24"/>
    <n v="5"/>
    <n v="1.5"/>
    <n v="4"/>
    <x v="0"/>
    <n v="0.25"/>
    <n v="0.25"/>
    <n v="0.5"/>
    <n v="0.52"/>
    <n v="0"/>
    <n v="0"/>
    <n v="0"/>
    <n v="4.1449999999999996"/>
    <d v="2020-07-25T00:00:00"/>
    <n v="1"/>
    <n v="0.19450961989676208"/>
    <s v="Unicornii"/>
  </r>
  <r>
    <x v="28"/>
    <s v="M"/>
    <n v="8"/>
    <n v="36.630000000000003"/>
    <d v="1899-12-30T03:54:38"/>
    <n v="636"/>
    <d v="1899-12-30T00:06:24"/>
    <n v="5"/>
    <n v="1"/>
    <n v="4.5"/>
    <x v="0"/>
    <n v="0.25"/>
    <n v="0.25"/>
    <n v="0.5"/>
    <n v="0.42399999999999999"/>
    <n v="0.3"/>
    <n v="0"/>
    <n v="0"/>
    <n v="4.4740000000000002"/>
    <d v="2020-07-23T00:00:00"/>
    <n v="0"/>
    <n v="0.12214032214032214"/>
    <s v=" Let it run"/>
  </r>
  <r>
    <x v="27"/>
    <s v="M"/>
    <n v="8"/>
    <n v="10.09"/>
    <d v="1899-12-30T01:07:34"/>
    <n v="6"/>
    <d v="1899-12-30T00:06:42"/>
    <n v="2.5"/>
    <n v="1"/>
    <n v="3"/>
    <x v="0"/>
    <n v="0.25"/>
    <n v="0.25"/>
    <n v="0.5"/>
    <n v="0"/>
    <n v="0"/>
    <n v="0"/>
    <n v="0"/>
    <n v="2.375"/>
    <d v="2020-07-24T00:00:00"/>
    <n v="0"/>
    <n v="0.23538156590683845"/>
    <s v=" Let it run"/>
  </r>
  <r>
    <x v="32"/>
    <s v="M"/>
    <n v="8"/>
    <n v="21.41"/>
    <d v="1899-12-30T02:41:48"/>
    <n v="68"/>
    <d v="1899-12-30T00:07:33"/>
    <n v="5"/>
    <n v="1"/>
    <n v="3.5"/>
    <x v="1"/>
    <n v="0.25"/>
    <n v="0.5"/>
    <n v="0.25"/>
    <n v="0"/>
    <n v="0"/>
    <n v="0"/>
    <n v="0.5"/>
    <n v="3.125"/>
    <d v="2020-07-26T00:00:00"/>
    <n v="1"/>
    <n v="0.14595983185427369"/>
    <s v=" Let it run"/>
  </r>
  <r>
    <x v="30"/>
    <s v="M"/>
    <n v="8"/>
    <n v="3"/>
    <d v="1899-12-30T00:12:48"/>
    <n v="0"/>
    <d v="1899-12-30T00:04:16"/>
    <n v="1"/>
    <n v="4"/>
    <n v="3"/>
    <x v="1"/>
    <n v="0.25"/>
    <n v="0.5"/>
    <n v="0.25"/>
    <n v="0"/>
    <n v="0"/>
    <n v="0"/>
    <n v="0"/>
    <n v="3"/>
    <d v="2020-07-21T00:00:00"/>
    <n v="1"/>
    <n v="1"/>
    <s v=" Let it run"/>
  </r>
  <r>
    <x v="4"/>
    <s v="M"/>
    <n v="8"/>
    <n v="21.12"/>
    <d v="1899-12-30T02:11:11"/>
    <n v="66"/>
    <d v="1899-12-30T00:06:13"/>
    <n v="5"/>
    <n v="1"/>
    <n v="3"/>
    <x v="2"/>
    <n v="0.5"/>
    <n v="0.25"/>
    <n v="0.25"/>
    <n v="0"/>
    <n v="0"/>
    <n v="0"/>
    <n v="0"/>
    <n v="3.5"/>
    <d v="2020-07-25T00:00:00"/>
    <n v="1"/>
    <n v="0.16571969696969696"/>
    <s v=" Let it run"/>
  </r>
  <r>
    <x v="29"/>
    <s v="M"/>
    <n v="8"/>
    <n v="12.16"/>
    <d v="1899-12-30T01:32:13"/>
    <n v="457"/>
    <d v="1899-12-30T00:07:35"/>
    <n v="3"/>
    <n v="1"/>
    <n v="4"/>
    <x v="2"/>
    <n v="0.5"/>
    <n v="0.25"/>
    <n v="0.25"/>
    <n v="0.30466666666666664"/>
    <n v="0"/>
    <n v="0"/>
    <n v="0"/>
    <n v="3.0546666666666669"/>
    <d v="2020-07-25T00:00:00"/>
    <n v="1"/>
    <n v="0.25120614035087718"/>
    <s v="Unicornii"/>
  </r>
  <r>
    <x v="26"/>
    <s v="F"/>
    <n v="8"/>
    <n v="6.51"/>
    <d v="1899-12-30T00:38:43"/>
    <n v="37"/>
    <d v="1899-12-30T00:05:57"/>
    <n v="2"/>
    <n v="2"/>
    <n v="2.5"/>
    <x v="2"/>
    <n v="0.5"/>
    <n v="0.25"/>
    <n v="0.25"/>
    <n v="0"/>
    <n v="0"/>
    <n v="0"/>
    <n v="0"/>
    <n v="2.125"/>
    <d v="2020-07-26T00:00:00"/>
    <n v="1"/>
    <n v="0.32642089093701998"/>
    <s v="Serioranistii"/>
  </r>
  <r>
    <x v="37"/>
    <s v="M"/>
    <n v="8"/>
    <n v="22.48"/>
    <d v="1899-12-30T01:41:02"/>
    <n v="35"/>
    <d v="1899-12-30T00:04:30"/>
    <n v="5"/>
    <n v="4"/>
    <n v="2.5"/>
    <x v="2"/>
    <n v="0.5"/>
    <n v="0.25"/>
    <n v="0.25"/>
    <n v="0"/>
    <n v="0"/>
    <n v="0"/>
    <n v="0"/>
    <n v="4.125"/>
    <d v="2020-07-26T00:00:00"/>
    <n v="1"/>
    <n v="0.18349644128113879"/>
    <s v="Serioranistii"/>
  </r>
  <r>
    <x v="38"/>
    <s v="F"/>
    <n v="8"/>
    <n v="5"/>
    <d v="1899-12-30T00:29:39"/>
    <n v="14"/>
    <d v="1899-12-30T00:05:56"/>
    <n v="1.5"/>
    <n v="2"/>
    <n v="4"/>
    <x v="0"/>
    <n v="0.25"/>
    <n v="0.25"/>
    <n v="0.5"/>
    <n v="0"/>
    <n v="0"/>
    <n v="0"/>
    <n v="0"/>
    <n v="2.875"/>
    <d v="2020-07-24T00:00:00"/>
    <n v="1"/>
    <n v="0.57499999999999996"/>
    <s v="X Æ A-12"/>
  </r>
  <r>
    <x v="12"/>
    <s v="M"/>
    <n v="8"/>
    <n v="20.93"/>
    <d v="1899-12-30T01:56:00"/>
    <n v="40"/>
    <d v="1899-12-30T00:05:33"/>
    <n v="4.5"/>
    <n v="1.5"/>
    <n v="1"/>
    <x v="2"/>
    <n v="0.5"/>
    <n v="0.25"/>
    <n v="0.25"/>
    <n v="0"/>
    <n v="0"/>
    <n v="0"/>
    <n v="0"/>
    <n v="2.875"/>
    <d v="2020-07-25T00:00:00"/>
    <n v="1"/>
    <n v="0.13736263736263737"/>
    <s v="X Æ A-12"/>
  </r>
  <r>
    <x v="36"/>
    <s v="M"/>
    <n v="8"/>
    <n v="21.8"/>
    <d v="1899-12-30T01:49:13"/>
    <n v="34"/>
    <d v="1899-12-30T00:05:01"/>
    <n v="5"/>
    <n v="3"/>
    <n v="2.5"/>
    <x v="2"/>
    <n v="0.5"/>
    <n v="0.25"/>
    <n v="0.25"/>
    <n v="0"/>
    <n v="0"/>
    <n v="0"/>
    <n v="0"/>
    <n v="3.875"/>
    <d v="2020-07-22T00:00:00"/>
    <n v="1"/>
    <n v="0.17775229357798164"/>
    <s v=" Let it run"/>
  </r>
  <r>
    <x v="23"/>
    <s v="F"/>
    <n v="8"/>
    <n v="14.51"/>
    <d v="1899-12-30T02:51:00"/>
    <n v="469"/>
    <d v="1899-12-30T00:11:47"/>
    <n v="3.5"/>
    <n v="0"/>
    <n v="1"/>
    <x v="2"/>
    <n v="0.5"/>
    <n v="0.25"/>
    <n v="0.25"/>
    <n v="0.31266666666666665"/>
    <n v="0"/>
    <n v="0"/>
    <n v="0.5"/>
    <n v="2.8126666666666669"/>
    <d v="2020-07-26T00:00:00"/>
    <n v="1"/>
    <n v="0.1938433264415346"/>
    <s v="Serioranistii"/>
  </r>
  <r>
    <x v="13"/>
    <s v="M"/>
    <n v="8"/>
    <n v="11.58"/>
    <d v="1899-12-30T00:56:02"/>
    <n v="120"/>
    <d v="1899-12-30T00:04:50"/>
    <n v="2.5"/>
    <n v="3"/>
    <n v="1"/>
    <x v="1"/>
    <n v="0.25"/>
    <n v="0.5"/>
    <n v="0.25"/>
    <n v="0.08"/>
    <n v="0"/>
    <n v="0"/>
    <n v="0"/>
    <n v="2.4550000000000001"/>
    <d v="2020-07-24T00:00:00"/>
    <n v="1"/>
    <n v="0.21200345423143352"/>
    <s v="Tenchei"/>
  </r>
  <r>
    <x v="1"/>
    <s v="M"/>
    <n v="8"/>
    <n v="16.309999999999999"/>
    <d v="1899-12-30T03:59:51"/>
    <n v="616"/>
    <d v="1899-12-30T00:14:42"/>
    <n v="0"/>
    <n v="0"/>
    <n v="4.5"/>
    <x v="2"/>
    <n v="0.5"/>
    <n v="0.25"/>
    <n v="0.25"/>
    <n v="0.41066666666666668"/>
    <n v="0"/>
    <n v="0"/>
    <n v="0"/>
    <n v="1.5356666666666667"/>
    <d v="2020-07-26T00:00:00"/>
    <n v="1"/>
    <n v="9.415491518495811E-2"/>
    <s v="Serioranistii"/>
  </r>
  <r>
    <x v="15"/>
    <s v="M"/>
    <n v="8"/>
    <n v="16.010000000000002"/>
    <d v="1899-12-30T01:18:47"/>
    <n v="0"/>
    <d v="1899-12-30T00:04:55"/>
    <n v="3.5"/>
    <n v="3"/>
    <n v="1.5"/>
    <x v="2"/>
    <n v="0.5"/>
    <n v="0.25"/>
    <n v="0.25"/>
    <n v="0"/>
    <n v="0"/>
    <n v="0"/>
    <n v="0"/>
    <n v="2.875"/>
    <d v="2020-07-25T00:00:00"/>
    <n v="1"/>
    <n v="0.17957526545908806"/>
    <s v=" Let it run"/>
  </r>
  <r>
    <x v="19"/>
    <s v="M"/>
    <n v="8"/>
    <n v="10.93"/>
    <d v="1899-12-30T00:58:10"/>
    <n v="108"/>
    <d v="1899-12-30T00:05:19"/>
    <n v="2.5"/>
    <n v="2"/>
    <n v="3.5"/>
    <x v="1"/>
    <n v="0.25"/>
    <n v="0.5"/>
    <n v="0.25"/>
    <n v="7.1999999999999995E-2"/>
    <n v="0"/>
    <n v="0"/>
    <n v="0"/>
    <n v="2.5720000000000001"/>
    <d v="2020-07-22T00:00:00"/>
    <n v="1"/>
    <n v="0.23531564501372371"/>
    <s v="Unicornii"/>
  </r>
  <r>
    <x v="11"/>
    <s v="M"/>
    <n v="8"/>
    <n v="60.33"/>
    <d v="1899-12-30T08:29:59"/>
    <n v="1259"/>
    <d v="1899-12-30T00:08:27"/>
    <n v="5"/>
    <n v="0"/>
    <n v="4"/>
    <x v="2"/>
    <n v="0.5"/>
    <n v="0.25"/>
    <n v="0.25"/>
    <n v="0.83933333333333338"/>
    <n v="0.7"/>
    <n v="0"/>
    <n v="0"/>
    <n v="5.0393333333333334"/>
    <d v="2020-07-25T00:00:00"/>
    <n v="1"/>
    <n v="8.3529476766672189E-2"/>
    <s v="Unicornii"/>
  </r>
  <r>
    <x v="2"/>
    <s v="F"/>
    <n v="8"/>
    <n v="21.01"/>
    <d v="1899-12-30T02:00:03"/>
    <n v="6"/>
    <d v="1899-12-30T00:05:43"/>
    <n v="5"/>
    <n v="2.5"/>
    <n v="3"/>
    <x v="1"/>
    <n v="0.25"/>
    <n v="0.5"/>
    <n v="0.25"/>
    <n v="0"/>
    <n v="0"/>
    <n v="0"/>
    <n v="0"/>
    <n v="3.25"/>
    <d v="2020-07-26T00:00:00"/>
    <n v="1"/>
    <n v="0.15468824369347928"/>
    <s v="Unicornii"/>
  </r>
  <r>
    <x v="8"/>
    <s v="F"/>
    <n v="8"/>
    <n v="20"/>
    <d v="1899-12-30T02:21:15"/>
    <n v="612"/>
    <d v="1899-12-30T00:07:04"/>
    <n v="5"/>
    <n v="1"/>
    <n v="4"/>
    <x v="2"/>
    <n v="0.5"/>
    <n v="0.25"/>
    <n v="0.25"/>
    <n v="0.40799999999999997"/>
    <n v="0"/>
    <n v="0"/>
    <n v="0"/>
    <n v="4.1580000000000004"/>
    <d v="2020-07-23T00:00:00"/>
    <n v="1"/>
    <n v="0.20790000000000003"/>
    <s v="X Æ A-12"/>
  </r>
  <r>
    <x v="16"/>
    <s v="M"/>
    <n v="8"/>
    <n v="21.16"/>
    <d v="1899-12-30T02:02:38"/>
    <n v="757"/>
    <d v="1899-12-30T00:05:48"/>
    <n v="5"/>
    <n v="1.5"/>
    <n v="3.5"/>
    <x v="2"/>
    <n v="0.5"/>
    <n v="0.25"/>
    <n v="0.25"/>
    <n v="0.50466666666666671"/>
    <n v="0"/>
    <n v="0"/>
    <n v="0"/>
    <n v="4.254666666666667"/>
    <d v="2020-07-25T00:00:00"/>
    <n v="1"/>
    <n v="0.20107120352867047"/>
    <s v="X Æ A-12"/>
  </r>
  <r>
    <x v="3"/>
    <s v="M"/>
    <n v="8"/>
    <n v="25.11"/>
    <d v="1899-12-30T02:14:07"/>
    <n v="49"/>
    <d v="1899-12-30T00:05:20"/>
    <n v="5"/>
    <n v="2"/>
    <n v="3.5"/>
    <x v="2"/>
    <n v="0.5"/>
    <n v="0.25"/>
    <n v="0.25"/>
    <n v="0"/>
    <n v="0"/>
    <n v="0"/>
    <n v="0"/>
    <n v="3.875"/>
    <d v="2020-07-21T00:00:00"/>
    <n v="1"/>
    <n v="0.15432098765432098"/>
    <s v="Tenchei"/>
  </r>
  <r>
    <x v="7"/>
    <s v="M"/>
    <n v="8"/>
    <n v="21.31"/>
    <d v="1899-12-30T02:19:00"/>
    <n v="821"/>
    <d v="1899-12-30T00:06:31"/>
    <n v="5"/>
    <n v="1"/>
    <n v="3"/>
    <x v="2"/>
    <n v="0.5"/>
    <n v="0.25"/>
    <n v="0.25"/>
    <n v="0.54733333333333334"/>
    <n v="0"/>
    <n v="0"/>
    <n v="0"/>
    <n v="4.0473333333333334"/>
    <d v="2020-07-25T00:00:00"/>
    <n v="1"/>
    <n v="0.18992648208978571"/>
    <s v=" Let it run"/>
  </r>
  <r>
    <x v="9"/>
    <s v="M"/>
    <n v="8"/>
    <n v="10.050000000000001"/>
    <d v="1899-12-30T00:50:15"/>
    <n v="19"/>
    <d v="1899-12-30T00:05:00"/>
    <n v="2.5"/>
    <n v="3"/>
    <n v="3.5"/>
    <x v="1"/>
    <n v="0.25"/>
    <n v="0.5"/>
    <n v="0.25"/>
    <n v="0"/>
    <n v="0"/>
    <n v="0"/>
    <n v="0"/>
    <n v="3"/>
    <d v="2020-07-21T00:00:00"/>
    <n v="1"/>
    <n v="0.29850746268656714"/>
    <s v="X Æ A-12"/>
  </r>
  <r>
    <x v="25"/>
    <s v="M"/>
    <n v="8"/>
    <n v="55.48"/>
    <d v="1899-12-30T05:36:48"/>
    <n v="1401"/>
    <d v="1899-12-30T00:06:04"/>
    <n v="5"/>
    <n v="1"/>
    <n v="4"/>
    <x v="2"/>
    <n v="0.5"/>
    <n v="0.25"/>
    <n v="0.25"/>
    <n v="0.93400000000000005"/>
    <n v="0.6"/>
    <n v="0"/>
    <n v="0"/>
    <n v="5.2839999999999998"/>
    <d v="2020-07-26T00:00:00"/>
    <n v="1"/>
    <n v="9.5241528478731075E-2"/>
    <s v="Tenchei"/>
  </r>
  <r>
    <x v="21"/>
    <s v="M"/>
    <n v="8"/>
    <n v="3.04"/>
    <d v="1899-12-30T00:10:32"/>
    <n v="12"/>
    <d v="1899-12-30T00:03:28"/>
    <n v="1"/>
    <n v="5"/>
    <n v="3.5"/>
    <x v="1"/>
    <n v="0.25"/>
    <n v="0.5"/>
    <n v="0.25"/>
    <n v="0"/>
    <n v="0"/>
    <n v="2.8"/>
    <n v="0"/>
    <n v="6.4249999999999998"/>
    <d v="2020-07-23T00:00:00"/>
    <n v="1"/>
    <n v="2.1134868421052633"/>
    <s v="Serioranistii"/>
  </r>
  <r>
    <x v="10"/>
    <s v="M"/>
    <n v="8"/>
    <n v="14.01"/>
    <d v="1899-12-30T01:28:56"/>
    <n v="104"/>
    <d v="1899-12-30T00:06:21"/>
    <n v="3"/>
    <n v="1"/>
    <n v="3.5"/>
    <x v="2"/>
    <n v="0.5"/>
    <n v="0.25"/>
    <n v="0.25"/>
    <n v="6.933333333333333E-2"/>
    <n v="0"/>
    <n v="0"/>
    <n v="0"/>
    <n v="2.6943333333333332"/>
    <d v="2020-07-23T00:00:00"/>
    <n v="1"/>
    <n v="0.19231501308589102"/>
    <s v="X Æ A-12"/>
  </r>
  <r>
    <x v="5"/>
    <s v="M"/>
    <n v="8"/>
    <n v="42.38"/>
    <d v="1899-12-30T03:57:14"/>
    <n v="80"/>
    <d v="1899-12-30T00:05:36"/>
    <n v="5"/>
    <n v="1.5"/>
    <n v="3"/>
    <x v="0"/>
    <n v="0.25"/>
    <n v="0.25"/>
    <n v="0.5"/>
    <n v="0"/>
    <n v="0.4"/>
    <n v="0"/>
    <n v="0"/>
    <n v="3.5249999999999999"/>
    <d v="2020-07-26T00:00:00"/>
    <n v="1"/>
    <n v="8.3176026427560168E-2"/>
    <s v="X Æ A-12"/>
  </r>
  <r>
    <x v="6"/>
    <s v="F"/>
    <n v="8"/>
    <n v="8"/>
    <d v="1899-12-30T00:56:20"/>
    <n v="0"/>
    <d v="1899-12-30T00:07:02"/>
    <n v="2"/>
    <n v="1"/>
    <n v="2.5"/>
    <x v="2"/>
    <n v="0.5"/>
    <n v="0.25"/>
    <n v="0.25"/>
    <n v="0"/>
    <n v="0"/>
    <n v="0"/>
    <n v="0.75"/>
    <n v="2.625"/>
    <d v="2020-07-26T00:00:00"/>
    <n v="1"/>
    <n v="0.328125"/>
    <s v="Tenchei"/>
  </r>
  <r>
    <x v="39"/>
    <s v="M"/>
    <n v="8"/>
    <n v="7.08"/>
    <d v="1899-12-30T00:34:23"/>
    <n v="8"/>
    <d v="1899-12-30T00:04:51"/>
    <n v="2"/>
    <n v="3"/>
    <n v="0.5"/>
    <x v="2"/>
    <n v="0.5"/>
    <n v="0.25"/>
    <n v="0.25"/>
    <n v="0"/>
    <n v="0"/>
    <n v="0"/>
    <n v="0"/>
    <n v="1.875"/>
    <d v="2020-07-25T00:00:00"/>
    <n v="1"/>
    <n v="0.26483050847457629"/>
    <s v="Tenchei"/>
  </r>
  <r>
    <x v="31"/>
    <s v="F"/>
    <n v="9"/>
    <n v="20.010000000000002"/>
    <d v="1899-12-30T01:39:28"/>
    <n v="41"/>
    <d v="1899-12-30T00:04:58"/>
    <n v="5"/>
    <n v="4"/>
    <n v="3"/>
    <x v="2"/>
    <n v="0.5"/>
    <n v="0.25"/>
    <n v="0.25"/>
    <n v="0"/>
    <n v="0"/>
    <n v="0"/>
    <n v="0"/>
    <n v="4.25"/>
    <d v="2020-08-01T00:00:00"/>
    <n v="1"/>
    <n v="0.21239380309845077"/>
    <s v="Unicornii"/>
  </r>
  <r>
    <x v="28"/>
    <s v="M"/>
    <n v="9"/>
    <n v="21.07"/>
    <d v="1899-12-30T03:31:55"/>
    <n v="1409"/>
    <d v="1899-12-30T00:10:03"/>
    <n v="5"/>
    <n v="0"/>
    <n v="4"/>
    <x v="2"/>
    <n v="0.5"/>
    <n v="0.25"/>
    <n v="0.25"/>
    <n v="0.93933333333333335"/>
    <n v="0"/>
    <n v="0"/>
    <n v="0"/>
    <n v="4.4393333333333338"/>
    <d v="2020-07-29T00:00:00"/>
    <n v="0"/>
    <n v="0.21069451036228448"/>
    <s v=" Let it run"/>
  </r>
  <r>
    <x v="27"/>
    <s v="M"/>
    <n v="9"/>
    <n v="10.08"/>
    <d v="1899-12-30T01:08:59"/>
    <n v="8"/>
    <d v="1899-12-30T00:06:51"/>
    <n v="2.5"/>
    <n v="1"/>
    <n v="3"/>
    <x v="1"/>
    <n v="0.25"/>
    <n v="0.5"/>
    <n v="0.25"/>
    <n v="0"/>
    <n v="0"/>
    <n v="0"/>
    <n v="0"/>
    <n v="1.875"/>
    <d v="2020-07-31T00:00:00"/>
    <n v="0"/>
    <n v="0.18601190476190477"/>
    <s v=" Let it run"/>
  </r>
  <r>
    <x v="32"/>
    <s v="M"/>
    <n v="9"/>
    <n v="17.010000000000002"/>
    <d v="1899-12-30T02:06:17"/>
    <n v="62"/>
    <d v="1899-12-30T00:07:25"/>
    <n v="4"/>
    <n v="1"/>
    <n v="3.5"/>
    <x v="1"/>
    <n v="0.25"/>
    <n v="0.5"/>
    <n v="0.25"/>
    <n v="0"/>
    <n v="0"/>
    <n v="0"/>
    <n v="0.5"/>
    <n v="2.875"/>
    <d v="2020-08-02T00:00:00"/>
    <n v="1"/>
    <n v="0.1690182245737801"/>
    <s v=" Let it run"/>
  </r>
  <r>
    <x v="30"/>
    <s v="M"/>
    <n v="9"/>
    <n v="9.89"/>
    <d v="1899-12-30T00:57:05"/>
    <n v="7"/>
    <d v="1899-12-30T00:05:46"/>
    <n v="2.5"/>
    <n v="1.5"/>
    <n v="3.5"/>
    <x v="2"/>
    <n v="0.5"/>
    <n v="0.25"/>
    <n v="0.25"/>
    <n v="0"/>
    <n v="0"/>
    <n v="0"/>
    <n v="0"/>
    <n v="2.5"/>
    <d v="2020-08-02T00:00:00"/>
    <n v="1"/>
    <n v="0.25278058645096058"/>
    <s v=" Let it run"/>
  </r>
  <r>
    <x v="4"/>
    <s v="M"/>
    <n v="9"/>
    <n v="20.04"/>
    <d v="1899-12-30T06:19:58"/>
    <n v="1182"/>
    <d v="1899-12-30T00:18:58"/>
    <n v="0"/>
    <n v="0"/>
    <n v="4.5"/>
    <x v="0"/>
    <n v="0.25"/>
    <n v="0.25"/>
    <n v="0.5"/>
    <n v="0.78800000000000003"/>
    <n v="0"/>
    <n v="0"/>
    <n v="0"/>
    <n v="3.0380000000000003"/>
    <d v="2020-08-02T00:00:00"/>
    <n v="1"/>
    <n v="0.15159680638722556"/>
    <s v=" Let it run"/>
  </r>
  <r>
    <x v="29"/>
    <s v="M"/>
    <n v="9"/>
    <n v="3.49"/>
    <d v="1899-12-30T00:18:19"/>
    <n v="3"/>
    <d v="1899-12-30T00:05:15"/>
    <n v="1"/>
    <n v="2.5"/>
    <n v="4.5"/>
    <x v="1"/>
    <n v="0.25"/>
    <n v="0.5"/>
    <n v="0.25"/>
    <n v="0"/>
    <n v="0"/>
    <n v="0"/>
    <n v="0"/>
    <n v="2.625"/>
    <d v="2020-08-02T00:00:00"/>
    <n v="1"/>
    <n v="0.75214899713467043"/>
    <s v="Unicornii"/>
  </r>
  <r>
    <x v="26"/>
    <s v="F"/>
    <n v="9"/>
    <n v="6.02"/>
    <d v="1899-12-30T00:36:43"/>
    <n v="48"/>
    <d v="1899-12-30T00:06:06"/>
    <n v="1.5"/>
    <n v="1.5"/>
    <n v="1"/>
    <x v="0"/>
    <n v="0.25"/>
    <n v="0.25"/>
    <n v="0.5"/>
    <n v="0"/>
    <n v="0"/>
    <n v="0"/>
    <n v="0"/>
    <n v="1.25"/>
    <d v="2020-08-01T00:00:00"/>
    <n v="1"/>
    <n v="0.20764119601328906"/>
    <s v="Serioranistii"/>
  </r>
  <r>
    <x v="37"/>
    <s v="M"/>
    <n v="9"/>
    <n v="10.09"/>
    <d v="1899-12-30T00:39:53"/>
    <n v="5"/>
    <d v="1899-12-30T00:03:57"/>
    <n v="2.5"/>
    <n v="5"/>
    <n v="2"/>
    <x v="1"/>
    <n v="0.25"/>
    <n v="0.5"/>
    <n v="0.25"/>
    <n v="0"/>
    <n v="0"/>
    <n v="0.1"/>
    <n v="0"/>
    <n v="3.7250000000000001"/>
    <d v="2020-08-01T00:00:00"/>
    <n v="1"/>
    <n v="0.36917740336967297"/>
    <s v="Serioranistii"/>
  </r>
  <r>
    <x v="38"/>
    <s v="F"/>
    <n v="9"/>
    <n v="5"/>
    <d v="1899-12-30T00:29:08"/>
    <n v="50"/>
    <d v="1899-12-30T00:05:50"/>
    <n v="1.5"/>
    <n v="2"/>
    <n v="2"/>
    <x v="1"/>
    <n v="0.25"/>
    <n v="0.5"/>
    <n v="0.25"/>
    <n v="0"/>
    <n v="0"/>
    <n v="0"/>
    <n v="0"/>
    <n v="1.875"/>
    <d v="2020-08-02T00:00:00"/>
    <n v="1"/>
    <n v="0.375"/>
    <s v="X Æ A-12"/>
  </r>
  <r>
    <x v="12"/>
    <s v="M"/>
    <n v="9"/>
    <n v="24.15"/>
    <d v="1899-12-30T02:09:54"/>
    <n v="74"/>
    <d v="1899-12-30T00:05:23"/>
    <n v="5"/>
    <n v="2"/>
    <n v="4"/>
    <x v="1"/>
    <n v="0.25"/>
    <n v="0.5"/>
    <n v="0.25"/>
    <n v="0"/>
    <n v="0"/>
    <n v="0"/>
    <n v="0"/>
    <n v="3.25"/>
    <d v="2020-08-01T00:00:00"/>
    <n v="1"/>
    <n v="0.13457556935817805"/>
    <s v="X Æ A-12"/>
  </r>
  <r>
    <x v="36"/>
    <s v="M"/>
    <n v="9"/>
    <n v="30.11"/>
    <d v="1899-12-30T02:44:26"/>
    <n v="72"/>
    <d v="1899-12-30T00:05:28"/>
    <n v="5"/>
    <n v="2"/>
    <n v="4"/>
    <x v="0"/>
    <n v="0.25"/>
    <n v="0.25"/>
    <n v="0.5"/>
    <n v="0"/>
    <n v="0.1"/>
    <n v="0"/>
    <n v="0"/>
    <n v="3.85"/>
    <d v="2020-08-02T00:00:00"/>
    <n v="1"/>
    <n v="0.12786449684490203"/>
    <s v=" Let it run"/>
  </r>
  <r>
    <x v="23"/>
    <s v="F"/>
    <n v="9"/>
    <n v="20.32"/>
    <d v="1899-12-30T02:58:41"/>
    <n v="70"/>
    <d v="1899-12-30T00:08:48"/>
    <n v="5"/>
    <n v="1"/>
    <n v="0.5"/>
    <x v="1"/>
    <n v="0.25"/>
    <n v="0.5"/>
    <n v="0.25"/>
    <n v="0"/>
    <n v="0"/>
    <n v="0"/>
    <n v="0.5"/>
    <n v="2.375"/>
    <d v="2020-08-02T00:00:00"/>
    <n v="1"/>
    <n v="0.11687992125984252"/>
    <s v="Serioranistii"/>
  </r>
  <r>
    <x v="13"/>
    <s v="M"/>
    <n v="9"/>
    <n v="23.41"/>
    <d v="1899-12-30T02:05:16"/>
    <n v="33"/>
    <d v="1899-12-30T00:05:21"/>
    <n v="5"/>
    <n v="2"/>
    <n v="1"/>
    <x v="0"/>
    <n v="0.25"/>
    <n v="0.25"/>
    <n v="0.5"/>
    <n v="0"/>
    <n v="0"/>
    <n v="0"/>
    <n v="0"/>
    <n v="2.25"/>
    <d v="2020-07-30T00:00:00"/>
    <n v="1"/>
    <n v="9.6112772319521575E-2"/>
    <s v="Tenchei"/>
  </r>
  <r>
    <x v="1"/>
    <s v="M"/>
    <n v="9"/>
    <n v="3.01"/>
    <d v="1899-12-30T00:12:44"/>
    <n v="0"/>
    <d v="1899-12-30T00:04:14"/>
    <n v="1"/>
    <n v="4.5"/>
    <n v="3"/>
    <x v="1"/>
    <n v="0.25"/>
    <n v="0.5"/>
    <n v="0.25"/>
    <n v="0"/>
    <n v="0"/>
    <n v="0"/>
    <n v="0"/>
    <n v="3.25"/>
    <d v="2020-07-31T00:00:00"/>
    <n v="1"/>
    <n v="1.0797342192691031"/>
    <s v="Serioranistii"/>
  </r>
  <r>
    <x v="15"/>
    <s v="M"/>
    <n v="9"/>
    <n v="18.47"/>
    <d v="1899-12-30T01:52:04"/>
    <n v="551"/>
    <d v="1899-12-30T00:06:04"/>
    <n v="4"/>
    <n v="1"/>
    <n v="1.5"/>
    <x v="1"/>
    <n v="0.25"/>
    <n v="0.5"/>
    <n v="0.25"/>
    <n v="0.36733333333333335"/>
    <n v="0"/>
    <n v="0"/>
    <n v="0"/>
    <n v="2.2423333333333333"/>
    <d v="2020-08-01T00:00:00"/>
    <n v="1"/>
    <n v="0.12140407868615774"/>
    <s v=" Let it run"/>
  </r>
  <r>
    <x v="19"/>
    <s v="M"/>
    <n v="9"/>
    <n v="28.36"/>
    <d v="1899-12-30T04:36:26"/>
    <n v="1469"/>
    <d v="1899-12-30T00:09:45"/>
    <n v="5"/>
    <n v="0"/>
    <n v="4.5"/>
    <x v="2"/>
    <n v="0.5"/>
    <n v="0.25"/>
    <n v="0.25"/>
    <n v="0.97933333333333328"/>
    <n v="0.1"/>
    <n v="0"/>
    <n v="0"/>
    <n v="4.7043333333333326"/>
    <d v="2020-07-28T00:00:00"/>
    <n v="1"/>
    <n v="0.16587917254348847"/>
    <s v="Unicornii"/>
  </r>
  <r>
    <x v="11"/>
    <s v="M"/>
    <n v="9"/>
    <n v="6.01"/>
    <d v="1899-12-30T00:27:25"/>
    <n v="22"/>
    <d v="1899-12-30T00:04:34"/>
    <n v="1.5"/>
    <n v="3.5"/>
    <n v="2"/>
    <x v="1"/>
    <n v="0.25"/>
    <n v="0.5"/>
    <n v="0.25"/>
    <n v="0"/>
    <n v="0"/>
    <n v="0"/>
    <n v="0"/>
    <n v="2.625"/>
    <d v="2020-07-28T00:00:00"/>
    <n v="1"/>
    <n v="0.4367720465890183"/>
    <s v="Unicornii"/>
  </r>
  <r>
    <x v="2"/>
    <s v="F"/>
    <n v="9"/>
    <n v="10.01"/>
    <d v="1899-12-30T00:51:38"/>
    <n v="2"/>
    <d v="1899-12-30T00:05:09"/>
    <n v="2.5"/>
    <n v="3.5"/>
    <n v="3"/>
    <x v="1"/>
    <n v="0.25"/>
    <n v="0.5"/>
    <n v="0.25"/>
    <n v="0"/>
    <n v="0"/>
    <n v="0"/>
    <n v="0"/>
    <n v="3.125"/>
    <d v="2020-07-29T00:00:00"/>
    <n v="1"/>
    <n v="0.31218781218781222"/>
    <s v="Unicornii"/>
  </r>
  <r>
    <x v="8"/>
    <s v="F"/>
    <n v="9"/>
    <n v="28.14"/>
    <d v="1899-12-30T03:33:01"/>
    <n v="658"/>
    <d v="1899-12-30T00:07:34"/>
    <n v="5"/>
    <n v="1"/>
    <n v="4"/>
    <x v="2"/>
    <n v="0.5"/>
    <n v="0.25"/>
    <n v="0.25"/>
    <n v="0.43866666666666665"/>
    <n v="0.1"/>
    <n v="0"/>
    <n v="0"/>
    <n v="4.288666666666666"/>
    <d v="2020-08-01T00:00:00"/>
    <n v="1"/>
    <n v="0.15240464344941954"/>
    <s v="X Æ A-12"/>
  </r>
  <r>
    <x v="16"/>
    <s v="M"/>
    <n v="9"/>
    <n v="9.09"/>
    <d v="1899-12-30T00:38:11"/>
    <n v="96"/>
    <d v="1899-12-30T00:04:12"/>
    <n v="2"/>
    <n v="4.5"/>
    <n v="4"/>
    <x v="1"/>
    <n v="0.25"/>
    <n v="0.5"/>
    <n v="0.25"/>
    <n v="0"/>
    <n v="0"/>
    <n v="0"/>
    <n v="0"/>
    <n v="3.75"/>
    <d v="2020-07-31T00:00:00"/>
    <n v="1"/>
    <n v="0.41254125412541254"/>
    <s v="X Æ A-12"/>
  </r>
  <r>
    <x v="3"/>
    <s v="M"/>
    <n v="9"/>
    <n v="23.03"/>
    <d v="1899-12-30T02:02:37"/>
    <n v="49"/>
    <d v="1899-12-30T00:05:19"/>
    <n v="5"/>
    <n v="2"/>
    <n v="4"/>
    <x v="1"/>
    <n v="0.25"/>
    <n v="0.5"/>
    <n v="0.25"/>
    <n v="0"/>
    <n v="0"/>
    <n v="0"/>
    <n v="0"/>
    <n v="3.25"/>
    <d v="2020-07-28T00:00:00"/>
    <n v="1"/>
    <n v="0.1411202778983934"/>
    <s v="Tenchei"/>
  </r>
  <r>
    <x v="7"/>
    <s v="M"/>
    <n v="9"/>
    <n v="21.04"/>
    <d v="1899-12-30T01:46:27"/>
    <n v="0"/>
    <d v="1899-12-30T00:05:04"/>
    <n v="5"/>
    <n v="2.5"/>
    <n v="3.5"/>
    <x v="1"/>
    <n v="0.25"/>
    <n v="0.5"/>
    <n v="0.25"/>
    <n v="0"/>
    <n v="0"/>
    <n v="0"/>
    <n v="0"/>
    <n v="3.375"/>
    <d v="2020-08-01T00:00:00"/>
    <n v="1"/>
    <n v="0.16040874524714829"/>
    <s v=" Let it run"/>
  </r>
  <r>
    <x v="18"/>
    <s v="M"/>
    <n v="9"/>
    <n v="15.02"/>
    <d v="1899-12-30T01:28:41"/>
    <n v="0"/>
    <d v="1899-12-30T00:05:54"/>
    <n v="3.5"/>
    <n v="1.5"/>
    <n v="2.5"/>
    <x v="1"/>
    <n v="0.25"/>
    <n v="0.5"/>
    <n v="0.25"/>
    <n v="0"/>
    <n v="0"/>
    <n v="0"/>
    <n v="0"/>
    <n v="2.25"/>
    <d v="2020-07-30T00:00:00"/>
    <n v="1"/>
    <n v="0.14980026631158455"/>
    <s v="Tenchei"/>
  </r>
  <r>
    <x v="0"/>
    <s v="M"/>
    <n v="9"/>
    <n v="11.01"/>
    <d v="1899-12-30T00:54:26"/>
    <n v="301"/>
    <d v="1899-12-30T00:04:57"/>
    <n v="2.5"/>
    <n v="3"/>
    <n v="3"/>
    <x v="1"/>
    <n v="0.25"/>
    <n v="0.5"/>
    <n v="0.25"/>
    <n v="0.20066666666666666"/>
    <n v="0"/>
    <n v="0"/>
    <n v="0"/>
    <n v="3.0756666666666668"/>
    <d v="2020-07-29T00:00:00"/>
    <n v="1"/>
    <n v="0.27935210414774447"/>
    <s v="Serioranistii"/>
  </r>
  <r>
    <x v="9"/>
    <s v="M"/>
    <n v="9"/>
    <n v="16.59"/>
    <d v="1899-12-30T01:24:28"/>
    <n v="38"/>
    <d v="1899-12-30T00:05:05"/>
    <n v="3.5"/>
    <n v="2.5"/>
    <n v="4"/>
    <x v="1"/>
    <n v="0.25"/>
    <n v="0.5"/>
    <n v="0.25"/>
    <n v="0"/>
    <n v="0"/>
    <n v="0"/>
    <n v="0"/>
    <n v="3.125"/>
    <d v="2020-07-28T00:00:00"/>
    <n v="1"/>
    <n v="0.18836648583484028"/>
    <s v="X Æ A-12"/>
  </r>
  <r>
    <x v="17"/>
    <s v="M"/>
    <n v="9"/>
    <n v="15.65"/>
    <d v="1899-12-30T01:29:30"/>
    <n v="259"/>
    <d v="1899-12-30T00:05:43"/>
    <n v="3.5"/>
    <n v="1.5"/>
    <m/>
    <x v="1"/>
    <n v="0.25"/>
    <n v="0.5"/>
    <n v="0.25"/>
    <n v="0.17266666666666666"/>
    <n v="0"/>
    <n v="0"/>
    <n v="0.5"/>
    <n v="2.2976666666666667"/>
    <d v="2020-07-29T00:00:00"/>
    <n v="1"/>
    <n v="0.14681576144834932"/>
    <s v="Serioranistii"/>
  </r>
  <r>
    <x v="20"/>
    <s v="M"/>
    <n v="9"/>
    <n v="11.28"/>
    <d v="1899-12-30T00:55:43"/>
    <n v="19"/>
    <d v="1899-12-30T00:04:56"/>
    <n v="2.5"/>
    <n v="3"/>
    <n v="2"/>
    <x v="1"/>
    <n v="0.25"/>
    <n v="0.5"/>
    <n v="0.25"/>
    <n v="0"/>
    <n v="0"/>
    <n v="0"/>
    <n v="0"/>
    <n v="2.625"/>
    <d v="2020-07-30T00:00:00"/>
    <n v="1"/>
    <n v="0.23271276595744683"/>
    <s v="Tenchei"/>
  </r>
  <r>
    <x v="25"/>
    <s v="M"/>
    <n v="9"/>
    <n v="16.68"/>
    <d v="1899-12-30T01:21:50"/>
    <n v="172"/>
    <d v="1899-12-30T00:04:54"/>
    <n v="3.5"/>
    <n v="3"/>
    <n v="4"/>
    <x v="0"/>
    <n v="0.25"/>
    <n v="0.25"/>
    <n v="0.5"/>
    <n v="0.11466666666666667"/>
    <n v="0"/>
    <n v="0"/>
    <n v="0"/>
    <n v="3.7396666666666665"/>
    <d v="2020-07-29T00:00:00"/>
    <n v="1"/>
    <n v="0.22420063948840926"/>
    <s v="Tenchei"/>
  </r>
  <r>
    <x v="21"/>
    <s v="M"/>
    <n v="9"/>
    <n v="29"/>
    <d v="1899-12-30T03:29:58"/>
    <n v="1003"/>
    <d v="1899-12-30T00:07:14"/>
    <n v="5"/>
    <n v="1"/>
    <n v="4"/>
    <x v="2"/>
    <n v="0.5"/>
    <n v="0.25"/>
    <n v="0.25"/>
    <n v="0.66866666666666663"/>
    <n v="0.1"/>
    <n v="0"/>
    <n v="0"/>
    <n v="4.5186666666666664"/>
    <d v="2020-08-02T00:00:00"/>
    <n v="1"/>
    <n v="0.15581609195402299"/>
    <s v="Serioranistii"/>
  </r>
  <r>
    <x v="10"/>
    <s v="M"/>
    <n v="9"/>
    <n v="11.69"/>
    <d v="1899-12-30T00:59:03"/>
    <n v="152"/>
    <d v="1899-12-30T00:05:03"/>
    <n v="2.5"/>
    <n v="2.5"/>
    <n v="4"/>
    <x v="0"/>
    <n v="0.25"/>
    <n v="0.25"/>
    <n v="0.5"/>
    <n v="0.10133333333333333"/>
    <n v="0"/>
    <n v="0"/>
    <n v="0"/>
    <n v="3.3513333333333333"/>
    <d v="2020-07-29T00:00:00"/>
    <n v="1"/>
    <n v="0.28668377530652983"/>
    <s v="X Æ A-12"/>
  </r>
  <r>
    <x v="14"/>
    <s v="F"/>
    <n v="9"/>
    <n v="4.09"/>
    <d v="1899-12-30T00:22:06"/>
    <n v="0"/>
    <d v="1899-12-30T00:05:24"/>
    <n v="1"/>
    <n v="3"/>
    <n v="4"/>
    <x v="1"/>
    <n v="0.25"/>
    <n v="0.5"/>
    <n v="0.25"/>
    <n v="0"/>
    <n v="0"/>
    <n v="0"/>
    <n v="0"/>
    <n v="2.75"/>
    <d v="2020-07-30T00:00:00"/>
    <n v="1"/>
    <n v="0.67237163814180934"/>
    <s v="X Æ A-12"/>
  </r>
  <r>
    <x v="5"/>
    <s v="M"/>
    <n v="9"/>
    <n v="14.04"/>
    <d v="1899-12-30T01:08:24"/>
    <n v="35"/>
    <d v="1899-12-30T00:04:52"/>
    <n v="3"/>
    <n v="3"/>
    <n v="3.5"/>
    <x v="0"/>
    <n v="0.25"/>
    <n v="0.25"/>
    <n v="0.5"/>
    <n v="0"/>
    <n v="0"/>
    <n v="0"/>
    <n v="0"/>
    <n v="3.25"/>
    <d v="2020-08-01T00:00:00"/>
    <n v="1"/>
    <n v="0.23148148148148148"/>
    <s v="X Æ A-12"/>
  </r>
  <r>
    <x v="6"/>
    <s v="F"/>
    <n v="9"/>
    <n v="5.9"/>
    <d v="1899-12-30T00:42:27"/>
    <n v="7"/>
    <d v="1899-12-30T00:07:12"/>
    <n v="1.5"/>
    <n v="1"/>
    <n v="3"/>
    <x v="1"/>
    <n v="0.25"/>
    <n v="0.5"/>
    <n v="0.25"/>
    <n v="0"/>
    <n v="0"/>
    <n v="0"/>
    <n v="0.75"/>
    <n v="2.375"/>
    <d v="2020-08-01T00:00:00"/>
    <n v="1"/>
    <n v="0.40254237288135591"/>
    <s v="Tenchei"/>
  </r>
  <r>
    <x v="31"/>
    <s v="F"/>
    <n v="10"/>
    <n v="11.01"/>
    <d v="1899-12-30T00:52:48"/>
    <n v="24"/>
    <d v="1899-12-30T00:04:48"/>
    <n v="2.5"/>
    <n v="4"/>
    <n v="4"/>
    <x v="0"/>
    <n v="0.25"/>
    <n v="0.25"/>
    <n v="0.5"/>
    <n v="0"/>
    <n v="0"/>
    <n v="0"/>
    <n v="0"/>
    <n v="3.625"/>
    <d v="2020-08-09T00:00:00"/>
    <n v="1"/>
    <n v="0.3292461398728429"/>
    <s v="Unicornii"/>
  </r>
  <r>
    <x v="28"/>
    <s v="M"/>
    <n v="10"/>
    <n v="111.18"/>
    <d v="1899-12-31T01:00:12"/>
    <n v="6541"/>
    <d v="1899-12-30T00:13:30"/>
    <n v="0"/>
    <n v="0"/>
    <n v="5"/>
    <x v="0"/>
    <n v="0.25"/>
    <n v="0.25"/>
    <n v="0.5"/>
    <n v="4.3606666666666669"/>
    <n v="1.8"/>
    <n v="0"/>
    <n v="0"/>
    <n v="8.6606666666666676"/>
    <d v="2020-08-08T00:00:00"/>
    <n v="0"/>
    <n v="7.7897703423877196E-2"/>
    <s v=" Let it run"/>
  </r>
  <r>
    <x v="32"/>
    <s v="M"/>
    <n v="10"/>
    <n v="42.79"/>
    <d v="1899-12-30T07:23:00"/>
    <n v="1285"/>
    <d v="1899-12-30T00:10:21"/>
    <n v="5"/>
    <n v="0"/>
    <n v="4"/>
    <x v="1"/>
    <n v="0.25"/>
    <n v="0.5"/>
    <n v="0.25"/>
    <n v="0.85666666666666669"/>
    <n v="0.4"/>
    <n v="0"/>
    <n v="0.5"/>
    <n v="4.0066666666666659"/>
    <d v="2020-08-08T00:00:00"/>
    <n v="1"/>
    <n v="9.3635584638155314E-2"/>
    <s v=" Let it run"/>
  </r>
  <r>
    <x v="30"/>
    <s v="M"/>
    <n v="10"/>
    <n v="6.89"/>
    <d v="1899-12-30T00:38:01"/>
    <n v="5"/>
    <d v="1899-12-30T00:05:31"/>
    <n v="1.5"/>
    <n v="1.5"/>
    <n v="3.5"/>
    <x v="1"/>
    <n v="0.25"/>
    <n v="0.5"/>
    <n v="0.25"/>
    <n v="0"/>
    <n v="0"/>
    <n v="0"/>
    <n v="0"/>
    <n v="2"/>
    <d v="2020-08-08T00:00:00"/>
    <n v="1"/>
    <n v="0.29027576197387517"/>
    <s v=" Let it run"/>
  </r>
  <r>
    <x v="4"/>
    <s v="M"/>
    <n v="10"/>
    <n v="3.01"/>
    <d v="1899-12-30T00:15:27"/>
    <n v="14"/>
    <d v="1899-12-30T00:05:08"/>
    <n v="1"/>
    <n v="2.5"/>
    <n v="4"/>
    <x v="1"/>
    <n v="0.25"/>
    <n v="0.5"/>
    <n v="0.25"/>
    <n v="0"/>
    <n v="0"/>
    <n v="0"/>
    <n v="0"/>
    <n v="2.5"/>
    <d v="2020-08-09T00:00:00"/>
    <n v="1"/>
    <n v="0.83056478405315626"/>
    <s v=" Let it run"/>
  </r>
  <r>
    <x v="26"/>
    <s v="F"/>
    <n v="10"/>
    <n v="14.06"/>
    <d v="1899-12-30T01:31:54"/>
    <n v="98"/>
    <d v="1899-12-30T00:06:32"/>
    <n v="3.5"/>
    <n v="1"/>
    <n v="2.5"/>
    <x v="0"/>
    <n v="0.25"/>
    <n v="0.25"/>
    <n v="0.5"/>
    <n v="0"/>
    <n v="0"/>
    <n v="0"/>
    <n v="0"/>
    <n v="2.375"/>
    <d v="2020-08-06T00:00:00"/>
    <n v="1"/>
    <n v="0.16891891891891891"/>
    <s v="Serioranistii"/>
  </r>
  <r>
    <x v="37"/>
    <s v="M"/>
    <n v="10"/>
    <n v="22.15"/>
    <d v="1899-12-30T01:40:37"/>
    <n v="37"/>
    <d v="1899-12-30T00:04:33"/>
    <n v="5"/>
    <n v="3.5"/>
    <n v="2"/>
    <x v="2"/>
    <n v="0.5"/>
    <n v="0.25"/>
    <n v="0.25"/>
    <n v="0"/>
    <n v="0"/>
    <n v="0"/>
    <n v="0"/>
    <n v="3.875"/>
    <d v="2020-08-09T00:00:00"/>
    <n v="1"/>
    <n v="0.17494356659142213"/>
    <s v="Serioranistii"/>
  </r>
  <r>
    <x v="38"/>
    <s v="F"/>
    <n v="10"/>
    <n v="5.01"/>
    <d v="1899-12-30T00:30:45"/>
    <n v="12"/>
    <d v="1899-12-30T00:06:08"/>
    <n v="1.5"/>
    <n v="1.5"/>
    <n v="3.5"/>
    <x v="2"/>
    <n v="0.5"/>
    <n v="0.25"/>
    <n v="0.25"/>
    <n v="0"/>
    <n v="0"/>
    <n v="0"/>
    <n v="0"/>
    <n v="2"/>
    <d v="2020-08-09T00:00:00"/>
    <n v="1"/>
    <n v="0.39920159680638723"/>
    <s v="X Æ A-12"/>
  </r>
  <r>
    <x v="12"/>
    <s v="M"/>
    <n v="10"/>
    <n v="12.49"/>
    <d v="1899-12-30T01:08:35"/>
    <n v="0"/>
    <d v="1899-12-30T00:05:29"/>
    <n v="3"/>
    <n v="2"/>
    <n v="2"/>
    <x v="0"/>
    <n v="0.25"/>
    <n v="0.25"/>
    <n v="0.5"/>
    <n v="0"/>
    <n v="0"/>
    <n v="0"/>
    <n v="0"/>
    <n v="2.25"/>
    <d v="2020-08-05T00:00:00"/>
    <n v="1"/>
    <n v="0.18014411529223379"/>
    <s v="X Æ A-12"/>
  </r>
  <r>
    <x v="36"/>
    <s v="M"/>
    <n v="10"/>
    <n v="20.51"/>
    <d v="1899-12-30T01:47:15"/>
    <n v="77"/>
    <d v="1899-12-30T00:05:14"/>
    <n v="4.5"/>
    <n v="2.5"/>
    <n v="4"/>
    <x v="0"/>
    <n v="0.25"/>
    <n v="0.25"/>
    <n v="0.5"/>
    <n v="0"/>
    <n v="0"/>
    <n v="0"/>
    <n v="0"/>
    <n v="3.75"/>
    <d v="2020-08-08T00:00:00"/>
    <n v="1"/>
    <n v="0.18283764017552412"/>
    <s v=" Let it run"/>
  </r>
  <r>
    <x v="23"/>
    <s v="F"/>
    <n v="10"/>
    <n v="6.72"/>
    <d v="1899-12-30T01:09:25"/>
    <n v="49"/>
    <d v="1899-12-30T00:10:20"/>
    <n v="2"/>
    <n v="0"/>
    <n v="1"/>
    <x v="0"/>
    <n v="0.25"/>
    <n v="0.25"/>
    <n v="0.5"/>
    <n v="0"/>
    <n v="0"/>
    <n v="0"/>
    <n v="0.5"/>
    <n v="1.5"/>
    <d v="2020-08-07T00:00:00"/>
    <n v="1"/>
    <n v="0.22321428571428573"/>
    <s v="Serioranistii"/>
  </r>
  <r>
    <x v="13"/>
    <s v="M"/>
    <n v="10"/>
    <n v="10"/>
    <d v="1899-12-30T00:45:38"/>
    <n v="0"/>
    <d v="1899-12-30T00:04:34"/>
    <n v="2.5"/>
    <n v="3.5"/>
    <n v="1"/>
    <x v="0"/>
    <n v="0.25"/>
    <n v="0.25"/>
    <n v="0.5"/>
    <n v="0"/>
    <n v="0"/>
    <n v="0"/>
    <n v="0"/>
    <n v="2"/>
    <d v="2020-08-04T00:00:00"/>
    <n v="1"/>
    <n v="0.2"/>
    <s v="Tenchei"/>
  </r>
  <r>
    <x v="1"/>
    <s v="M"/>
    <n v="10"/>
    <n v="15.05"/>
    <d v="1899-12-30T01:40:09"/>
    <n v="225"/>
    <d v="1899-12-30T00:06:39"/>
    <n v="3.5"/>
    <n v="1"/>
    <n v="4"/>
    <x v="2"/>
    <n v="0.5"/>
    <n v="0.25"/>
    <n v="0.25"/>
    <n v="0.15"/>
    <n v="0"/>
    <n v="0"/>
    <n v="0"/>
    <n v="3.15"/>
    <d v="2020-08-03T00:00:00"/>
    <n v="1"/>
    <n v="0.20930232558139533"/>
    <s v="Serioranistii"/>
  </r>
  <r>
    <x v="15"/>
    <s v="M"/>
    <n v="10"/>
    <n v="20.010000000000002"/>
    <d v="1899-12-30T01:48:07"/>
    <n v="424"/>
    <d v="1899-12-30T00:05:24"/>
    <n v="4.5"/>
    <n v="2"/>
    <n v="1.5"/>
    <x v="0"/>
    <n v="0.25"/>
    <n v="0.25"/>
    <n v="0.5"/>
    <n v="0.28266666666666668"/>
    <n v="0"/>
    <n v="0"/>
    <n v="0"/>
    <n v="2.6576666666666666"/>
    <d v="2020-08-09T00:00:00"/>
    <n v="1"/>
    <n v="0.13281692487089788"/>
    <s v=" Let it run"/>
  </r>
  <r>
    <x v="19"/>
    <s v="M"/>
    <n v="10"/>
    <n v="5.14"/>
    <d v="1899-12-30T00:24:06"/>
    <n v="8"/>
    <d v="1899-12-30T00:04:41"/>
    <n v="1.5"/>
    <n v="3.5"/>
    <n v="2"/>
    <x v="1"/>
    <n v="0.25"/>
    <n v="0.5"/>
    <n v="0.25"/>
    <n v="0"/>
    <n v="0"/>
    <n v="0"/>
    <n v="0"/>
    <n v="2.625"/>
    <d v="2020-08-09T00:00:00"/>
    <n v="1"/>
    <n v="0.51070038910505844"/>
    <s v="Unicornii"/>
  </r>
  <r>
    <x v="11"/>
    <s v="M"/>
    <n v="10"/>
    <n v="27.5"/>
    <d v="1899-12-30T04:49:27"/>
    <n v="1511"/>
    <d v="1899-12-30T00:10:32"/>
    <n v="5"/>
    <n v="0"/>
    <n v="4.5"/>
    <x v="0"/>
    <n v="0.25"/>
    <n v="0.25"/>
    <n v="0.5"/>
    <n v="1.0073333333333334"/>
    <n v="0.1"/>
    <n v="0"/>
    <n v="0"/>
    <n v="4.6073333333333331"/>
    <d v="2020-08-08T00:00:00"/>
    <n v="1"/>
    <n v="0.16753939393939393"/>
    <s v="Unicornii"/>
  </r>
  <r>
    <x v="2"/>
    <s v="F"/>
    <n v="10"/>
    <n v="30.01"/>
    <d v="1899-12-30T02:52:57"/>
    <n v="6"/>
    <d v="1899-12-30T00:05:46"/>
    <n v="5"/>
    <n v="2.5"/>
    <n v="3.5"/>
    <x v="0"/>
    <n v="0.25"/>
    <n v="0.25"/>
    <n v="0.5"/>
    <n v="0"/>
    <n v="0.1"/>
    <n v="0"/>
    <n v="0"/>
    <n v="3.7250000000000001"/>
    <d v="2020-08-08T00:00:00"/>
    <n v="1"/>
    <n v="0.12412529156947684"/>
    <s v="Unicornii"/>
  </r>
  <r>
    <x v="8"/>
    <s v="F"/>
    <n v="10"/>
    <n v="13.58"/>
    <d v="1899-12-30T02:31:50"/>
    <n v="935"/>
    <d v="1899-12-30T00:11:11"/>
    <n v="3"/>
    <n v="0"/>
    <n v="4"/>
    <x v="0"/>
    <n v="0.25"/>
    <n v="0.25"/>
    <n v="0.5"/>
    <n v="0.62333333333333329"/>
    <n v="0"/>
    <n v="0"/>
    <n v="0"/>
    <n v="3.3733333333333331"/>
    <d v="2020-08-09T00:00:00"/>
    <n v="1"/>
    <n v="0.24840451644575354"/>
    <s v="X Æ A-12"/>
  </r>
  <r>
    <x v="16"/>
    <s v="M"/>
    <n v="10"/>
    <n v="14.71"/>
    <d v="1899-12-30T01:06:53"/>
    <n v="63"/>
    <d v="1899-12-30T00:04:33"/>
    <n v="3"/>
    <n v="3.5"/>
    <n v="3.5"/>
    <x v="0"/>
    <n v="0.25"/>
    <n v="0.25"/>
    <n v="0.5"/>
    <n v="0"/>
    <n v="0"/>
    <n v="0"/>
    <n v="0"/>
    <n v="3.375"/>
    <d v="2020-08-06T00:00:00"/>
    <n v="1"/>
    <n v="0.22943575798776342"/>
    <s v="X Æ A-12"/>
  </r>
  <r>
    <x v="3"/>
    <s v="M"/>
    <n v="10"/>
    <n v="35.049999999999997"/>
    <d v="1899-12-30T03:21:06"/>
    <n v="187"/>
    <d v="1899-12-30T00:05:44"/>
    <n v="5"/>
    <n v="1.5"/>
    <n v="3.5"/>
    <x v="0"/>
    <n v="0.25"/>
    <n v="0.25"/>
    <n v="0.5"/>
    <n v="0.12466666666666666"/>
    <n v="0.2"/>
    <n v="0"/>
    <n v="0"/>
    <n v="3.6996666666666669"/>
    <d v="2020-08-08T00:00:00"/>
    <n v="1"/>
    <n v="0.1055539705183072"/>
    <s v="Tenchei"/>
  </r>
  <r>
    <x v="7"/>
    <s v="M"/>
    <n v="10"/>
    <n v="21.92"/>
    <d v="1899-12-30T02:28:53"/>
    <n v="961"/>
    <d v="1899-12-30T00:06:48"/>
    <n v="5"/>
    <n v="1"/>
    <n v="4"/>
    <x v="0"/>
    <n v="0.25"/>
    <n v="0.25"/>
    <n v="0.5"/>
    <n v="0.64066666666666672"/>
    <n v="0"/>
    <n v="0"/>
    <n v="0"/>
    <n v="4.1406666666666663"/>
    <d v="2020-08-08T00:00:00"/>
    <n v="1"/>
    <n v="0.18889902676399023"/>
    <s v=" Let it run"/>
  </r>
  <r>
    <x v="18"/>
    <s v="M"/>
    <n v="10"/>
    <n v="21.11"/>
    <d v="1899-12-30T02:07:38"/>
    <n v="0"/>
    <d v="1899-12-30T00:06:03"/>
    <n v="5"/>
    <n v="1"/>
    <n v="1.5"/>
    <x v="0"/>
    <n v="0.25"/>
    <n v="0.25"/>
    <n v="0.5"/>
    <n v="0"/>
    <n v="0"/>
    <n v="0"/>
    <n v="0"/>
    <n v="2.25"/>
    <d v="2020-08-06T00:00:00"/>
    <n v="1"/>
    <n v="0.10658455708195168"/>
    <s v="Tenchei"/>
  </r>
  <r>
    <x v="0"/>
    <s v="M"/>
    <n v="10"/>
    <n v="21.11"/>
    <d v="1899-12-30T01:44:54"/>
    <n v="513"/>
    <d v="1899-12-30T00:04:58"/>
    <n v="5"/>
    <n v="3"/>
    <n v="3.5"/>
    <x v="0"/>
    <n v="0.25"/>
    <n v="0.25"/>
    <n v="0.5"/>
    <n v="0.34200000000000003"/>
    <n v="0"/>
    <n v="0"/>
    <n v="0"/>
    <n v="4.0919999999999996"/>
    <d v="2020-08-07T00:00:00"/>
    <n v="1"/>
    <n v="0.19384178114637612"/>
    <s v="Serioranistii"/>
  </r>
  <r>
    <x v="9"/>
    <s v="M"/>
    <n v="10"/>
    <n v="15.12"/>
    <d v="1899-12-30T01:13:51"/>
    <n v="20"/>
    <d v="1899-12-30T00:04:53"/>
    <n v="3.5"/>
    <n v="3"/>
    <n v="3.5"/>
    <x v="1"/>
    <n v="0.25"/>
    <n v="0.5"/>
    <n v="0.25"/>
    <n v="0"/>
    <n v="0"/>
    <n v="0"/>
    <n v="0"/>
    <n v="3.25"/>
    <d v="2020-08-03T00:00:00"/>
    <n v="1"/>
    <n v="0.21494708994708997"/>
    <s v="X Æ A-12"/>
  </r>
  <r>
    <x v="17"/>
    <s v="M"/>
    <n v="10"/>
    <n v="13.28"/>
    <d v="1899-12-30T01:12:03"/>
    <n v="211"/>
    <d v="1899-12-30T00:05:26"/>
    <n v="3"/>
    <n v="2"/>
    <n v="3"/>
    <x v="1"/>
    <n v="0.25"/>
    <n v="0.5"/>
    <n v="0.25"/>
    <n v="0.14066666666666666"/>
    <n v="0"/>
    <n v="0"/>
    <n v="0.5"/>
    <n v="3.1406666666666667"/>
    <d v="2020-08-06T00:00:00"/>
    <n v="1"/>
    <n v="0.23649598393574298"/>
    <s v="Serioranistii"/>
  </r>
  <r>
    <x v="20"/>
    <s v="M"/>
    <n v="10"/>
    <n v="14.15"/>
    <d v="1899-12-30T01:15:20"/>
    <n v="450"/>
    <d v="1899-12-30T00:05:19"/>
    <n v="3"/>
    <n v="2"/>
    <n v="3.5"/>
    <x v="2"/>
    <n v="0.5"/>
    <n v="0.25"/>
    <n v="0.25"/>
    <n v="0.3"/>
    <n v="0"/>
    <n v="0"/>
    <n v="0"/>
    <n v="3.1749999999999998"/>
    <d v="2020-08-05T00:00:00"/>
    <n v="1"/>
    <n v="0.2243816254416961"/>
    <s v="Tenchei"/>
  </r>
  <r>
    <x v="25"/>
    <s v="M"/>
    <n v="10"/>
    <n v="22.01"/>
    <d v="1899-12-30T02:00:14"/>
    <n v="526"/>
    <d v="1899-12-30T00:05:28"/>
    <n v="5"/>
    <n v="2"/>
    <n v="4.5"/>
    <x v="1"/>
    <n v="0.25"/>
    <n v="0.5"/>
    <n v="0.25"/>
    <n v="0.35066666666666668"/>
    <n v="0"/>
    <n v="0"/>
    <n v="0"/>
    <n v="3.7256666666666667"/>
    <d v="2020-08-09T00:00:00"/>
    <n v="1"/>
    <n v="0.16927154323792215"/>
    <s v="Tenchei"/>
  </r>
  <r>
    <x v="24"/>
    <s v="M"/>
    <n v="10"/>
    <n v="10.09"/>
    <d v="1899-12-30T00:47:47"/>
    <n v="31"/>
    <d v="1899-12-30T00:04:44"/>
    <n v="2.5"/>
    <n v="3.5"/>
    <n v="4"/>
    <x v="0"/>
    <n v="0.25"/>
    <n v="0.25"/>
    <n v="0.5"/>
    <n v="0"/>
    <n v="0"/>
    <n v="0"/>
    <n v="0"/>
    <n v="3.5"/>
    <d v="2020-08-04T00:00:00"/>
    <n v="1"/>
    <n v="0.3468780971258672"/>
    <s v="Unicornii"/>
  </r>
  <r>
    <x v="21"/>
    <s v="M"/>
    <n v="10"/>
    <n v="34.19"/>
    <d v="1899-12-30T04:17:18"/>
    <n v="1706"/>
    <d v="1899-12-30T00:07:32"/>
    <n v="5"/>
    <n v="1"/>
    <n v="4.5"/>
    <x v="1"/>
    <n v="0.25"/>
    <n v="0.5"/>
    <n v="0.25"/>
    <n v="1.1373333333333333"/>
    <n v="0.2"/>
    <n v="0"/>
    <n v="0"/>
    <n v="4.2123333333333335"/>
    <d v="2020-08-09T00:00:00"/>
    <n v="1"/>
    <n v="0.12320366578921713"/>
    <s v="Serioranistii"/>
  </r>
  <r>
    <x v="14"/>
    <s v="F"/>
    <n v="10"/>
    <n v="9.9499999999999993"/>
    <d v="1899-12-30T00:56:09"/>
    <n v="10"/>
    <d v="1899-12-30T00:05:39"/>
    <n v="2.5"/>
    <n v="2.5"/>
    <n v="3.5"/>
    <x v="0"/>
    <n v="0.25"/>
    <n v="0.25"/>
    <n v="0.5"/>
    <n v="0"/>
    <n v="0"/>
    <n v="0"/>
    <n v="0"/>
    <n v="3"/>
    <d v="2020-08-09T00:00:00"/>
    <n v="1"/>
    <n v="0.30150753768844224"/>
    <s v="X Æ A-12"/>
  </r>
  <r>
    <x v="5"/>
    <s v="M"/>
    <n v="10"/>
    <n v="6.39"/>
    <d v="1899-12-30T00:29:00"/>
    <n v="0"/>
    <d v="1899-12-30T00:04:32"/>
    <n v="1.5"/>
    <n v="3.5"/>
    <n v="2"/>
    <x v="1"/>
    <n v="0.25"/>
    <n v="0.5"/>
    <n v="0.25"/>
    <n v="0"/>
    <n v="0"/>
    <n v="0"/>
    <n v="0"/>
    <n v="2.625"/>
    <d v="2020-08-09T00:00:00"/>
    <n v="1"/>
    <n v="0.41079812206572774"/>
    <s v="X Æ A-12"/>
  </r>
  <r>
    <x v="6"/>
    <s v="F"/>
    <n v="10"/>
    <n v="8"/>
    <d v="1899-12-30T00:55:48"/>
    <n v="4"/>
    <d v="1899-12-30T00:06:58"/>
    <n v="2"/>
    <n v="1"/>
    <n v="2.5"/>
    <x v="0"/>
    <n v="0.25"/>
    <n v="0.25"/>
    <n v="0.5"/>
    <n v="0"/>
    <n v="0"/>
    <n v="0"/>
    <n v="0.75"/>
    <n v="2.75"/>
    <d v="2020-08-07T00:00:00"/>
    <n v="1"/>
    <n v="0.34375"/>
    <s v="Tenchei"/>
  </r>
  <r>
    <x v="31"/>
    <s v="F"/>
    <n v="11"/>
    <n v="10.84"/>
    <d v="1899-12-30T00:51:40"/>
    <n v="108"/>
    <d v="1899-12-30T00:04:46"/>
    <n v="2.5"/>
    <n v="4.5"/>
    <n v="4"/>
    <x v="1"/>
    <n v="0.25"/>
    <n v="0.5"/>
    <n v="0.25"/>
    <n v="7.1999999999999995E-2"/>
    <n v="0"/>
    <n v="0"/>
    <n v="0"/>
    <n v="3.9470000000000001"/>
    <d v="2020-08-12T00:00:00"/>
    <n v="1"/>
    <n v="0.36411439114391148"/>
    <s v="Unicornii"/>
  </r>
  <r>
    <x v="28"/>
    <s v="M"/>
    <n v="11"/>
    <n v="5.18"/>
    <d v="1899-12-30T00:24:06"/>
    <n v="21"/>
    <d v="1899-12-30T00:04:39"/>
    <n v="1.5"/>
    <n v="3.5"/>
    <n v="3"/>
    <x v="1"/>
    <n v="0.25"/>
    <n v="0.5"/>
    <n v="0.25"/>
    <n v="0"/>
    <n v="0"/>
    <n v="0"/>
    <n v="0"/>
    <n v="2.875"/>
    <d v="2020-08-16T00:00:00"/>
    <n v="0"/>
    <n v="0.55501930501930508"/>
    <s v=" Let it run"/>
  </r>
  <r>
    <x v="32"/>
    <s v="M"/>
    <n v="11"/>
    <n v="33.57"/>
    <d v="1899-12-30T05:56:23"/>
    <n v="758"/>
    <d v="1899-12-30T00:10:37"/>
    <n v="5"/>
    <n v="0"/>
    <n v="4"/>
    <x v="2"/>
    <n v="0.5"/>
    <n v="0.25"/>
    <n v="0.25"/>
    <n v="0.5053333333333333"/>
    <n v="0.2"/>
    <n v="0"/>
    <n v="0.5"/>
    <n v="4.7053333333333338"/>
    <d v="2020-08-15T00:00:00"/>
    <n v="1"/>
    <n v="0.14016482970906566"/>
    <s v=" Let it run"/>
  </r>
  <r>
    <x v="30"/>
    <s v="M"/>
    <n v="11"/>
    <n v="7.99"/>
    <d v="1899-12-30T00:42:26"/>
    <n v="12"/>
    <d v="1899-12-30T00:05:19"/>
    <n v="2"/>
    <n v="2"/>
    <n v="2.5"/>
    <x v="1"/>
    <n v="0.25"/>
    <n v="0.5"/>
    <n v="0.25"/>
    <n v="0"/>
    <n v="0"/>
    <n v="0"/>
    <n v="0"/>
    <n v="2.125"/>
    <d v="2020-08-13T00:00:00"/>
    <n v="1"/>
    <n v="0.26595744680851063"/>
    <s v=" Let it run"/>
  </r>
  <r>
    <x v="4"/>
    <s v="M"/>
    <n v="11"/>
    <n v="5"/>
    <d v="1899-12-30T00:26:48"/>
    <n v="0"/>
    <d v="1899-12-30T00:05:22"/>
    <n v="1.5"/>
    <n v="2"/>
    <n v="2"/>
    <x v="1"/>
    <n v="0.25"/>
    <n v="0.5"/>
    <n v="0.25"/>
    <n v="0"/>
    <n v="0"/>
    <n v="0"/>
    <n v="0"/>
    <n v="1.875"/>
    <d v="2020-08-13T00:00:00"/>
    <n v="1"/>
    <n v="0.375"/>
    <s v=" Let it run"/>
  </r>
  <r>
    <x v="26"/>
    <s v="F"/>
    <n v="11"/>
    <n v="7.9"/>
    <d v="1899-12-30T00:47:05"/>
    <n v="48"/>
    <d v="1899-12-30T00:05:58"/>
    <n v="2"/>
    <n v="2"/>
    <n v="3"/>
    <x v="1"/>
    <n v="0.25"/>
    <n v="0.5"/>
    <n v="0.25"/>
    <n v="0"/>
    <n v="0"/>
    <n v="0"/>
    <n v="0"/>
    <n v="2.25"/>
    <d v="2020-08-11T00:00:00"/>
    <n v="1"/>
    <n v="0.28481012658227844"/>
    <s v="Serioranistii"/>
  </r>
  <r>
    <x v="37"/>
    <s v="M"/>
    <n v="11"/>
    <n v="12.45"/>
    <d v="1899-12-30T01:02:51"/>
    <n v="101"/>
    <d v="1899-12-30T00:05:03"/>
    <n v="3"/>
    <n v="2.5"/>
    <n v="4"/>
    <x v="0"/>
    <n v="0.25"/>
    <n v="0.25"/>
    <n v="0.5"/>
    <n v="6.7333333333333328E-2"/>
    <n v="0"/>
    <n v="0"/>
    <n v="0"/>
    <n v="3.4423333333333335"/>
    <d v="2020-08-15T00:00:00"/>
    <n v="1"/>
    <n v="0.2764926372155288"/>
    <s v="Serioranistii"/>
  </r>
  <r>
    <x v="38"/>
    <s v="F"/>
    <n v="11"/>
    <n v="5"/>
    <d v="1899-12-30T00:29:14"/>
    <n v="0"/>
    <d v="1899-12-30T00:05:51"/>
    <n v="1.5"/>
    <n v="2"/>
    <n v="3.5"/>
    <x v="2"/>
    <n v="0.5"/>
    <n v="0.25"/>
    <n v="0.25"/>
    <n v="0"/>
    <n v="0"/>
    <n v="0"/>
    <n v="0"/>
    <n v="2.125"/>
    <d v="2020-08-16T00:00:00"/>
    <n v="1"/>
    <n v="0.42499999999999999"/>
    <s v="X Æ A-12"/>
  </r>
  <r>
    <x v="12"/>
    <s v="M"/>
    <n v="11"/>
    <n v="27.36"/>
    <d v="1899-12-30T02:33:56"/>
    <n v="52"/>
    <d v="1899-12-30T00:05:38"/>
    <n v="5"/>
    <n v="1.5"/>
    <n v="3"/>
    <x v="2"/>
    <n v="0.5"/>
    <n v="0.25"/>
    <n v="0.25"/>
    <n v="0"/>
    <n v="0.1"/>
    <n v="0"/>
    <n v="0"/>
    <n v="3.7250000000000001"/>
    <d v="2020-08-15T00:00:00"/>
    <n v="1"/>
    <n v="0.13614766081871346"/>
    <s v="X Æ A-12"/>
  </r>
  <r>
    <x v="36"/>
    <s v="M"/>
    <n v="11"/>
    <n v="21.14"/>
    <d v="1899-12-30T01:47:58"/>
    <n v="51"/>
    <d v="1899-12-30T00:05:06"/>
    <n v="5"/>
    <n v="2.5"/>
    <n v="3.5"/>
    <x v="1"/>
    <n v="0.25"/>
    <n v="0.5"/>
    <n v="0.25"/>
    <n v="0"/>
    <n v="0"/>
    <n v="0"/>
    <n v="0"/>
    <n v="3.375"/>
    <d v="2020-08-12T00:00:00"/>
    <n v="1"/>
    <n v="0.1596499526963103"/>
    <s v=" Let it run"/>
  </r>
  <r>
    <x v="23"/>
    <s v="F"/>
    <n v="11"/>
    <n v="20.3"/>
    <d v="1899-12-30T03:00:06"/>
    <n v="84"/>
    <d v="1899-12-30T00:08:52"/>
    <n v="5"/>
    <n v="1"/>
    <n v="1"/>
    <x v="2"/>
    <n v="0.5"/>
    <n v="0.25"/>
    <n v="0.25"/>
    <n v="0"/>
    <n v="0"/>
    <n v="0"/>
    <n v="0.5"/>
    <n v="3.5"/>
    <d v="2020-08-11T00:00:00"/>
    <n v="1"/>
    <n v="0.17241379310344826"/>
    <s v="Serioranistii"/>
  </r>
  <r>
    <x v="13"/>
    <s v="M"/>
    <n v="11"/>
    <n v="12.36"/>
    <d v="1899-12-30T01:00:25"/>
    <n v="130"/>
    <d v="1899-12-30T00:04:53"/>
    <n v="3"/>
    <n v="3"/>
    <n v="1"/>
    <x v="2"/>
    <n v="0.5"/>
    <n v="0.25"/>
    <n v="0.25"/>
    <n v="8.666666666666667E-2"/>
    <n v="0"/>
    <n v="0"/>
    <n v="0"/>
    <n v="2.5866666666666669"/>
    <d v="2020-08-13T00:00:00"/>
    <n v="1"/>
    <n v="0.20927723840345203"/>
    <s v="Tenchei"/>
  </r>
  <r>
    <x v="1"/>
    <s v="M"/>
    <n v="11"/>
    <n v="3.02"/>
    <d v="1899-12-30T00:12:48"/>
    <n v="13"/>
    <d v="1899-12-30T00:04:14"/>
    <n v="1"/>
    <n v="4.5"/>
    <n v="3"/>
    <x v="1"/>
    <n v="0.25"/>
    <n v="0.5"/>
    <n v="0.25"/>
    <n v="0"/>
    <n v="0"/>
    <n v="0"/>
    <n v="0"/>
    <n v="3.25"/>
    <d v="2020-08-16T00:00:00"/>
    <n v="1"/>
    <n v="1.076158940397351"/>
    <s v="Serioranistii"/>
  </r>
  <r>
    <x v="15"/>
    <s v="M"/>
    <n v="11"/>
    <n v="19.420000000000002"/>
    <d v="1899-12-30T01:37:41"/>
    <n v="309"/>
    <d v="1899-12-30T00:05:02"/>
    <n v="4.5"/>
    <n v="2.5"/>
    <n v="2"/>
    <x v="0"/>
    <n v="0.25"/>
    <n v="0.25"/>
    <n v="0.5"/>
    <n v="0.20599999999999999"/>
    <n v="0"/>
    <n v="0"/>
    <n v="0"/>
    <n v="2.956"/>
    <d v="2020-08-16T00:00:00"/>
    <n v="1"/>
    <n v="0.15221421215242018"/>
    <s v=" Let it run"/>
  </r>
  <r>
    <x v="19"/>
    <s v="M"/>
    <n v="11"/>
    <n v="21.1"/>
    <d v="1899-12-30T01:44:55"/>
    <n v="50"/>
    <d v="1899-12-30T00:04:58"/>
    <n v="5"/>
    <n v="3"/>
    <n v="3"/>
    <x v="2"/>
    <n v="0.5"/>
    <n v="0.25"/>
    <n v="0.25"/>
    <n v="0"/>
    <n v="0"/>
    <n v="0"/>
    <n v="0"/>
    <n v="4"/>
    <d v="2020-08-15T00:00:00"/>
    <n v="1"/>
    <n v="0.1895734597156398"/>
    <s v="Unicornii"/>
  </r>
  <r>
    <x v="11"/>
    <s v="M"/>
    <n v="11"/>
    <n v="21.3"/>
    <d v="1899-12-30T02:00:01"/>
    <n v="85"/>
    <d v="1899-12-30T00:05:38"/>
    <n v="5"/>
    <n v="1.5"/>
    <n v="1"/>
    <x v="2"/>
    <n v="0.5"/>
    <n v="0.25"/>
    <n v="0.25"/>
    <n v="0"/>
    <n v="0"/>
    <n v="0"/>
    <n v="0"/>
    <n v="3.125"/>
    <d v="2020-08-15T00:00:00"/>
    <n v="1"/>
    <n v="0.14671361502347419"/>
    <s v="Unicornii"/>
  </r>
  <r>
    <x v="2"/>
    <s v="F"/>
    <n v="11"/>
    <n v="10.45"/>
    <d v="1899-12-30T01:01:43"/>
    <n v="100"/>
    <d v="1899-12-30T00:05:54"/>
    <n v="2.5"/>
    <n v="2"/>
    <n v="4"/>
    <x v="0"/>
    <n v="0.25"/>
    <n v="0.25"/>
    <n v="0.5"/>
    <n v="6.6666666666666666E-2"/>
    <n v="0"/>
    <n v="0"/>
    <n v="0"/>
    <n v="3.1916666666666669"/>
    <d v="2020-08-15T00:00:00"/>
    <n v="1"/>
    <n v="0.30542264752791071"/>
    <s v="Unicornii"/>
  </r>
  <r>
    <x v="8"/>
    <s v="F"/>
    <n v="11"/>
    <n v="29.37"/>
    <d v="1899-12-30T10:22:37"/>
    <n v="1743"/>
    <d v="1899-12-30T00:21:12"/>
    <n v="0"/>
    <n v="0"/>
    <n v="4"/>
    <x v="1"/>
    <n v="0.25"/>
    <n v="0.5"/>
    <n v="0.25"/>
    <n v="1.1619999999999999"/>
    <n v="0.1"/>
    <n v="0"/>
    <n v="0"/>
    <n v="2.262"/>
    <d v="2020-08-16T00:00:00"/>
    <n v="1"/>
    <n v="7.70173646578141E-2"/>
    <s v="X Æ A-12"/>
  </r>
  <r>
    <x v="16"/>
    <s v="M"/>
    <n v="11"/>
    <n v="21.11"/>
    <d v="1899-12-30T01:47:18"/>
    <n v="23"/>
    <d v="1899-12-30T00:05:05"/>
    <n v="5"/>
    <n v="2.5"/>
    <n v="3.5"/>
    <x v="2"/>
    <n v="0.5"/>
    <n v="0.25"/>
    <n v="0.25"/>
    <n v="0"/>
    <n v="0"/>
    <n v="0"/>
    <n v="0"/>
    <n v="4"/>
    <d v="2020-08-15T00:00:00"/>
    <n v="1"/>
    <n v="0.18948365703458078"/>
    <s v="X Æ A-12"/>
  </r>
  <r>
    <x v="3"/>
    <s v="M"/>
    <n v="11"/>
    <n v="25.01"/>
    <d v="1899-12-30T02:21:50"/>
    <n v="54"/>
    <d v="1899-12-30T00:05:40"/>
    <n v="5"/>
    <n v="1.5"/>
    <n v="4"/>
    <x v="2"/>
    <n v="0.5"/>
    <n v="0.25"/>
    <n v="0.25"/>
    <n v="0"/>
    <n v="0"/>
    <n v="0"/>
    <n v="0"/>
    <n v="3.875"/>
    <d v="2020-08-13T00:00:00"/>
    <n v="1"/>
    <n v="0.15493802479008395"/>
    <s v="Tenchei"/>
  </r>
  <r>
    <x v="7"/>
    <s v="M"/>
    <n v="11"/>
    <n v="32.33"/>
    <d v="1899-12-30T02:40:29"/>
    <n v="59"/>
    <d v="1899-12-30T00:04:58"/>
    <n v="5"/>
    <n v="3"/>
    <n v="4.5"/>
    <x v="2"/>
    <n v="0.5"/>
    <n v="0.25"/>
    <n v="0.25"/>
    <n v="0"/>
    <n v="0.2"/>
    <n v="0"/>
    <n v="0"/>
    <n v="4.5750000000000002"/>
    <d v="2020-08-15T00:00:00"/>
    <n v="1"/>
    <n v="0.14150943396226418"/>
    <s v=" Let it run"/>
  </r>
  <r>
    <x v="18"/>
    <s v="M"/>
    <n v="11"/>
    <n v="22.01"/>
    <d v="1899-12-30T02:27:09"/>
    <n v="0"/>
    <d v="1899-12-30T00:06:41"/>
    <n v="5"/>
    <n v="1"/>
    <n v="3.5"/>
    <x v="2"/>
    <n v="0.5"/>
    <n v="0.25"/>
    <n v="0.25"/>
    <n v="0"/>
    <n v="0"/>
    <n v="0"/>
    <n v="0"/>
    <n v="3.625"/>
    <d v="2020-08-16T00:00:00"/>
    <n v="1"/>
    <n v="0.16469786460699681"/>
    <s v="Tenchei"/>
  </r>
  <r>
    <x v="0"/>
    <s v="M"/>
    <n v="11"/>
    <n v="20"/>
    <d v="1899-12-30T01:39:27"/>
    <n v="517"/>
    <d v="1899-12-30T00:04:58"/>
    <n v="4.5"/>
    <n v="3"/>
    <n v="2"/>
    <x v="2"/>
    <n v="0.5"/>
    <n v="0.25"/>
    <n v="0.25"/>
    <n v="0.34466666666666668"/>
    <n v="0"/>
    <n v="0"/>
    <n v="0"/>
    <n v="3.8446666666666669"/>
    <d v="2020-08-10T00:00:00"/>
    <n v="1"/>
    <n v="0.19223333333333334"/>
    <s v="Serioranistii"/>
  </r>
  <r>
    <x v="9"/>
    <s v="M"/>
    <n v="11"/>
    <n v="37.01"/>
    <d v="1899-12-30T03:26:54"/>
    <n v="113"/>
    <d v="1899-12-30T00:05:35"/>
    <n v="5"/>
    <n v="1.5"/>
    <n v="4.5"/>
    <x v="2"/>
    <n v="0.5"/>
    <n v="0.25"/>
    <n v="0.25"/>
    <n v="7.5333333333333335E-2"/>
    <n v="0.3"/>
    <n v="0"/>
    <n v="0"/>
    <n v="4.3753333333333329"/>
    <d v="2020-08-16T00:00:00"/>
    <n v="1"/>
    <n v="0.11822030081959831"/>
    <s v="X Æ A-12"/>
  </r>
  <r>
    <x v="17"/>
    <s v="M"/>
    <n v="11"/>
    <n v="13.78"/>
    <d v="1899-12-30T01:36:28"/>
    <n v="333"/>
    <d v="1899-12-30T00:07:00"/>
    <n v="3"/>
    <n v="1"/>
    <n v="3.5"/>
    <x v="0"/>
    <n v="0.25"/>
    <n v="0.25"/>
    <n v="0.5"/>
    <n v="0.222"/>
    <n v="0"/>
    <n v="0"/>
    <n v="0.5"/>
    <n v="3.472"/>
    <d v="2020-08-16T00:00:00"/>
    <n v="1"/>
    <n v="0.25195936139332364"/>
    <s v="Serioranistii"/>
  </r>
  <r>
    <x v="20"/>
    <s v="M"/>
    <n v="11"/>
    <n v="10"/>
    <d v="1899-12-30T00:44:11"/>
    <n v="31"/>
    <d v="1899-12-30T00:04:25"/>
    <n v="2.5"/>
    <n v="4"/>
    <n v="2"/>
    <x v="2"/>
    <n v="0.5"/>
    <n v="0.25"/>
    <n v="0.25"/>
    <n v="0"/>
    <n v="0"/>
    <n v="0"/>
    <n v="0"/>
    <n v="2.75"/>
    <d v="2020-08-10T00:00:00"/>
    <n v="1"/>
    <n v="0.27500000000000002"/>
    <s v="Tenchei"/>
  </r>
  <r>
    <x v="25"/>
    <s v="M"/>
    <n v="11"/>
    <n v="44.29"/>
    <d v="1899-12-30T04:21:13"/>
    <n v="1898"/>
    <d v="1899-12-30T00:05:54"/>
    <n v="5"/>
    <n v="1.5"/>
    <n v="4"/>
    <x v="2"/>
    <n v="0.5"/>
    <n v="0.25"/>
    <n v="0.25"/>
    <n v="1.2653333333333334"/>
    <n v="0.4"/>
    <n v="0"/>
    <n v="0"/>
    <n v="5.5403333333333338"/>
    <d v="2020-08-15T00:00:00"/>
    <n v="1"/>
    <n v="0.12509219537894184"/>
    <s v="Tenchei"/>
  </r>
  <r>
    <x v="21"/>
    <s v="M"/>
    <n v="11"/>
    <n v="3.03"/>
    <d v="1899-12-30T00:10:54"/>
    <n v="13"/>
    <d v="1899-12-30T00:03:36"/>
    <n v="1"/>
    <n v="5"/>
    <n v="3.5"/>
    <x v="1"/>
    <n v="0.25"/>
    <n v="0.5"/>
    <n v="0.25"/>
    <n v="0"/>
    <n v="0"/>
    <n v="2.1"/>
    <n v="0"/>
    <n v="5.7249999999999996"/>
    <d v="2020-08-15T00:00:00"/>
    <n v="1"/>
    <n v="1.8894389438943895"/>
    <s v="Serioranistii"/>
  </r>
  <r>
    <x v="14"/>
    <s v="F"/>
    <n v="11"/>
    <n v="8.0299999999999994"/>
    <d v="1899-12-30T00:44:42"/>
    <n v="0"/>
    <d v="1899-12-30T00:05:34"/>
    <n v="2"/>
    <n v="2.5"/>
    <n v="3"/>
    <x v="2"/>
    <n v="0.5"/>
    <n v="0.25"/>
    <n v="0.25"/>
    <n v="0"/>
    <n v="0"/>
    <n v="0"/>
    <n v="0"/>
    <n v="2.375"/>
    <d v="2020-08-10T00:00:00"/>
    <n v="1"/>
    <n v="0.2957658779576588"/>
    <s v="X Æ A-12"/>
  </r>
  <r>
    <x v="29"/>
    <s v="M"/>
    <n v="11"/>
    <n v="12"/>
    <d v="1899-12-30T01:14:30"/>
    <n v="0"/>
    <d v="1899-12-30T00:06:13"/>
    <n v="3"/>
    <n v="1"/>
    <n v="3.5"/>
    <x v="2"/>
    <n v="0.5"/>
    <n v="0.25"/>
    <n v="0.25"/>
    <n v="0"/>
    <n v="0"/>
    <n v="0"/>
    <n v="0"/>
    <n v="2.625"/>
    <d v="2020-08-16T00:00:00"/>
    <n v="1"/>
    <n v="0.21875"/>
    <s v="Unicornii"/>
  </r>
  <r>
    <x v="22"/>
    <s v="M"/>
    <n v="11"/>
    <n v="11.49"/>
    <d v="1899-12-30T00:48:30"/>
    <n v="277"/>
    <d v="1899-12-30T00:04:13"/>
    <n v="2.5"/>
    <n v="4.5"/>
    <n v="2"/>
    <x v="1"/>
    <n v="0.25"/>
    <n v="0.5"/>
    <n v="0.25"/>
    <n v="0.18466666666666667"/>
    <n v="0"/>
    <n v="0"/>
    <n v="0"/>
    <n v="3.5596666666666668"/>
    <d v="2020-08-16T00:00:00"/>
    <n v="1"/>
    <n v="0.30980562808239048"/>
    <s v="Serioranistii"/>
  </r>
  <r>
    <x v="5"/>
    <s v="M"/>
    <n v="11"/>
    <n v="33"/>
    <d v="1899-12-30T03:22:47"/>
    <n v="44"/>
    <d v="1899-12-30T00:06:09"/>
    <n v="5"/>
    <n v="1"/>
    <n v="2"/>
    <x v="2"/>
    <n v="0.5"/>
    <n v="0.25"/>
    <n v="0.25"/>
    <n v="0"/>
    <n v="0.2"/>
    <n v="0"/>
    <n v="0"/>
    <n v="3.45"/>
    <d v="2020-08-12T00:00:00"/>
    <n v="1"/>
    <n v="0.10454545454545455"/>
    <s v="X Æ A-12"/>
  </r>
  <r>
    <x v="6"/>
    <s v="F"/>
    <n v="11"/>
    <n v="5.2"/>
    <d v="1899-12-30T00:36:36"/>
    <n v="8"/>
    <d v="1899-12-30T00:07:02"/>
    <n v="1.5"/>
    <n v="1"/>
    <n v="3.5"/>
    <x v="2"/>
    <n v="0.5"/>
    <n v="0.25"/>
    <n v="0.25"/>
    <n v="0"/>
    <n v="0"/>
    <n v="0"/>
    <n v="0.75"/>
    <n v="2.625"/>
    <d v="2020-08-14T00:00:00"/>
    <n v="1"/>
    <n v="0.50480769230769229"/>
    <s v="Tenchei"/>
  </r>
  <r>
    <x v="31"/>
    <s v="F"/>
    <n v="12"/>
    <n v="15.01"/>
    <d v="1899-12-30T01:18:32"/>
    <n v="20"/>
    <d v="1899-12-30T00:05:14"/>
    <n v="3.5"/>
    <n v="3.5"/>
    <n v="2.5"/>
    <x v="2"/>
    <n v="0.5"/>
    <n v="0.25"/>
    <n v="0.25"/>
    <n v="0"/>
    <n v="0"/>
    <n v="0"/>
    <n v="0"/>
    <n v="3.25"/>
    <d v="2020-08-18T00:00:00"/>
    <n v="1"/>
    <n v="0.21652231845436376"/>
    <s v="Unicornii"/>
  </r>
  <r>
    <x v="28"/>
    <s v="M"/>
    <n v="12"/>
    <n v="49.03"/>
    <d v="1899-12-30T08:10:22"/>
    <n v="2366"/>
    <d v="1899-12-30T00:10:00"/>
    <n v="5"/>
    <n v="0"/>
    <n v="4.5"/>
    <x v="1"/>
    <n v="0.25"/>
    <n v="0.5"/>
    <n v="0.25"/>
    <n v="1.5773333333333333"/>
    <n v="0.5"/>
    <n v="0"/>
    <n v="0"/>
    <n v="4.4523333333333337"/>
    <d v="2020-08-19T00:00:00"/>
    <n v="0"/>
    <n v="9.0808348630090421E-2"/>
    <s v=" Let it run"/>
  </r>
  <r>
    <x v="32"/>
    <s v="M"/>
    <n v="12"/>
    <n v="53.13"/>
    <d v="1899-12-30T12:03:49"/>
    <n v="3969"/>
    <d v="1899-12-30T00:13:37"/>
    <n v="0"/>
    <n v="0"/>
    <n v="5"/>
    <x v="2"/>
    <n v="0.5"/>
    <n v="0.25"/>
    <n v="0.25"/>
    <n v="2.6459999999999999"/>
    <n v="0.6"/>
    <n v="0"/>
    <n v="0.5"/>
    <n v="4.9959999999999996"/>
    <d v="2020-08-22T00:00:00"/>
    <n v="1"/>
    <n v="9.4033502729154894E-2"/>
    <s v=" Let it run"/>
  </r>
  <r>
    <x v="30"/>
    <s v="M"/>
    <n v="12"/>
    <n v="5.45"/>
    <d v="1899-12-30T00:29:55"/>
    <n v="4"/>
    <d v="1899-12-30T00:05:29"/>
    <n v="1.5"/>
    <n v="2"/>
    <n v="3.5"/>
    <x v="1"/>
    <n v="0.25"/>
    <n v="0.5"/>
    <n v="0.25"/>
    <n v="0"/>
    <n v="0"/>
    <n v="0"/>
    <n v="0"/>
    <n v="2.25"/>
    <d v="2020-08-18T00:00:00"/>
    <n v="1"/>
    <n v="0.41284403669724767"/>
    <s v=" Let it run"/>
  </r>
  <r>
    <x v="4"/>
    <s v="M"/>
    <n v="12"/>
    <n v="21.12"/>
    <d v="1899-12-30T01:59:35"/>
    <n v="79"/>
    <d v="1899-12-30T00:05:40"/>
    <n v="5"/>
    <n v="1.5"/>
    <n v="4"/>
    <x v="0"/>
    <n v="0.25"/>
    <n v="0.25"/>
    <n v="0.5"/>
    <n v="0"/>
    <n v="0"/>
    <n v="0"/>
    <n v="0"/>
    <n v="3.625"/>
    <d v="2020-08-23T00:00:00"/>
    <n v="1"/>
    <n v="0.17163825757575757"/>
    <s v=" Let it run"/>
  </r>
  <r>
    <x v="26"/>
    <s v="F"/>
    <n v="12"/>
    <n v="3.02"/>
    <d v="1899-12-30T00:15:36"/>
    <n v="16"/>
    <d v="1899-12-30T00:05:10"/>
    <n v="1"/>
    <n v="3.5"/>
    <n v="3"/>
    <x v="1"/>
    <n v="0.25"/>
    <n v="0.5"/>
    <n v="0.25"/>
    <n v="0"/>
    <n v="0"/>
    <n v="0"/>
    <n v="0"/>
    <n v="2.75"/>
    <d v="2020-08-20T00:00:00"/>
    <n v="1"/>
    <n v="0.91059602649006621"/>
    <s v="Serioranistii"/>
  </r>
  <r>
    <x v="37"/>
    <s v="M"/>
    <n v="12"/>
    <n v="10.199999999999999"/>
    <d v="1899-12-30T00:39:52"/>
    <n v="13"/>
    <d v="1899-12-30T00:03:55"/>
    <n v="2.5"/>
    <n v="5"/>
    <n v="4"/>
    <x v="0"/>
    <n v="0.25"/>
    <n v="0.25"/>
    <n v="0.5"/>
    <n v="0"/>
    <n v="0"/>
    <n v="0.30000000000000004"/>
    <n v="0"/>
    <n v="4.1749999999999998"/>
    <d v="2020-08-22T00:00:00"/>
    <n v="1"/>
    <n v="0.40931372549019607"/>
    <s v="Serioranistii"/>
  </r>
  <r>
    <x v="38"/>
    <s v="F"/>
    <n v="12"/>
    <n v="6.52"/>
    <d v="1899-12-30T00:37:22"/>
    <n v="24"/>
    <d v="1899-12-30T00:05:44"/>
    <n v="2"/>
    <n v="2.5"/>
    <n v="2.5"/>
    <x v="2"/>
    <n v="0.5"/>
    <n v="0.25"/>
    <n v="0.25"/>
    <n v="0"/>
    <n v="0"/>
    <n v="0"/>
    <n v="0"/>
    <n v="2.25"/>
    <d v="2020-08-22T00:00:00"/>
    <n v="1"/>
    <n v="0.34509202453987731"/>
    <s v="X Æ A-12"/>
  </r>
  <r>
    <x v="12"/>
    <s v="M"/>
    <n v="12"/>
    <n v="19.324089999999998"/>
    <d v="1899-12-30T01:38:40"/>
    <n v="0"/>
    <d v="1899-12-30T00:05:06"/>
    <n v="4.5"/>
    <n v="2.5"/>
    <n v="2"/>
    <x v="1"/>
    <n v="0.25"/>
    <n v="0.5"/>
    <n v="0.25"/>
    <n v="0"/>
    <n v="0"/>
    <n v="0"/>
    <n v="0"/>
    <n v="2.875"/>
    <d v="2020-08-19T00:00:00"/>
    <n v="1"/>
    <n v="0.14877802783986208"/>
    <s v="X Æ A-12"/>
  </r>
  <r>
    <x v="36"/>
    <s v="M"/>
    <n v="12"/>
    <n v="12.78"/>
    <d v="1899-12-30T01:12:35"/>
    <n v="160"/>
    <d v="1899-12-30T00:05:41"/>
    <n v="3"/>
    <n v="1.5"/>
    <n v="3.5"/>
    <x v="0"/>
    <n v="0.25"/>
    <n v="0.25"/>
    <n v="0.5"/>
    <n v="0.10666666666666667"/>
    <n v="0"/>
    <n v="0"/>
    <n v="0"/>
    <n v="2.9816666666666665"/>
    <d v="2020-08-20T00:00:00"/>
    <n v="1"/>
    <n v="0.23330725091288471"/>
    <s v=" Let it run"/>
  </r>
  <r>
    <x v="23"/>
    <s v="F"/>
    <n v="12"/>
    <n v="6"/>
    <d v="1899-12-30T00:49:59"/>
    <n v="0"/>
    <d v="1899-12-30T00:08:20"/>
    <n v="1.5"/>
    <n v="1"/>
    <n v="2.5"/>
    <x v="1"/>
    <n v="0.25"/>
    <n v="0.5"/>
    <n v="0.25"/>
    <n v="0"/>
    <n v="0"/>
    <n v="0"/>
    <n v="0.5"/>
    <n v="2"/>
    <d v="2020-08-18T00:00:00"/>
    <n v="1"/>
    <n v="0.33333333333333331"/>
    <s v="Serioranistii"/>
  </r>
  <r>
    <x v="13"/>
    <s v="M"/>
    <n v="12"/>
    <n v="14.81"/>
    <d v="1899-12-30T01:18:46"/>
    <n v="20"/>
    <d v="1899-12-30T00:05:19"/>
    <n v="3"/>
    <n v="2"/>
    <n v="1"/>
    <x v="0"/>
    <n v="0.25"/>
    <n v="0.25"/>
    <n v="0.5"/>
    <n v="0"/>
    <n v="0"/>
    <n v="0"/>
    <n v="0"/>
    <n v="1.75"/>
    <d v="2020-08-20T00:00:00"/>
    <n v="1"/>
    <n v="0.11816340310600945"/>
    <s v="Tenchei"/>
  </r>
  <r>
    <x v="1"/>
    <s v="M"/>
    <n v="12"/>
    <n v="3.01"/>
    <d v="1899-12-30T00:13:15"/>
    <n v="0"/>
    <d v="1899-12-30T00:04:24"/>
    <n v="1"/>
    <n v="4"/>
    <n v="4"/>
    <x v="1"/>
    <n v="0.25"/>
    <n v="0.5"/>
    <n v="0.25"/>
    <n v="0"/>
    <n v="0"/>
    <n v="0"/>
    <n v="0"/>
    <n v="3.25"/>
    <d v="2020-08-22T00:00:00"/>
    <n v="1"/>
    <n v="1.0797342192691031"/>
    <s v="Serioranistii"/>
  </r>
  <r>
    <x v="15"/>
    <s v="M"/>
    <n v="12"/>
    <n v="21.11"/>
    <d v="1899-12-30T01:38:08"/>
    <n v="61"/>
    <d v="1899-12-30T00:04:39"/>
    <n v="5"/>
    <n v="3.5"/>
    <n v="1.5"/>
    <x v="1"/>
    <n v="0.25"/>
    <n v="0.5"/>
    <n v="0.25"/>
    <n v="0"/>
    <n v="0"/>
    <n v="0"/>
    <n v="0"/>
    <n v="3.375"/>
    <d v="2020-08-23T00:00:00"/>
    <n v="1"/>
    <n v="0.15987683562292754"/>
    <s v=" Let it run"/>
  </r>
  <r>
    <x v="19"/>
    <s v="M"/>
    <n v="12"/>
    <n v="9.7200000000000006"/>
    <d v="1899-12-30T00:53:40"/>
    <n v="23"/>
    <d v="1899-12-30T00:05:31"/>
    <n v="2.5"/>
    <n v="1.5"/>
    <n v="4"/>
    <x v="0"/>
    <n v="0.25"/>
    <n v="0.25"/>
    <n v="0.5"/>
    <n v="0"/>
    <n v="0"/>
    <n v="0"/>
    <n v="0"/>
    <n v="3"/>
    <d v="2020-08-21T00:00:00"/>
    <n v="1"/>
    <n v="0.30864197530864196"/>
    <s v="Unicornii"/>
  </r>
  <r>
    <x v="11"/>
    <s v="M"/>
    <n v="12"/>
    <n v="8"/>
    <d v="1899-12-30T00:38:08"/>
    <n v="10"/>
    <d v="1899-12-30T00:04:46"/>
    <n v="2"/>
    <n v="3"/>
    <n v="3.5"/>
    <x v="1"/>
    <n v="0.25"/>
    <n v="0.5"/>
    <n v="0.25"/>
    <n v="0"/>
    <n v="0"/>
    <n v="0"/>
    <n v="0"/>
    <n v="2.875"/>
    <d v="2020-08-23T00:00:00"/>
    <n v="1"/>
    <n v="0.359375"/>
    <s v="Unicornii"/>
  </r>
  <r>
    <x v="2"/>
    <s v="F"/>
    <n v="12"/>
    <n v="5.01"/>
    <d v="1899-12-30T00:23:58"/>
    <n v="0"/>
    <d v="1899-12-30T00:04:47"/>
    <n v="1.5"/>
    <n v="4"/>
    <n v="3.5"/>
    <x v="1"/>
    <n v="0.25"/>
    <n v="0.5"/>
    <n v="0.25"/>
    <n v="0"/>
    <n v="0"/>
    <n v="0"/>
    <n v="0"/>
    <n v="3.25"/>
    <d v="2020-08-23T00:00:00"/>
    <n v="1"/>
    <n v="0.64870259481037928"/>
    <s v="Unicornii"/>
  </r>
  <r>
    <x v="8"/>
    <s v="F"/>
    <n v="12"/>
    <n v="19.350000000000001"/>
    <d v="1899-12-30T04:01:58"/>
    <n v="1634"/>
    <d v="1899-12-30T00:12:30"/>
    <n v="4.5"/>
    <n v="0"/>
    <n v="4"/>
    <x v="1"/>
    <n v="0.25"/>
    <n v="0.5"/>
    <n v="0.25"/>
    <n v="1.0893333333333333"/>
    <n v="0"/>
    <n v="0"/>
    <n v="0"/>
    <n v="3.2143333333333333"/>
    <d v="2020-08-22T00:00:00"/>
    <n v="1"/>
    <n v="0.16611541774332469"/>
    <s v="X Æ A-12"/>
  </r>
  <r>
    <x v="16"/>
    <s v="M"/>
    <n v="12"/>
    <n v="25.02"/>
    <d v="1899-12-30T01:56:00"/>
    <n v="3"/>
    <d v="1899-12-30T00:04:38"/>
    <n v="5"/>
    <n v="3.5"/>
    <n v="3.5"/>
    <x v="1"/>
    <n v="0.25"/>
    <n v="0.5"/>
    <n v="0.25"/>
    <n v="0"/>
    <n v="0"/>
    <n v="0"/>
    <n v="0"/>
    <n v="3.875"/>
    <d v="2020-08-21T00:00:00"/>
    <n v="1"/>
    <n v="0.15487609912070344"/>
    <s v="X Æ A-12"/>
  </r>
  <r>
    <x v="3"/>
    <s v="M"/>
    <n v="12"/>
    <n v="24.04"/>
    <d v="1899-12-30T02:09:36"/>
    <n v="54"/>
    <d v="1899-12-30T00:05:23"/>
    <n v="5"/>
    <n v="2"/>
    <n v="4.5"/>
    <x v="1"/>
    <n v="0.25"/>
    <n v="0.5"/>
    <n v="0.25"/>
    <n v="0"/>
    <n v="0"/>
    <n v="0"/>
    <n v="0"/>
    <n v="3.375"/>
    <d v="2020-08-17T00:00:00"/>
    <n v="1"/>
    <n v="0.14039101497504161"/>
    <s v="Tenchei"/>
  </r>
  <r>
    <x v="7"/>
    <s v="M"/>
    <n v="12"/>
    <n v="26.01"/>
    <d v="1899-12-30T02:07:56"/>
    <n v="57"/>
    <d v="1899-12-30T00:04:55"/>
    <n v="5"/>
    <n v="3"/>
    <n v="4"/>
    <x v="1"/>
    <n v="0.25"/>
    <n v="0.5"/>
    <n v="0.25"/>
    <n v="0"/>
    <n v="0.1"/>
    <n v="0"/>
    <n v="0"/>
    <n v="3.85"/>
    <d v="2020-08-22T00:00:00"/>
    <n v="1"/>
    <n v="0.14801999231064975"/>
    <s v=" Let it run"/>
  </r>
  <r>
    <x v="18"/>
    <s v="M"/>
    <n v="12"/>
    <n v="21.83"/>
    <d v="1899-12-30T02:14:03"/>
    <n v="0"/>
    <d v="1899-12-30T00:06:08"/>
    <n v="5"/>
    <n v="1"/>
    <n v="3"/>
    <x v="1"/>
    <n v="0.25"/>
    <n v="0.5"/>
    <n v="0.25"/>
    <n v="0"/>
    <n v="0"/>
    <n v="0"/>
    <n v="0"/>
    <n v="2.5"/>
    <d v="2020-08-23T00:00:00"/>
    <n v="1"/>
    <n v="0.11452130096197893"/>
    <s v="Tenchei"/>
  </r>
  <r>
    <x v="0"/>
    <s v="M"/>
    <n v="12"/>
    <n v="14.01"/>
    <d v="1899-12-30T01:08:46"/>
    <n v="262"/>
    <d v="1899-12-30T00:04:55"/>
    <n v="3"/>
    <n v="3"/>
    <n v="3.5"/>
    <x v="1"/>
    <n v="0.25"/>
    <n v="0.5"/>
    <n v="0.25"/>
    <n v="0.17466666666666666"/>
    <n v="0"/>
    <n v="0"/>
    <n v="0"/>
    <n v="3.2996666666666665"/>
    <d v="2020-08-18T00:00:00"/>
    <n v="1"/>
    <n v="0.23552224601475136"/>
    <s v="Serioranistii"/>
  </r>
  <r>
    <x v="9"/>
    <s v="M"/>
    <n v="12"/>
    <n v="5.31"/>
    <d v="1899-12-30T00:23:50"/>
    <n v="30"/>
    <d v="1899-12-30T00:04:29"/>
    <n v="1.5"/>
    <n v="4"/>
    <n v="4"/>
    <x v="2"/>
    <n v="0.5"/>
    <n v="0.25"/>
    <n v="0.25"/>
    <n v="0"/>
    <n v="0"/>
    <n v="0"/>
    <n v="0"/>
    <n v="2.75"/>
    <d v="2020-08-22T00:00:00"/>
    <n v="1"/>
    <n v="0.51789077212806034"/>
    <s v="X Æ A-12"/>
  </r>
  <r>
    <x v="17"/>
    <s v="M"/>
    <n v="12"/>
    <n v="5.43"/>
    <d v="1899-12-30T00:35:02"/>
    <n v="77"/>
    <d v="1899-12-30T00:06:27"/>
    <n v="1.5"/>
    <n v="1"/>
    <n v="3"/>
    <x v="0"/>
    <n v="0.25"/>
    <n v="0.25"/>
    <n v="0.5"/>
    <n v="0"/>
    <n v="0"/>
    <n v="0"/>
    <n v="0.5"/>
    <n v="2.625"/>
    <d v="2020-08-18T00:00:00"/>
    <n v="1"/>
    <n v="0.48342541436464093"/>
    <s v="Serioranistii"/>
  </r>
  <r>
    <x v="20"/>
    <s v="M"/>
    <n v="12"/>
    <n v="34.729999999999997"/>
    <d v="1899-12-30T03:16:13"/>
    <n v="663"/>
    <d v="1899-12-30T00:05:39"/>
    <n v="5"/>
    <n v="1.5"/>
    <n v="3.5"/>
    <x v="0"/>
    <n v="0.25"/>
    <n v="0.25"/>
    <n v="0.5"/>
    <n v="0.442"/>
    <n v="0.2"/>
    <n v="0"/>
    <n v="0"/>
    <n v="4.0170000000000003"/>
    <d v="2020-08-22T00:00:00"/>
    <n v="1"/>
    <n v="0.1156636913331414"/>
    <s v="Tenchei"/>
  </r>
  <r>
    <x v="25"/>
    <s v="M"/>
    <n v="12"/>
    <n v="3"/>
    <d v="1899-12-30T00:09:58"/>
    <n v="18"/>
    <d v="1899-12-30T00:03:19"/>
    <n v="1"/>
    <n v="5"/>
    <n v="3.5"/>
    <x v="1"/>
    <n v="0.25"/>
    <n v="0.5"/>
    <n v="0.25"/>
    <n v="0"/>
    <n v="0"/>
    <n v="4.5"/>
    <n v="0"/>
    <n v="8.125"/>
    <d v="2020-08-21T00:00:00"/>
    <n v="1"/>
    <n v="2.7083333333333335"/>
    <s v="Tenchei"/>
  </r>
  <r>
    <x v="21"/>
    <s v="M"/>
    <n v="12"/>
    <n v="15.12"/>
    <d v="1899-12-30T01:56:18"/>
    <n v="811"/>
    <d v="1899-12-30T00:07:42"/>
    <n v="3.5"/>
    <n v="1"/>
    <n v="4.5"/>
    <x v="0"/>
    <n v="0.25"/>
    <n v="0.25"/>
    <n v="0.5"/>
    <n v="0.54066666666666663"/>
    <n v="0"/>
    <n v="0"/>
    <n v="0"/>
    <n v="3.9156666666666666"/>
    <d v="2020-08-23T00:00:00"/>
    <n v="1"/>
    <n v="0.25897266313932982"/>
    <s v="Serioranistii"/>
  </r>
  <r>
    <x v="14"/>
    <s v="F"/>
    <n v="12"/>
    <n v="11.01"/>
    <d v="1899-12-30T00:58:06"/>
    <n v="18"/>
    <d v="1899-12-30T00:05:17"/>
    <n v="2.5"/>
    <n v="3"/>
    <n v="3.5"/>
    <x v="1"/>
    <n v="0.25"/>
    <n v="0.5"/>
    <n v="0.25"/>
    <n v="0"/>
    <n v="0"/>
    <n v="0"/>
    <n v="0"/>
    <n v="3"/>
    <d v="2020-08-19T00:00:00"/>
    <n v="1"/>
    <n v="0.27247956403269757"/>
    <s v="X Æ A-12"/>
  </r>
  <r>
    <x v="24"/>
    <s v="M"/>
    <n v="12"/>
    <n v="10.66"/>
    <d v="1899-12-30T00:52:00"/>
    <n v="72"/>
    <d v="1899-12-30T00:04:53"/>
    <n v="2.5"/>
    <n v="3"/>
    <n v="4"/>
    <x v="0"/>
    <n v="0.25"/>
    <n v="0.25"/>
    <n v="0.5"/>
    <n v="0"/>
    <n v="0"/>
    <n v="0"/>
    <n v="0"/>
    <n v="3.375"/>
    <d v="2020-08-18T00:00:00"/>
    <n v="1"/>
    <n v="0.31660412757973733"/>
    <s v="Unicornii"/>
  </r>
  <r>
    <x v="29"/>
    <s v="M"/>
    <n v="12"/>
    <n v="12.4"/>
    <d v="1899-12-30T01:25:35"/>
    <n v="5"/>
    <d v="1899-12-30T00:06:54"/>
    <n v="3"/>
    <n v="1"/>
    <n v="4"/>
    <x v="1"/>
    <n v="0.25"/>
    <n v="0.5"/>
    <n v="0.25"/>
    <n v="0"/>
    <n v="0"/>
    <n v="0"/>
    <n v="0"/>
    <n v="2.25"/>
    <d v="2020-08-22T00:00:00"/>
    <n v="1"/>
    <n v="0.18145161290322581"/>
    <s v="Unicornii"/>
  </r>
  <r>
    <x v="5"/>
    <s v="M"/>
    <n v="12"/>
    <n v="12.01"/>
    <d v="1899-12-30T00:56:00"/>
    <n v="20"/>
    <d v="1899-12-30T00:04:40"/>
    <n v="3"/>
    <n v="3.5"/>
    <n v="1"/>
    <x v="1"/>
    <n v="0.25"/>
    <n v="0.5"/>
    <n v="0.25"/>
    <n v="0"/>
    <n v="0"/>
    <n v="0"/>
    <n v="0"/>
    <n v="2.75"/>
    <d v="2020-08-19T00:00:00"/>
    <n v="1"/>
    <n v="0.22897585345545379"/>
    <s v="X Æ A-12"/>
  </r>
  <r>
    <x v="6"/>
    <s v="F"/>
    <n v="12"/>
    <n v="8"/>
    <d v="1899-12-30T00:54:54"/>
    <n v="8"/>
    <d v="1899-12-30T00:06:52"/>
    <n v="2"/>
    <n v="1"/>
    <n v="3"/>
    <x v="1"/>
    <n v="0.25"/>
    <n v="0.5"/>
    <n v="0.25"/>
    <n v="0"/>
    <n v="0"/>
    <n v="0"/>
    <n v="0.75"/>
    <n v="2.5"/>
    <d v="2020-08-21T00:00:00"/>
    <n v="1"/>
    <n v="0.3125"/>
    <s v="Tenche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3" applyNumberFormats="0" applyBorderFormats="0" applyFontFormats="0" applyPatternFormats="0" applyAlignmentFormats="0" applyWidthHeightFormats="1" dataCaption="Values" grandTotalCaption="Total prezente" updatedVersion="3" minRefreshableVersion="3" showCalcMbrs="0" useAutoFormatting="1" itemPrintTitles="1" createdVersion="3" indent="0" outline="1" outlineData="1" multipleFieldFilters="0" colHeaderCaption="D/V/P">
  <location ref="A1:E43" firstHeaderRow="1" firstDataRow="2" firstDataCol="1"/>
  <pivotFields count="23">
    <pivotField axis="axisRow" showAll="0">
      <items count="41">
        <item x="34"/>
        <item x="15"/>
        <item x="35"/>
        <item x="25"/>
        <item x="4"/>
        <item x="9"/>
        <item x="32"/>
        <item x="38"/>
        <item x="18"/>
        <item x="28"/>
        <item x="1"/>
        <item x="0"/>
        <item x="31"/>
        <item x="12"/>
        <item x="13"/>
        <item x="11"/>
        <item x="36"/>
        <item x="23"/>
        <item x="27"/>
        <item x="14"/>
        <item x="37"/>
        <item x="16"/>
        <item x="19"/>
        <item x="3"/>
        <item x="29"/>
        <item x="8"/>
        <item x="26"/>
        <item x="33"/>
        <item x="17"/>
        <item x="10"/>
        <item x="2"/>
        <item x="24"/>
        <item x="21"/>
        <item x="6"/>
        <item x="30"/>
        <item x="20"/>
        <item x="39"/>
        <item x="22"/>
        <item x="5"/>
        <item x="7"/>
        <item t="default"/>
      </items>
    </pivotField>
    <pivotField showAll="0"/>
    <pivotField showAll="0"/>
    <pivotField showAll="0"/>
    <pivotField showAll="0"/>
    <pivotField showAll="0"/>
    <pivotField showAll="0"/>
    <pivotField showAll="0"/>
    <pivotField showAll="0"/>
    <pivotField showAll="0"/>
    <pivotField axis="axisCol" dataField="1" showAll="0">
      <items count="5">
        <item x="1"/>
        <item x="2"/>
        <item x="0"/>
        <item h="1" x="3"/>
        <item t="default"/>
      </items>
    </pivotField>
    <pivotField numFmtId="9" showAll="0"/>
    <pivotField numFmtId="9" showAll="0"/>
    <pivotField numFmtId="9" showAll="0"/>
    <pivotField numFmtId="164" showAll="0"/>
    <pivotField numFmtId="166" showAll="0"/>
    <pivotField showAll="0"/>
    <pivotField numFmtId="166" showAll="0"/>
    <pivotField showAll="0"/>
    <pivotField showAll="0"/>
    <pivotField showAll="0"/>
    <pivotField showAll="0"/>
    <pivotField showAll="0"/>
  </pivotFields>
  <rowFields count="1">
    <field x="0"/>
  </rowFields>
  <rowItems count="4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t="grand">
      <x/>
    </i>
  </rowItems>
  <colFields count="1">
    <field x="10"/>
  </colFields>
  <colItems count="4">
    <i>
      <x/>
    </i>
    <i>
      <x v="1"/>
    </i>
    <i>
      <x v="2"/>
    </i>
    <i t="grand">
      <x/>
    </i>
  </colItems>
  <dataFields count="1">
    <dataField name="Count of Tip" fld="10" subtotal="count" baseField="0" baseItem="0"/>
  </dataFields>
  <formats count="111">
    <format dxfId="110">
      <pivotArea dataOnly="0" labelOnly="1" fieldPosition="0">
        <references count="1">
          <reference field="10" count="0"/>
        </references>
      </pivotArea>
    </format>
    <format dxfId="109">
      <pivotArea dataOnly="0" labelOnly="1" grandCol="1" outline="0" fieldPosition="0"/>
    </format>
    <format dxfId="108">
      <pivotArea collapsedLevelsAreSubtotals="1" fieldPosition="0">
        <references count="2">
          <reference field="0" count="1">
            <x v="37"/>
          </reference>
          <reference field="10" count="1" selected="0">
            <x v="0"/>
          </reference>
        </references>
      </pivotArea>
    </format>
    <format dxfId="107">
      <pivotArea type="all" dataOnly="0" outline="0" fieldPosition="0"/>
    </format>
    <format dxfId="106">
      <pivotArea collapsedLevelsAreSubtotals="1" fieldPosition="0">
        <references count="1">
          <reference field="0" count="0"/>
        </references>
      </pivotArea>
    </format>
    <format dxfId="105">
      <pivotArea dataOnly="0" labelOnly="1" fieldPosition="0">
        <references count="1">
          <reference field="0" count="0"/>
        </references>
      </pivotArea>
    </format>
    <format dxfId="104">
      <pivotArea collapsedLevelsAreSubtotals="1" fieldPosition="0">
        <references count="2">
          <reference field="0" count="1">
            <x v="28"/>
          </reference>
          <reference field="10" count="1" selected="0">
            <x v="1"/>
          </reference>
        </references>
      </pivotArea>
    </format>
    <format dxfId="103">
      <pivotArea collapsedLevelsAreSubtotals="1" fieldPosition="0">
        <references count="2">
          <reference field="0" count="1">
            <x v="28"/>
          </reference>
          <reference field="10" count="1" selected="0">
            <x v="1"/>
          </reference>
        </references>
      </pivotArea>
    </format>
    <format dxfId="102">
      <pivotArea type="all" dataOnly="0" outline="0" fieldPosition="0"/>
    </format>
    <format dxfId="101">
      <pivotArea collapsedLevelsAreSubtotals="1" fieldPosition="0">
        <references count="1">
          <reference field="0" count="0"/>
        </references>
      </pivotArea>
    </format>
    <format dxfId="100">
      <pivotArea collapsedLevelsAreSubtotals="1" fieldPosition="0">
        <references count="2">
          <reference field="0" count="1">
            <x v="1"/>
          </reference>
          <reference field="10" count="1" selected="0">
            <x v="1"/>
          </reference>
        </references>
      </pivotArea>
    </format>
    <format dxfId="99">
      <pivotArea collapsedLevelsAreSubtotals="1" fieldPosition="0">
        <references count="2">
          <reference field="0" count="1">
            <x v="3"/>
          </reference>
          <reference field="10" count="1" selected="0">
            <x v="2"/>
          </reference>
        </references>
      </pivotArea>
    </format>
    <format dxfId="98">
      <pivotArea collapsedLevelsAreSubtotals="1" fieldPosition="0">
        <references count="2">
          <reference field="0" count="1">
            <x v="4"/>
          </reference>
          <reference field="10" count="1" selected="0">
            <x v="1"/>
          </reference>
        </references>
      </pivotArea>
    </format>
    <format dxfId="97">
      <pivotArea collapsedLevelsAreSubtotals="1" fieldPosition="0">
        <references count="2">
          <reference field="0" count="1">
            <x v="5"/>
          </reference>
          <reference field="10" count="1" selected="0">
            <x v="2"/>
          </reference>
        </references>
      </pivotArea>
    </format>
    <format dxfId="96">
      <pivotArea collapsedLevelsAreSubtotals="1" fieldPosition="0">
        <references count="2">
          <reference field="0" count="1">
            <x v="6"/>
          </reference>
          <reference field="10" count="1" selected="0">
            <x v="2"/>
          </reference>
        </references>
      </pivotArea>
    </format>
    <format dxfId="95">
      <pivotArea collapsedLevelsAreSubtotals="1" fieldPosition="0">
        <references count="2">
          <reference field="0" count="1">
            <x v="7"/>
          </reference>
          <reference field="10" count="1" selected="0">
            <x v="2"/>
          </reference>
        </references>
      </pivotArea>
    </format>
    <format dxfId="94">
      <pivotArea collapsedLevelsAreSubtotals="1" fieldPosition="0">
        <references count="2">
          <reference field="0" count="1">
            <x v="9"/>
          </reference>
          <reference field="10" count="1" selected="0">
            <x v="1"/>
          </reference>
        </references>
      </pivotArea>
    </format>
    <format dxfId="93">
      <pivotArea collapsedLevelsAreSubtotals="1" fieldPosition="0">
        <references count="2">
          <reference field="0" count="1">
            <x v="10"/>
          </reference>
          <reference field="10" count="1" selected="0">
            <x v="2"/>
          </reference>
        </references>
      </pivotArea>
    </format>
    <format dxfId="92">
      <pivotArea collapsedLevelsAreSubtotals="1" fieldPosition="0">
        <references count="2">
          <reference field="0" count="1">
            <x v="14"/>
          </reference>
          <reference field="10" count="1" selected="0">
            <x v="0"/>
          </reference>
        </references>
      </pivotArea>
    </format>
    <format dxfId="91">
      <pivotArea collapsedLevelsAreSubtotals="1" fieldPosition="0">
        <references count="2">
          <reference field="0" count="1">
            <x v="16"/>
          </reference>
          <reference field="10" count="1" selected="0">
            <x v="1"/>
          </reference>
        </references>
      </pivotArea>
    </format>
    <format dxfId="90">
      <pivotArea collapsedLevelsAreSubtotals="1" fieldPosition="0">
        <references count="2">
          <reference field="0" count="1">
            <x v="18"/>
          </reference>
          <reference field="10" count="1" selected="0">
            <x v="2"/>
          </reference>
        </references>
      </pivotArea>
    </format>
    <format dxfId="89">
      <pivotArea collapsedLevelsAreSubtotals="1" fieldPosition="0">
        <references count="2">
          <reference field="0" count="1">
            <x v="20"/>
          </reference>
          <reference field="10" count="1" selected="0">
            <x v="0"/>
          </reference>
        </references>
      </pivotArea>
    </format>
    <format dxfId="88">
      <pivotArea collapsedLevelsAreSubtotals="1" fieldPosition="0">
        <references count="2">
          <reference field="0" count="1">
            <x v="24"/>
          </reference>
          <reference field="10" count="1" selected="0">
            <x v="2"/>
          </reference>
        </references>
      </pivotArea>
    </format>
    <format dxfId="87">
      <pivotArea collapsedLevelsAreSubtotals="1" fieldPosition="0">
        <references count="2">
          <reference field="0" count="1">
            <x v="25"/>
          </reference>
          <reference field="10" count="1" selected="0">
            <x v="1"/>
          </reference>
        </references>
      </pivotArea>
    </format>
    <format dxfId="86">
      <pivotArea collapsedLevelsAreSubtotals="1" fieldPosition="0">
        <references count="2">
          <reference field="0" count="1">
            <x v="26"/>
          </reference>
          <reference field="10" count="1" selected="0">
            <x v="1"/>
          </reference>
        </references>
      </pivotArea>
    </format>
    <format dxfId="85">
      <pivotArea collapsedLevelsAreSubtotals="1" fieldPosition="0">
        <references count="2">
          <reference field="0" count="1">
            <x v="28"/>
          </reference>
          <reference field="10" count="1" selected="0">
            <x v="1"/>
          </reference>
        </references>
      </pivotArea>
    </format>
    <format dxfId="84">
      <pivotArea collapsedLevelsAreSubtotals="1" fieldPosition="0">
        <references count="2">
          <reference field="0" count="1">
            <x v="29"/>
          </reference>
          <reference field="10" count="1" selected="0">
            <x v="2"/>
          </reference>
        </references>
      </pivotArea>
    </format>
    <format dxfId="83">
      <pivotArea collapsedLevelsAreSubtotals="1" fieldPosition="0">
        <references count="2">
          <reference field="0" count="1">
            <x v="30"/>
          </reference>
          <reference field="10" count="1" selected="0">
            <x v="1"/>
          </reference>
        </references>
      </pivotArea>
    </format>
    <format dxfId="82">
      <pivotArea collapsedLevelsAreSubtotals="1" fieldPosition="0">
        <references count="2">
          <reference field="0" count="1">
            <x v="32"/>
          </reference>
          <reference field="10" count="1" selected="0">
            <x v="1"/>
          </reference>
        </references>
      </pivotArea>
    </format>
    <format dxfId="81">
      <pivotArea collapsedLevelsAreSubtotals="1" fieldPosition="0">
        <references count="2">
          <reference field="0" count="1">
            <x v="34"/>
          </reference>
          <reference field="10" count="1" selected="0">
            <x v="1"/>
          </reference>
        </references>
      </pivotArea>
    </format>
    <format dxfId="80">
      <pivotArea collapsedLevelsAreSubtotals="1" fieldPosition="0">
        <references count="2">
          <reference field="0" count="1">
            <x v="34"/>
          </reference>
          <reference field="10" count="1" selected="0">
            <x v="2"/>
          </reference>
        </references>
      </pivotArea>
    </format>
    <format dxfId="79">
      <pivotArea collapsedLevelsAreSubtotals="1" fieldPosition="0">
        <references count="2">
          <reference field="0" count="1">
            <x v="35"/>
          </reference>
          <reference field="10" count="1" selected="0">
            <x v="0"/>
          </reference>
        </references>
      </pivotArea>
    </format>
    <format dxfId="78">
      <pivotArea collapsedLevelsAreSubtotals="1" fieldPosition="0">
        <references count="2">
          <reference field="0" count="1">
            <x v="38"/>
          </reference>
          <reference field="10" count="1" selected="0">
            <x v="2"/>
          </reference>
        </references>
      </pivotArea>
    </format>
    <format dxfId="77">
      <pivotArea collapsedLevelsAreSubtotals="1" fieldPosition="0">
        <references count="2">
          <reference field="0" count="1">
            <x v="1"/>
          </reference>
          <reference field="10" count="1" selected="0">
            <x v="1"/>
          </reference>
        </references>
      </pivotArea>
    </format>
    <format dxfId="76">
      <pivotArea collapsedLevelsAreSubtotals="1" fieldPosition="0">
        <references count="2">
          <reference field="0" count="1">
            <x v="3"/>
          </reference>
          <reference field="10" count="1" selected="0">
            <x v="2"/>
          </reference>
        </references>
      </pivotArea>
    </format>
    <format dxfId="75">
      <pivotArea collapsedLevelsAreSubtotals="1" fieldPosition="0">
        <references count="2">
          <reference field="0" count="1">
            <x v="4"/>
          </reference>
          <reference field="10" count="1" selected="0">
            <x v="1"/>
          </reference>
        </references>
      </pivotArea>
    </format>
    <format dxfId="74">
      <pivotArea collapsedLevelsAreSubtotals="1" fieldPosition="0">
        <references count="2">
          <reference field="0" count="1">
            <x v="5"/>
          </reference>
          <reference field="10" count="1" selected="0">
            <x v="2"/>
          </reference>
        </references>
      </pivotArea>
    </format>
    <format dxfId="73">
      <pivotArea collapsedLevelsAreSubtotals="1" fieldPosition="0">
        <references count="2">
          <reference field="0" count="1">
            <x v="6"/>
          </reference>
          <reference field="10" count="1" selected="0">
            <x v="2"/>
          </reference>
        </references>
      </pivotArea>
    </format>
    <format dxfId="72">
      <pivotArea collapsedLevelsAreSubtotals="1" fieldPosition="0">
        <references count="2">
          <reference field="0" count="1">
            <x v="7"/>
          </reference>
          <reference field="10" count="1" selected="0">
            <x v="2"/>
          </reference>
        </references>
      </pivotArea>
    </format>
    <format dxfId="71">
      <pivotArea collapsedLevelsAreSubtotals="1" fieldPosition="0">
        <references count="2">
          <reference field="0" count="1">
            <x v="9"/>
          </reference>
          <reference field="10" count="1" selected="0">
            <x v="1"/>
          </reference>
        </references>
      </pivotArea>
    </format>
    <format dxfId="70">
      <pivotArea collapsedLevelsAreSubtotals="1" fieldPosition="0">
        <references count="2">
          <reference field="0" count="1">
            <x v="10"/>
          </reference>
          <reference field="10" count="1" selected="0">
            <x v="2"/>
          </reference>
        </references>
      </pivotArea>
    </format>
    <format dxfId="69">
      <pivotArea collapsedLevelsAreSubtotals="1" fieldPosition="0">
        <references count="2">
          <reference field="0" count="1">
            <x v="14"/>
          </reference>
          <reference field="10" count="1" selected="0">
            <x v="0"/>
          </reference>
        </references>
      </pivotArea>
    </format>
    <format dxfId="68">
      <pivotArea collapsedLevelsAreSubtotals="1" fieldPosition="0">
        <references count="2">
          <reference field="0" count="1">
            <x v="16"/>
          </reference>
          <reference field="10" count="1" selected="0">
            <x v="1"/>
          </reference>
        </references>
      </pivotArea>
    </format>
    <format dxfId="67">
      <pivotArea collapsedLevelsAreSubtotals="1" fieldPosition="0">
        <references count="2">
          <reference field="0" count="1">
            <x v="18"/>
          </reference>
          <reference field="10" count="1" selected="0">
            <x v="2"/>
          </reference>
        </references>
      </pivotArea>
    </format>
    <format dxfId="66">
      <pivotArea collapsedLevelsAreSubtotals="1" fieldPosition="0">
        <references count="2">
          <reference field="0" count="1">
            <x v="20"/>
          </reference>
          <reference field="10" count="1" selected="0">
            <x v="0"/>
          </reference>
        </references>
      </pivotArea>
    </format>
    <format dxfId="65">
      <pivotArea collapsedLevelsAreSubtotals="1" fieldPosition="0">
        <references count="2">
          <reference field="0" count="1">
            <x v="24"/>
          </reference>
          <reference field="10" count="1" selected="0">
            <x v="2"/>
          </reference>
        </references>
      </pivotArea>
    </format>
    <format dxfId="64">
      <pivotArea collapsedLevelsAreSubtotals="1" fieldPosition="0">
        <references count="2">
          <reference field="0" count="1">
            <x v="25"/>
          </reference>
          <reference field="10" count="1" selected="0">
            <x v="1"/>
          </reference>
        </references>
      </pivotArea>
    </format>
    <format dxfId="63">
      <pivotArea collapsedLevelsAreSubtotals="1" fieldPosition="0">
        <references count="2">
          <reference field="0" count="1">
            <x v="26"/>
          </reference>
          <reference field="10" count="1" selected="0">
            <x v="1"/>
          </reference>
        </references>
      </pivotArea>
    </format>
    <format dxfId="62">
      <pivotArea collapsedLevelsAreSubtotals="1" fieldPosition="0">
        <references count="2">
          <reference field="0" count="1">
            <x v="28"/>
          </reference>
          <reference field="10" count="1" selected="0">
            <x v="1"/>
          </reference>
        </references>
      </pivotArea>
    </format>
    <format dxfId="61">
      <pivotArea collapsedLevelsAreSubtotals="1" fieldPosition="0">
        <references count="2">
          <reference field="0" count="1">
            <x v="29"/>
          </reference>
          <reference field="10" count="1" selected="0">
            <x v="2"/>
          </reference>
        </references>
      </pivotArea>
    </format>
    <format dxfId="60">
      <pivotArea collapsedLevelsAreSubtotals="1" fieldPosition="0">
        <references count="2">
          <reference field="0" count="1">
            <x v="30"/>
          </reference>
          <reference field="10" count="1" selected="0">
            <x v="1"/>
          </reference>
        </references>
      </pivotArea>
    </format>
    <format dxfId="59">
      <pivotArea collapsedLevelsAreSubtotals="1" fieldPosition="0">
        <references count="2">
          <reference field="0" count="1">
            <x v="32"/>
          </reference>
          <reference field="10" count="1" selected="0">
            <x v="1"/>
          </reference>
        </references>
      </pivotArea>
    </format>
    <format dxfId="58">
      <pivotArea collapsedLevelsAreSubtotals="1" fieldPosition="0">
        <references count="2">
          <reference field="0" count="1">
            <x v="34"/>
          </reference>
          <reference field="10" count="1" selected="0">
            <x v="1"/>
          </reference>
        </references>
      </pivotArea>
    </format>
    <format dxfId="57">
      <pivotArea collapsedLevelsAreSubtotals="1" fieldPosition="0">
        <references count="2">
          <reference field="0" count="1">
            <x v="34"/>
          </reference>
          <reference field="10" count="1" selected="0">
            <x v="2"/>
          </reference>
        </references>
      </pivotArea>
    </format>
    <format dxfId="56">
      <pivotArea collapsedLevelsAreSubtotals="1" fieldPosition="0">
        <references count="2">
          <reference field="0" count="1">
            <x v="35"/>
          </reference>
          <reference field="10" count="1" selected="0">
            <x v="0"/>
          </reference>
        </references>
      </pivotArea>
    </format>
    <format dxfId="55">
      <pivotArea collapsedLevelsAreSubtotals="1" fieldPosition="0">
        <references count="2">
          <reference field="0" count="1">
            <x v="38"/>
          </reference>
          <reference field="10" count="1" selected="0">
            <x v="2"/>
          </reference>
        </references>
      </pivotArea>
    </format>
    <format dxfId="54">
      <pivotArea collapsedLevelsAreSubtotals="1" fieldPosition="0">
        <references count="2">
          <reference field="0" count="1">
            <x v="10"/>
          </reference>
          <reference field="10" count="1" selected="0">
            <x v="1"/>
          </reference>
        </references>
      </pivotArea>
    </format>
    <format dxfId="53">
      <pivotArea collapsedLevelsAreSubtotals="1" fieldPosition="0">
        <references count="2">
          <reference field="0" count="1">
            <x v="5"/>
          </reference>
          <reference field="10" count="1" selected="0">
            <x v="0"/>
          </reference>
        </references>
      </pivotArea>
    </format>
    <format dxfId="52">
      <pivotArea collapsedLevelsAreSubtotals="1" fieldPosition="0">
        <references count="2">
          <reference field="0" count="1">
            <x v="6"/>
          </reference>
          <reference field="10" count="1" selected="0">
            <x v="0"/>
          </reference>
        </references>
      </pivotArea>
    </format>
    <format dxfId="51">
      <pivotArea collapsedLevelsAreSubtotals="1" fieldPosition="0">
        <references count="2">
          <reference field="0" count="1">
            <x v="11"/>
          </reference>
          <reference field="10" count="1" selected="0">
            <x v="2"/>
          </reference>
        </references>
      </pivotArea>
    </format>
    <format dxfId="50">
      <pivotArea collapsedLevelsAreSubtotals="1" fieldPosition="0">
        <references count="2">
          <reference field="0" count="1">
            <x v="12"/>
          </reference>
          <reference field="10" count="1" selected="0">
            <x v="2"/>
          </reference>
        </references>
      </pivotArea>
    </format>
    <format dxfId="49">
      <pivotArea collapsedLevelsAreSubtotals="1" fieldPosition="0">
        <references count="2">
          <reference field="0" count="1">
            <x v="13"/>
          </reference>
          <reference field="10" count="1" selected="0">
            <x v="2"/>
          </reference>
        </references>
      </pivotArea>
    </format>
    <format dxfId="48">
      <pivotArea collapsedLevelsAreSubtotals="1" fieldPosition="0">
        <references count="2">
          <reference field="0" count="1">
            <x v="15"/>
          </reference>
          <reference field="10" count="1" selected="0">
            <x v="2"/>
          </reference>
        </references>
      </pivotArea>
    </format>
    <format dxfId="47">
      <pivotArea collapsedLevelsAreSubtotals="1" fieldPosition="0">
        <references count="2">
          <reference field="0" count="1">
            <x v="17"/>
          </reference>
          <reference field="10" count="1" selected="0">
            <x v="2"/>
          </reference>
        </references>
      </pivotArea>
    </format>
    <format dxfId="46">
      <pivotArea collapsedLevelsAreSubtotals="1" fieldPosition="0">
        <references count="2">
          <reference field="0" count="1">
            <x v="20"/>
          </reference>
          <reference field="10" count="1" selected="0">
            <x v="1"/>
          </reference>
        </references>
      </pivotArea>
    </format>
    <format dxfId="45">
      <pivotArea collapsedLevelsAreSubtotals="1" fieldPosition="0">
        <references count="2">
          <reference field="0" count="1">
            <x v="21"/>
          </reference>
          <reference field="10" count="1" selected="0">
            <x v="2"/>
          </reference>
        </references>
      </pivotArea>
    </format>
    <format dxfId="44">
      <pivotArea collapsedLevelsAreSubtotals="1" fieldPosition="0">
        <references count="2">
          <reference field="0" count="1">
            <x v="22"/>
          </reference>
          <reference field="10" count="1" selected="0">
            <x v="0"/>
          </reference>
        </references>
      </pivotArea>
    </format>
    <format dxfId="43">
      <pivotArea collapsedLevelsAreSubtotals="1" fieldPosition="0">
        <references count="2">
          <reference field="0" count="1">
            <x v="25"/>
          </reference>
          <reference field="10" count="1" selected="0">
            <x v="2"/>
          </reference>
        </references>
      </pivotArea>
    </format>
    <format dxfId="42">
      <pivotArea collapsedLevelsAreSubtotals="1" fieldPosition="0">
        <references count="2">
          <reference field="0" count="1">
            <x v="26"/>
          </reference>
          <reference field="10" count="1" selected="0">
            <x v="2"/>
          </reference>
        </references>
      </pivotArea>
    </format>
    <format dxfId="41">
      <pivotArea collapsedLevelsAreSubtotals="1" fieldPosition="0">
        <references count="2">
          <reference field="0" count="1">
            <x v="39"/>
          </reference>
          <reference field="10" count="1" selected="0">
            <x v="2"/>
          </reference>
        </references>
      </pivotArea>
    </format>
    <format dxfId="40">
      <pivotArea collapsedLevelsAreSubtotals="1" fieldPosition="0">
        <references count="2">
          <reference field="0" count="1">
            <x v="28"/>
          </reference>
          <reference field="10" count="1" selected="0">
            <x v="0"/>
          </reference>
        </references>
      </pivotArea>
    </format>
    <format dxfId="39">
      <pivotArea collapsedLevelsAreSubtotals="1" fieldPosition="0">
        <references count="2">
          <reference field="0" count="1">
            <x v="39"/>
          </reference>
          <reference field="10" count="1" selected="0">
            <x v="1"/>
          </reference>
        </references>
      </pivotArea>
    </format>
    <format dxfId="38">
      <pivotArea collapsedLevelsAreSubtotals="1" fieldPosition="0">
        <references count="2">
          <reference field="0" count="1">
            <x v="35"/>
          </reference>
          <reference field="10" count="1" selected="0">
            <x v="1"/>
          </reference>
        </references>
      </pivotArea>
    </format>
    <format dxfId="37">
      <pivotArea collapsedLevelsAreSubtotals="1" fieldPosition="0">
        <references count="2">
          <reference field="0" count="1">
            <x v="33"/>
          </reference>
          <reference field="10" count="1" selected="0">
            <x v="1"/>
          </reference>
        </references>
      </pivotArea>
    </format>
    <format dxfId="36">
      <pivotArea collapsedLevelsAreSubtotals="1" fieldPosition="0">
        <references count="2">
          <reference field="0" count="1">
            <x v="32"/>
          </reference>
          <reference field="10" count="1" selected="0">
            <x v="0"/>
          </reference>
        </references>
      </pivotArea>
    </format>
    <format dxfId="35">
      <pivotArea collapsedLevelsAreSubtotals="1" fieldPosition="0">
        <references count="2">
          <reference field="0" count="1">
            <x v="30"/>
          </reference>
          <reference field="10" count="1" selected="0">
            <x v="2"/>
          </reference>
        </references>
      </pivotArea>
    </format>
    <format dxfId="34">
      <pivotArea collapsedLevelsAreSubtotals="1" fieldPosition="0">
        <references count="2">
          <reference field="0" count="1">
            <x v="23"/>
          </reference>
          <reference field="10" count="1" selected="0">
            <x v="1"/>
          </reference>
        </references>
      </pivotArea>
    </format>
    <format dxfId="33">
      <pivotArea collapsedLevelsAreSubtotals="1" fieldPosition="0">
        <references count="2">
          <reference field="0" count="1">
            <x v="23"/>
          </reference>
          <reference field="10" count="1" selected="0">
            <x v="2"/>
          </reference>
        </references>
      </pivotArea>
    </format>
    <format dxfId="32">
      <pivotArea collapsedLevelsAreSubtotals="1" fieldPosition="0">
        <references count="2">
          <reference field="0" count="1">
            <x v="24"/>
          </reference>
          <reference field="10" count="1" selected="0">
            <x v="1"/>
          </reference>
        </references>
      </pivotArea>
    </format>
    <format dxfId="31">
      <pivotArea collapsedLevelsAreSubtotals="1" fieldPosition="0">
        <references count="2">
          <reference field="0" count="1">
            <x v="22"/>
          </reference>
          <reference field="10" count="1" selected="0">
            <x v="1"/>
          </reference>
        </references>
      </pivotArea>
    </format>
    <format dxfId="30">
      <pivotArea collapsedLevelsAreSubtotals="1" fieldPosition="0">
        <references count="2">
          <reference field="0" count="1">
            <x v="21"/>
          </reference>
          <reference field="10" count="1" selected="0">
            <x v="1"/>
          </reference>
        </references>
      </pivotArea>
    </format>
    <format dxfId="29">
      <pivotArea collapsedLevelsAreSubtotals="1" fieldPosition="0">
        <references count="2">
          <reference field="0" count="1">
            <x v="17"/>
          </reference>
          <reference field="10" count="1" selected="0">
            <x v="1"/>
          </reference>
        </references>
      </pivotArea>
    </format>
    <format dxfId="28">
      <pivotArea collapsedLevelsAreSubtotals="1" fieldPosition="0">
        <references count="2">
          <reference field="0" count="1">
            <x v="16"/>
          </reference>
          <reference field="10" count="1" selected="0">
            <x v="0"/>
          </reference>
        </references>
      </pivotArea>
    </format>
    <format dxfId="27">
      <pivotArea collapsedLevelsAreSubtotals="1" fieldPosition="0">
        <references count="2">
          <reference field="0" count="1">
            <x v="15"/>
          </reference>
          <reference field="10" count="1" selected="0">
            <x v="1"/>
          </reference>
        </references>
      </pivotArea>
    </format>
    <format dxfId="26">
      <pivotArea collapsedLevelsAreSubtotals="1" fieldPosition="0">
        <references count="2">
          <reference field="0" count="1">
            <x v="14"/>
          </reference>
          <reference field="10" count="1" selected="0">
            <x v="1"/>
          </reference>
        </references>
      </pivotArea>
    </format>
    <format dxfId="25">
      <pivotArea collapsedLevelsAreSubtotals="1" fieldPosition="0">
        <references count="2">
          <reference field="0" count="1">
            <x v="13"/>
          </reference>
          <reference field="10" count="1" selected="0">
            <x v="1"/>
          </reference>
        </references>
      </pivotArea>
    </format>
    <format dxfId="24">
      <pivotArea collapsedLevelsAreSubtotals="1" fieldPosition="0">
        <references count="2">
          <reference field="0" count="1">
            <x v="12"/>
          </reference>
          <reference field="10" count="1" selected="0">
            <x v="0"/>
          </reference>
        </references>
      </pivotArea>
    </format>
    <format dxfId="23">
      <pivotArea collapsedLevelsAreSubtotals="1" fieldPosition="0">
        <references count="2">
          <reference field="0" count="1">
            <x v="9"/>
          </reference>
          <reference field="10" count="1" selected="0">
            <x v="2"/>
          </reference>
        </references>
      </pivotArea>
    </format>
    <format dxfId="22">
      <pivotArea collapsedLevelsAreSubtotals="1" fieldPosition="0">
        <references count="2">
          <reference field="0" count="1">
            <x v="3"/>
          </reference>
          <reference field="10" count="1" selected="0">
            <x v="1"/>
          </reference>
        </references>
      </pivotArea>
    </format>
    <format dxfId="21">
      <pivotArea collapsedLevelsAreSubtotals="1" fieldPosition="0">
        <references count="2">
          <reference field="0" count="1">
            <x v="4"/>
          </reference>
          <reference field="10" count="1" selected="0">
            <x v="0"/>
          </reference>
        </references>
      </pivotArea>
    </format>
    <format dxfId="20">
      <pivotArea collapsedLevelsAreSubtotals="1" fieldPosition="0">
        <references count="2">
          <reference field="0" count="1">
            <x v="1"/>
          </reference>
          <reference field="10" count="1" selected="0">
            <x v="2"/>
          </reference>
        </references>
      </pivotArea>
    </format>
    <format dxfId="19">
      <pivotArea collapsedLevelsAreSubtotals="1" fieldPosition="0">
        <references count="2">
          <reference field="0" count="1">
            <x v="39"/>
          </reference>
          <reference field="10" count="1" selected="0">
            <x v="1"/>
          </reference>
        </references>
      </pivotArea>
    </format>
    <format dxfId="18">
      <pivotArea collapsedLevelsAreSubtotals="1" fieldPosition="0">
        <references count="2">
          <reference field="0" count="1">
            <x v="35"/>
          </reference>
          <reference field="10" count="1" selected="0">
            <x v="1"/>
          </reference>
        </references>
      </pivotArea>
    </format>
    <format dxfId="17">
      <pivotArea collapsedLevelsAreSubtotals="1" fieldPosition="0">
        <references count="2">
          <reference field="0" count="1">
            <x v="33"/>
          </reference>
          <reference field="10" count="1" selected="0">
            <x v="1"/>
          </reference>
        </references>
      </pivotArea>
    </format>
    <format dxfId="16">
      <pivotArea collapsedLevelsAreSubtotals="1" fieldPosition="0">
        <references count="2">
          <reference field="0" count="1">
            <x v="32"/>
          </reference>
          <reference field="10" count="1" selected="0">
            <x v="0"/>
          </reference>
        </references>
      </pivotArea>
    </format>
    <format dxfId="15">
      <pivotArea collapsedLevelsAreSubtotals="1" fieldPosition="0">
        <references count="2">
          <reference field="0" count="1">
            <x v="30"/>
          </reference>
          <reference field="10" count="1" selected="0">
            <x v="2"/>
          </reference>
        </references>
      </pivotArea>
    </format>
    <format dxfId="14">
      <pivotArea collapsedLevelsAreSubtotals="1" fieldPosition="0">
        <references count="2">
          <reference field="0" count="1">
            <x v="23"/>
          </reference>
          <reference field="10" count="1" selected="0">
            <x v="1"/>
          </reference>
        </references>
      </pivotArea>
    </format>
    <format dxfId="13">
      <pivotArea collapsedLevelsAreSubtotals="1" fieldPosition="0">
        <references count="2">
          <reference field="0" count="1">
            <x v="23"/>
          </reference>
          <reference field="10" count="1" selected="0">
            <x v="2"/>
          </reference>
        </references>
      </pivotArea>
    </format>
    <format dxfId="12">
      <pivotArea collapsedLevelsAreSubtotals="1" fieldPosition="0">
        <references count="2">
          <reference field="0" count="1">
            <x v="24"/>
          </reference>
          <reference field="10" count="1" selected="0">
            <x v="1"/>
          </reference>
        </references>
      </pivotArea>
    </format>
    <format dxfId="11">
      <pivotArea collapsedLevelsAreSubtotals="1" fieldPosition="0">
        <references count="2">
          <reference field="0" count="1">
            <x v="22"/>
          </reference>
          <reference field="10" count="1" selected="0">
            <x v="1"/>
          </reference>
        </references>
      </pivotArea>
    </format>
    <format dxfId="10">
      <pivotArea collapsedLevelsAreSubtotals="1" fieldPosition="0">
        <references count="2">
          <reference field="0" count="1">
            <x v="21"/>
          </reference>
          <reference field="10" count="1" selected="0">
            <x v="1"/>
          </reference>
        </references>
      </pivotArea>
    </format>
    <format dxfId="9">
      <pivotArea collapsedLevelsAreSubtotals="1" fieldPosition="0">
        <references count="2">
          <reference field="0" count="1">
            <x v="17"/>
          </reference>
          <reference field="10" count="1" selected="0">
            <x v="1"/>
          </reference>
        </references>
      </pivotArea>
    </format>
    <format dxfId="8">
      <pivotArea collapsedLevelsAreSubtotals="1" fieldPosition="0">
        <references count="2">
          <reference field="0" count="1">
            <x v="16"/>
          </reference>
          <reference field="10" count="1" selected="0">
            <x v="0"/>
          </reference>
        </references>
      </pivotArea>
    </format>
    <format dxfId="7">
      <pivotArea collapsedLevelsAreSubtotals="1" fieldPosition="0">
        <references count="2">
          <reference field="0" count="1">
            <x v="15"/>
          </reference>
          <reference field="10" count="1" selected="0">
            <x v="1"/>
          </reference>
        </references>
      </pivotArea>
    </format>
    <format dxfId="6">
      <pivotArea collapsedLevelsAreSubtotals="1" fieldPosition="0">
        <references count="2">
          <reference field="0" count="1">
            <x v="14"/>
          </reference>
          <reference field="10" count="1" selected="0">
            <x v="1"/>
          </reference>
        </references>
      </pivotArea>
    </format>
    <format dxfId="5">
      <pivotArea collapsedLevelsAreSubtotals="1" fieldPosition="0">
        <references count="2">
          <reference field="0" count="1">
            <x v="13"/>
          </reference>
          <reference field="10" count="1" selected="0">
            <x v="1"/>
          </reference>
        </references>
      </pivotArea>
    </format>
    <format dxfId="4">
      <pivotArea collapsedLevelsAreSubtotals="1" fieldPosition="0">
        <references count="2">
          <reference field="0" count="1">
            <x v="12"/>
          </reference>
          <reference field="10" count="1" selected="0">
            <x v="0"/>
          </reference>
        </references>
      </pivotArea>
    </format>
    <format dxfId="3">
      <pivotArea collapsedLevelsAreSubtotals="1" fieldPosition="0">
        <references count="2">
          <reference field="0" count="1">
            <x v="9"/>
          </reference>
          <reference field="10" count="1" selected="0">
            <x v="2"/>
          </reference>
        </references>
      </pivotArea>
    </format>
    <format dxfId="2">
      <pivotArea collapsedLevelsAreSubtotals="1" fieldPosition="0">
        <references count="2">
          <reference field="0" count="1">
            <x v="3"/>
          </reference>
          <reference field="10" count="1" selected="0">
            <x v="1"/>
          </reference>
        </references>
      </pivotArea>
    </format>
    <format dxfId="1">
      <pivotArea collapsedLevelsAreSubtotals="1" fieldPosition="0">
        <references count="2">
          <reference field="0" count="1">
            <x v="4"/>
          </reference>
          <reference field="10" count="1" selected="0">
            <x v="0"/>
          </reference>
        </references>
      </pivotArea>
    </format>
    <format dxfId="0">
      <pivotArea collapsedLevelsAreSubtotals="1" fieldPosition="0">
        <references count="2">
          <reference field="0" count="1">
            <x v="1"/>
          </reference>
          <reference field="10" count="1" selected="0">
            <x v="2"/>
          </reference>
        </references>
      </pivotArea>
    </format>
  </formats>
  <pivotTableStyleInfo name="PivotStyleLight16"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6"/>
  <sheetViews>
    <sheetView workbookViewId="0">
      <selection activeCell="N20" sqref="N20"/>
    </sheetView>
  </sheetViews>
  <sheetFormatPr defaultRowHeight="12.75"/>
  <cols>
    <col min="1" max="1" width="3.85546875" style="126" bestFit="1" customWidth="1"/>
    <col min="2" max="2" width="10.85546875" style="126" bestFit="1" customWidth="1"/>
    <col min="3" max="12" width="5.5703125" style="126" bestFit="1" customWidth="1"/>
    <col min="13" max="13" width="6.28515625" style="126" customWidth="1"/>
    <col min="14" max="14" width="6.42578125" style="126" customWidth="1"/>
    <col min="15" max="16384" width="9.140625" style="126"/>
  </cols>
  <sheetData>
    <row r="1" spans="1:15">
      <c r="A1" s="128" t="s">
        <v>89</v>
      </c>
      <c r="B1" s="128" t="s">
        <v>212</v>
      </c>
      <c r="C1" s="128">
        <v>1</v>
      </c>
      <c r="D1" s="128">
        <v>2</v>
      </c>
      <c r="E1" s="128">
        <v>3</v>
      </c>
      <c r="F1" s="128">
        <v>4</v>
      </c>
      <c r="G1" s="128">
        <v>5</v>
      </c>
      <c r="H1" s="128">
        <v>6</v>
      </c>
      <c r="I1" s="128">
        <v>7</v>
      </c>
      <c r="J1" s="128">
        <v>8</v>
      </c>
      <c r="K1" s="128">
        <v>9</v>
      </c>
      <c r="L1" s="128">
        <v>10</v>
      </c>
      <c r="M1" s="128">
        <v>11</v>
      </c>
      <c r="N1" s="128">
        <v>12</v>
      </c>
      <c r="O1" s="136" t="s">
        <v>91</v>
      </c>
    </row>
    <row r="2" spans="1:15">
      <c r="A2" s="128">
        <v>1</v>
      </c>
      <c r="B2" s="126" t="s">
        <v>218</v>
      </c>
      <c r="C2" s="127">
        <f>SUMPRODUCT((Data_echipe!B$2:B$42)*(Data_echipe!$A$2:$A$42=Echipe!$B2))</f>
        <v>3.2528666666666668</v>
      </c>
      <c r="D2" s="127">
        <f>SUMPRODUCT((Data_echipe!C$2:C$42)*(Data_echipe!$A$2:$A$42=Echipe!$B2))</f>
        <v>3.0448888888888885</v>
      </c>
      <c r="E2" s="127">
        <f>SUMPRODUCT((Data_echipe!D$2:D$42)*(Data_echipe!$A$2:$A$42=Echipe!$B2))</f>
        <v>3.0312222222222225</v>
      </c>
      <c r="F2" s="127">
        <f>SUMPRODUCT((Data_echipe!E$2:E$42)*(Data_echipe!$A$2:$A$42=Echipe!$B2))</f>
        <v>3.3930555555555557</v>
      </c>
      <c r="G2" s="127">
        <f>SUMPRODUCT((Data_echipe!F$2:F$42)*(Data_echipe!$A$2:$A$42=Echipe!$B2))</f>
        <v>3.4557777777777776</v>
      </c>
      <c r="H2" s="127">
        <f>SUMPRODUCT((Data_echipe!G$2:G$42)*(Data_echipe!$A$2:$A$42=Echipe!$B2))</f>
        <v>3.3368888888888892</v>
      </c>
      <c r="I2" s="127">
        <f>SUMPRODUCT((Data_echipe!H$2:H$42)*(Data_echipe!$A$2:$A$42=Echipe!$B2))</f>
        <v>2.8958333333333335</v>
      </c>
      <c r="J2" s="127">
        <f>SUMPRODUCT((Data_echipe!I$2:I$42)*(Data_echipe!$A$2:$A$42=Echipe!$B2))</f>
        <v>3.4037222222222225</v>
      </c>
      <c r="K2" s="127">
        <f>SUMPRODUCT((Data_echipe!J$2:J$42)*(Data_echipe!$A$2:$A$42=Echipe!$B2))</f>
        <v>2.9800555555555555</v>
      </c>
      <c r="L2" s="127">
        <f>SUMPRODUCT((Data_echipe!K$2:K$42)*(Data_echipe!$A$2:$A$42=Echipe!$B2))</f>
        <v>3.1758333333333333</v>
      </c>
      <c r="M2" s="127">
        <f>SUMPRODUCT((Data_echipe!L$2:L$42)*(Data_echipe!$A$2:$A$42=Echipe!$B2))</f>
        <v>2.9634999999999998</v>
      </c>
      <c r="N2" s="127">
        <f>SUMPRODUCT((Data_echipe!M$2:M$42)*(Data_echipe!$A$2:$A$42=Echipe!$B2))</f>
        <v>3.422333333333333</v>
      </c>
      <c r="O2" s="135">
        <f>SUMPRODUCT((Data_echipe!N$2:N$42)*(Data_echipe!$A$2:$A$42=Echipe!$B2))</f>
        <v>38.355977777777774</v>
      </c>
    </row>
    <row r="3" spans="1:15">
      <c r="A3" s="128">
        <v>2</v>
      </c>
      <c r="B3" s="126" t="s">
        <v>198</v>
      </c>
      <c r="C3" s="127">
        <f>SUMPRODUCT((Data_echipe!B$2:B$42)*(Data_echipe!$A$2:$A$42=Echipe!$B3))</f>
        <v>3.4131333333333331</v>
      </c>
      <c r="D3" s="127">
        <f>SUMPRODUCT((Data_echipe!C$2:C$42)*(Data_echipe!$A$2:$A$42=Echipe!$B3))</f>
        <v>2.997611111111111</v>
      </c>
      <c r="E3" s="127">
        <f>SUMPRODUCT((Data_echipe!D$2:D$42)*(Data_echipe!$A$2:$A$42=Echipe!$B3))</f>
        <v>3.505722222222222</v>
      </c>
      <c r="F3" s="127">
        <f>SUMPRODUCT((Data_echipe!E$2:E$42)*(Data_echipe!$A$2:$A$42=Echipe!$B3))</f>
        <v>2.7275000000000005</v>
      </c>
      <c r="G3" s="127">
        <f>SUMPRODUCT((Data_echipe!F$2:F$42)*(Data_echipe!$A$2:$A$42=Echipe!$B3))</f>
        <v>3.0928333333333335</v>
      </c>
      <c r="H3" s="127">
        <f>SUMPRODUCT((Data_echipe!G$2:G$42)*(Data_echipe!$A$2:$A$42=Echipe!$B3))</f>
        <v>3.4131111111111117</v>
      </c>
      <c r="I3" s="127">
        <f>SUMPRODUCT((Data_echipe!H$2:H$42)*(Data_echipe!$A$2:$A$42=Echipe!$B3))</f>
        <v>2.9205000000000001</v>
      </c>
      <c r="J3" s="127">
        <f>SUMPRODUCT((Data_echipe!I$2:I$42)*(Data_echipe!$A$2:$A$42=Echipe!$B3))</f>
        <v>1.7663888888888888</v>
      </c>
      <c r="K3" s="127">
        <f>SUMPRODUCT((Data_echipe!J$2:J$42)*(Data_echipe!$A$2:$A$42=Echipe!$B3))</f>
        <v>2.6622222222222223</v>
      </c>
      <c r="L3" s="127">
        <f>SUMPRODUCT((Data_echipe!K$2:K$42)*(Data_echipe!$A$2:$A$42=Echipe!$B3))</f>
        <v>3.0221111111111107</v>
      </c>
      <c r="M3" s="127">
        <f>SUMPRODUCT((Data_echipe!L$2:L$42)*(Data_echipe!$A$2:$A$42=Echipe!$B3))</f>
        <v>3.5114444444444448</v>
      </c>
      <c r="N3" s="127">
        <f>SUMPRODUCT((Data_echipe!M$2:M$42)*(Data_echipe!$A$2:$A$42=Echipe!$B3))</f>
        <v>3.0166111111111111</v>
      </c>
      <c r="O3" s="135">
        <f>SUMPRODUCT((Data_echipe!N$2:N$42)*(Data_echipe!$A$2:$A$42=Echipe!$B3))</f>
        <v>36.049188888888892</v>
      </c>
    </row>
    <row r="4" spans="1:15">
      <c r="A4" s="128">
        <v>3</v>
      </c>
      <c r="B4" s="126" t="s">
        <v>196</v>
      </c>
      <c r="C4" s="127">
        <f>SUMPRODUCT((Data_echipe!B$2:B$42)*(Data_echipe!$A$2:$A$42=Echipe!$B5))</f>
        <v>3.1</v>
      </c>
      <c r="D4" s="127">
        <f>SUMPRODUCT((Data_echipe!C$2:C$42)*(Data_echipe!$A$2:$A$42=Echipe!$B5))</f>
        <v>3.2208333333333332</v>
      </c>
      <c r="E4" s="127">
        <f>SUMPRODUCT((Data_echipe!D$2:D$42)*(Data_echipe!$A$2:$A$42=Echipe!$B5))</f>
        <v>2.9791666666666665</v>
      </c>
      <c r="F4" s="127">
        <f>SUMPRODUCT((Data_echipe!E$2:E$42)*(Data_echipe!$A$2:$A$42=Echipe!$B5))</f>
        <v>3.4735555555555551</v>
      </c>
      <c r="G4" s="127">
        <f>SUMPRODUCT((Data_echipe!F$2:F$42)*(Data_echipe!$A$2:$A$42=Echipe!$B5))</f>
        <v>2.6625000000000001</v>
      </c>
      <c r="H4" s="127">
        <f>SUMPRODUCT((Data_echipe!G$2:G$42)*(Data_echipe!$A$2:$A$42=Echipe!$B5))</f>
        <v>2.8958333333333335</v>
      </c>
      <c r="I4" s="127">
        <f>SUMPRODUCT((Data_echipe!H$2:H$42)*(Data_echipe!$A$2:$A$42=Echipe!$B5))</f>
        <v>3.2018333333333335</v>
      </c>
      <c r="J4" s="127">
        <f>SUMPRODUCT((Data_echipe!I$2:I$42)*(Data_echipe!$A$2:$A$42=Echipe!$B5))</f>
        <v>2.1702777777777773</v>
      </c>
      <c r="K4" s="127">
        <f>SUMPRODUCT((Data_echipe!J$2:J$42)*(Data_echipe!$A$2:$A$42=Echipe!$B5))</f>
        <v>2.1041666666666665</v>
      </c>
      <c r="L4" s="127">
        <f>SUMPRODUCT((Data_echipe!K$2:K$42)*(Data_echipe!$A$2:$A$42=Echipe!$B5))</f>
        <v>2.2458333333333331</v>
      </c>
      <c r="M4" s="127">
        <f>SUMPRODUCT((Data_echipe!L$2:L$42)*(Data_echipe!$A$2:$A$42=Echipe!$B5))</f>
        <v>2.1481111111111111</v>
      </c>
      <c r="N4" s="127">
        <f>SUMPRODUCT((Data_echipe!M$2:M$42)*(Data_echipe!$A$2:$A$42=Echipe!$B5))</f>
        <v>2.4375</v>
      </c>
      <c r="O4" s="135">
        <f>SUMPRODUCT((Data_echipe!N$2:N$42)*(Data_echipe!$A$2:$A$42=Echipe!$B4))</f>
        <v>34.285344444444448</v>
      </c>
    </row>
    <row r="5" spans="1:15">
      <c r="A5" s="128">
        <v>4</v>
      </c>
      <c r="B5" s="126" t="s">
        <v>195</v>
      </c>
      <c r="C5" s="127">
        <f>SUMPRODUCT((Data_echipe!B$2:B$42)*(Data_echipe!$A$2:$A$42=Echipe!$B4))</f>
        <v>3.3467333333333338</v>
      </c>
      <c r="D5" s="127">
        <f>SUMPRODUCT((Data_echipe!C$2:C$42)*(Data_echipe!$A$2:$A$42=Echipe!$B4))</f>
        <v>3.5105000000000004</v>
      </c>
      <c r="E5" s="127">
        <f>SUMPRODUCT((Data_echipe!D$2:D$42)*(Data_echipe!$A$2:$A$42=Echipe!$B4))</f>
        <v>2.2042222222222221</v>
      </c>
      <c r="F5" s="127">
        <f>SUMPRODUCT((Data_echipe!E$2:E$42)*(Data_echipe!$A$2:$A$42=Echipe!$B4))</f>
        <v>2.0013333333333332</v>
      </c>
      <c r="G5" s="127">
        <f>SUMPRODUCT((Data_echipe!F$2:F$42)*(Data_echipe!$A$2:$A$42=Echipe!$B4))</f>
        <v>3.1153333333333335</v>
      </c>
      <c r="H5" s="127">
        <f>SUMPRODUCT((Data_echipe!G$2:G$42)*(Data_echipe!$A$2:$A$42=Echipe!$B4))</f>
        <v>2.1875</v>
      </c>
      <c r="I5" s="127">
        <f>SUMPRODUCT((Data_echipe!H$2:H$42)*(Data_echipe!$A$2:$A$42=Echipe!$B4))</f>
        <v>2.94</v>
      </c>
      <c r="J5" s="127">
        <f>SUMPRODUCT((Data_echipe!I$2:I$42)*(Data_echipe!$A$2:$A$42=Echipe!$B4))</f>
        <v>3.1878888888888888</v>
      </c>
      <c r="K5" s="127">
        <f>SUMPRODUCT((Data_echipe!J$2:J$42)*(Data_echipe!$A$2:$A$42=Echipe!$B4))</f>
        <v>3.2460555555555555</v>
      </c>
      <c r="L5" s="127">
        <f>SUMPRODUCT((Data_echipe!K$2:K$42)*(Data_echipe!$A$2:$A$42=Echipe!$B4))</f>
        <v>2.7497222222222226</v>
      </c>
      <c r="M5" s="127">
        <f>SUMPRODUCT((Data_echipe!L$2:L$42)*(Data_echipe!$A$2:$A$42=Echipe!$B4))</f>
        <v>2.9895</v>
      </c>
      <c r="N5" s="127">
        <f>SUMPRODUCT((Data_echipe!M$2:M$42)*(Data_echipe!$A$2:$A$42=Echipe!$B4))</f>
        <v>2.8065555555555552</v>
      </c>
      <c r="O5" s="135">
        <f>SUMPRODUCT((Data_echipe!N$2:N$42)*(Data_echipe!$A$2:$A$42=Echipe!$B5))</f>
        <v>32.639611111111108</v>
      </c>
    </row>
    <row r="6" spans="1:15">
      <c r="A6" s="128">
        <v>5</v>
      </c>
      <c r="B6" s="126" t="s">
        <v>199</v>
      </c>
      <c r="C6" s="127">
        <f>SUMPRODUCT((Data_echipe!B$2:B$42)*(Data_echipe!$A$2:$A$42=Echipe!$B6))</f>
        <v>3.3121333333333332</v>
      </c>
      <c r="D6" s="127">
        <f>SUMPRODUCT((Data_echipe!C$2:C$42)*(Data_echipe!$A$2:$A$42=Echipe!$B6))</f>
        <v>2.7864666666666666</v>
      </c>
      <c r="E6" s="127">
        <f>SUMPRODUCT((Data_echipe!D$2:D$42)*(Data_echipe!$A$2:$A$42=Echipe!$B6))</f>
        <v>2.77</v>
      </c>
      <c r="F6" s="127">
        <f>SUMPRODUCT((Data_echipe!E$2:E$42)*(Data_echipe!$A$2:$A$42=Echipe!$B6))</f>
        <v>2.1967333333333334</v>
      </c>
      <c r="G6" s="127">
        <f>SUMPRODUCT((Data_echipe!F$2:F$42)*(Data_echipe!$A$2:$A$42=Echipe!$B6))</f>
        <v>2.403111111111111</v>
      </c>
      <c r="H6" s="127">
        <f>SUMPRODUCT((Data_echipe!G$2:G$42)*(Data_echipe!$A$2:$A$42=Echipe!$B6))</f>
        <v>2.487888888888889</v>
      </c>
      <c r="I6" s="127">
        <f>SUMPRODUCT((Data_echipe!H$2:H$42)*(Data_echipe!$A$2:$A$42=Echipe!$B6))</f>
        <v>2.9090000000000003</v>
      </c>
      <c r="J6" s="127">
        <f>SUMPRODUCT((Data_echipe!I$2:I$42)*(Data_echipe!$A$2:$A$42=Echipe!$B6))</f>
        <v>1.8049999999999999</v>
      </c>
      <c r="K6" s="127">
        <f>SUMPRODUCT((Data_echipe!J$2:J$42)*(Data_echipe!$A$2:$A$42=Echipe!$B6))</f>
        <v>2.125</v>
      </c>
      <c r="L6" s="127">
        <f>SUMPRODUCT((Data_echipe!K$2:K$42)*(Data_echipe!$A$2:$A$42=Echipe!$B6))</f>
        <v>2.3124444444444445</v>
      </c>
      <c r="M6" s="127">
        <f>SUMPRODUCT((Data_echipe!L$2:L$42)*(Data_echipe!$A$2:$A$42=Echipe!$B6))</f>
        <v>2.5769444444444445</v>
      </c>
      <c r="N6" s="127">
        <f>SUMPRODUCT((Data_echipe!M$2:M$42)*(Data_echipe!$A$2:$A$42=Echipe!$B6))</f>
        <v>2.3569999999999998</v>
      </c>
      <c r="O6" s="135">
        <f>SUMPRODUCT((Data_echipe!N$2:N$42)*(Data_echipe!$A$2:$A$42=Echipe!$B6))</f>
        <v>30.041722222222219</v>
      </c>
    </row>
  </sheetData>
  <sortState ref="B2:O6">
    <sortCondition descending="1" ref="O2:O6"/>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sheetPr>
    <tabColor rgb="FFC00000"/>
  </sheetPr>
  <dimension ref="A1:D50"/>
  <sheetViews>
    <sheetView workbookViewId="0">
      <pane ySplit="1" topLeftCell="A34" activePane="bottomLeft" state="frozen"/>
      <selection pane="bottomLeft" activeCell="H49" sqref="H49"/>
    </sheetView>
  </sheetViews>
  <sheetFormatPr defaultRowHeight="15"/>
  <cols>
    <col min="1" max="1" width="22.7109375" customWidth="1"/>
    <col min="3" max="3" width="14.28515625" bestFit="1" customWidth="1"/>
    <col min="4" max="4" width="22.85546875" bestFit="1" customWidth="1"/>
  </cols>
  <sheetData>
    <row r="1" spans="1:4" s="21" customFormat="1">
      <c r="A1" s="21" t="s">
        <v>36</v>
      </c>
      <c r="B1" s="21" t="s">
        <v>95</v>
      </c>
      <c r="C1" s="21" t="s">
        <v>123</v>
      </c>
      <c r="D1" s="21" t="s">
        <v>174</v>
      </c>
    </row>
    <row r="2" spans="1:4">
      <c r="A2" s="85" t="s">
        <v>165</v>
      </c>
      <c r="B2" t="s">
        <v>35</v>
      </c>
    </row>
    <row r="3" spans="1:4">
      <c r="A3" t="s">
        <v>57</v>
      </c>
      <c r="B3" t="s">
        <v>35</v>
      </c>
    </row>
    <row r="4" spans="1:4">
      <c r="A4" t="s">
        <v>55</v>
      </c>
      <c r="B4" t="s">
        <v>35</v>
      </c>
    </row>
    <row r="5" spans="1:4">
      <c r="A5" s="85" t="s">
        <v>61</v>
      </c>
      <c r="B5" t="s">
        <v>35</v>
      </c>
    </row>
    <row r="6" spans="1:4">
      <c r="A6" s="85" t="s">
        <v>168</v>
      </c>
      <c r="B6" t="s">
        <v>35</v>
      </c>
    </row>
    <row r="7" spans="1:4">
      <c r="A7" t="s">
        <v>6</v>
      </c>
      <c r="B7" t="s">
        <v>34</v>
      </c>
    </row>
    <row r="8" spans="1:4">
      <c r="A8" t="s">
        <v>115</v>
      </c>
      <c r="B8" t="s">
        <v>35</v>
      </c>
      <c r="C8">
        <v>0.5</v>
      </c>
    </row>
    <row r="9" spans="1:4">
      <c r="A9" t="s">
        <v>82</v>
      </c>
      <c r="B9" t="s">
        <v>35</v>
      </c>
    </row>
    <row r="10" spans="1:4">
      <c r="A10" t="s">
        <v>86</v>
      </c>
      <c r="B10" t="s">
        <v>35</v>
      </c>
    </row>
    <row r="11" spans="1:4">
      <c r="A11" t="s">
        <v>68</v>
      </c>
      <c r="B11" t="s">
        <v>35</v>
      </c>
    </row>
    <row r="12" spans="1:4">
      <c r="A12" t="s">
        <v>47</v>
      </c>
      <c r="B12" t="s">
        <v>35</v>
      </c>
    </row>
    <row r="13" spans="1:4">
      <c r="A13" t="s">
        <v>52</v>
      </c>
      <c r="B13" t="s">
        <v>35</v>
      </c>
    </row>
    <row r="14" spans="1:4">
      <c r="A14" t="s">
        <v>65</v>
      </c>
      <c r="B14" t="s">
        <v>35</v>
      </c>
    </row>
    <row r="15" spans="1:4">
      <c r="A15" t="s">
        <v>83</v>
      </c>
      <c r="B15" t="s">
        <v>34</v>
      </c>
      <c r="C15">
        <v>0.75</v>
      </c>
    </row>
    <row r="16" spans="1:4">
      <c r="A16" s="23" t="s">
        <v>62</v>
      </c>
      <c r="B16" t="s">
        <v>35</v>
      </c>
    </row>
    <row r="17" spans="1:3">
      <c r="A17" s="23" t="s">
        <v>59</v>
      </c>
      <c r="B17" t="s">
        <v>35</v>
      </c>
    </row>
    <row r="18" spans="1:3">
      <c r="A18" s="85" t="s">
        <v>49</v>
      </c>
      <c r="B18" t="s">
        <v>35</v>
      </c>
    </row>
    <row r="19" spans="1:3">
      <c r="A19" s="85" t="s">
        <v>166</v>
      </c>
      <c r="B19" t="s">
        <v>34</v>
      </c>
    </row>
    <row r="20" spans="1:3">
      <c r="A20" s="23" t="s">
        <v>64</v>
      </c>
      <c r="B20" t="s">
        <v>35</v>
      </c>
    </row>
    <row r="21" spans="1:3">
      <c r="A21" s="23" t="s">
        <v>66</v>
      </c>
      <c r="B21" t="s">
        <v>35</v>
      </c>
    </row>
    <row r="22" spans="1:3">
      <c r="A22" s="23" t="s">
        <v>171</v>
      </c>
      <c r="B22" t="s">
        <v>35</v>
      </c>
    </row>
    <row r="23" spans="1:3">
      <c r="A23" s="23" t="s">
        <v>54</v>
      </c>
      <c r="B23" t="s">
        <v>35</v>
      </c>
      <c r="C23">
        <v>0.5</v>
      </c>
    </row>
    <row r="24" spans="1:3">
      <c r="A24" s="85" t="s">
        <v>170</v>
      </c>
      <c r="B24" t="s">
        <v>35</v>
      </c>
    </row>
    <row r="25" spans="1:3">
      <c r="A25" s="23" t="s">
        <v>169</v>
      </c>
      <c r="B25" t="s">
        <v>34</v>
      </c>
      <c r="C25">
        <v>0.5</v>
      </c>
    </row>
    <row r="26" spans="1:3">
      <c r="A26" s="23" t="s">
        <v>56</v>
      </c>
      <c r="B26" t="s">
        <v>35</v>
      </c>
    </row>
    <row r="27" spans="1:3">
      <c r="A27" s="23" t="s">
        <v>114</v>
      </c>
      <c r="B27" t="s">
        <v>35</v>
      </c>
    </row>
    <row r="28" spans="1:3">
      <c r="A28" s="85" t="s">
        <v>167</v>
      </c>
      <c r="B28" t="s">
        <v>34</v>
      </c>
    </row>
    <row r="29" spans="1:3">
      <c r="A29" t="s">
        <v>53</v>
      </c>
      <c r="B29" t="s">
        <v>35</v>
      </c>
    </row>
    <row r="30" spans="1:3">
      <c r="A30" t="s">
        <v>67</v>
      </c>
      <c r="B30" t="s">
        <v>34</v>
      </c>
    </row>
    <row r="31" spans="1:3">
      <c r="A31" t="s">
        <v>131</v>
      </c>
      <c r="B31" t="s">
        <v>35</v>
      </c>
    </row>
    <row r="32" spans="1:3">
      <c r="A32" t="s">
        <v>172</v>
      </c>
      <c r="B32" t="s">
        <v>34</v>
      </c>
    </row>
    <row r="33" spans="1:4">
      <c r="A33" s="85" t="s">
        <v>63</v>
      </c>
      <c r="B33" t="s">
        <v>35</v>
      </c>
    </row>
    <row r="34" spans="1:4">
      <c r="A34" t="s">
        <v>60</v>
      </c>
      <c r="B34" t="s">
        <v>35</v>
      </c>
    </row>
    <row r="35" spans="1:4">
      <c r="A35" s="85" t="s">
        <v>116</v>
      </c>
      <c r="B35" t="s">
        <v>35</v>
      </c>
    </row>
    <row r="36" spans="1:4">
      <c r="A36" s="85" t="s">
        <v>173</v>
      </c>
      <c r="B36" t="s">
        <v>35</v>
      </c>
    </row>
    <row r="37" spans="1:4">
      <c r="A37" s="85" t="s">
        <v>94</v>
      </c>
      <c r="B37" t="s">
        <v>35</v>
      </c>
    </row>
    <row r="38" spans="1:4">
      <c r="A38" t="s">
        <v>51</v>
      </c>
      <c r="B38" t="s">
        <v>34</v>
      </c>
    </row>
    <row r="39" spans="1:4">
      <c r="A39" t="s">
        <v>200</v>
      </c>
      <c r="B39" t="s">
        <v>35</v>
      </c>
      <c r="D39" t="s">
        <v>177</v>
      </c>
    </row>
    <row r="40" spans="1:4">
      <c r="A40" t="s">
        <v>201</v>
      </c>
      <c r="B40" t="s">
        <v>34</v>
      </c>
    </row>
    <row r="41" spans="1:4">
      <c r="A41" t="s">
        <v>202</v>
      </c>
      <c r="B41" t="s">
        <v>35</v>
      </c>
      <c r="D41" t="s">
        <v>177</v>
      </c>
    </row>
    <row r="42" spans="1:4">
      <c r="A42" t="s">
        <v>203</v>
      </c>
      <c r="B42" t="s">
        <v>35</v>
      </c>
      <c r="D42" t="s">
        <v>177</v>
      </c>
    </row>
    <row r="43" spans="1:4">
      <c r="A43" t="s">
        <v>204</v>
      </c>
      <c r="B43" t="s">
        <v>35</v>
      </c>
      <c r="D43" t="s">
        <v>177</v>
      </c>
    </row>
    <row r="44" spans="1:4">
      <c r="A44" t="s">
        <v>205</v>
      </c>
      <c r="B44" t="s">
        <v>35</v>
      </c>
      <c r="D44" t="s">
        <v>177</v>
      </c>
    </row>
    <row r="45" spans="1:4">
      <c r="A45" t="s">
        <v>50</v>
      </c>
      <c r="B45" t="s">
        <v>34</v>
      </c>
    </row>
    <row r="46" spans="1:4">
      <c r="A46" t="s">
        <v>206</v>
      </c>
      <c r="B46" t="s">
        <v>35</v>
      </c>
      <c r="D46" t="s">
        <v>177</v>
      </c>
    </row>
    <row r="47" spans="1:4">
      <c r="A47" t="s">
        <v>8</v>
      </c>
      <c r="B47" t="s">
        <v>35</v>
      </c>
    </row>
    <row r="48" spans="1:4">
      <c r="A48" t="s">
        <v>208</v>
      </c>
      <c r="B48" t="s">
        <v>35</v>
      </c>
      <c r="D48" t="s">
        <v>177</v>
      </c>
    </row>
    <row r="49" spans="1:2">
      <c r="A49" t="s">
        <v>209</v>
      </c>
      <c r="B49" t="s">
        <v>35</v>
      </c>
    </row>
    <row r="50" spans="1:2">
      <c r="A50" t="s">
        <v>210</v>
      </c>
      <c r="B50" t="s">
        <v>34</v>
      </c>
    </row>
  </sheetData>
  <autoFilter ref="A1:J49"/>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sheetPr>
    <tabColor theme="9" tint="-0.499984740745262"/>
  </sheetPr>
  <dimension ref="A1:E19"/>
  <sheetViews>
    <sheetView workbookViewId="0">
      <selection activeCell="B15" sqref="B15"/>
    </sheetView>
  </sheetViews>
  <sheetFormatPr defaultRowHeight="15"/>
  <cols>
    <col min="1" max="1" width="10.7109375" bestFit="1" customWidth="1"/>
    <col min="2" max="2" width="15.140625" bestFit="1" customWidth="1"/>
    <col min="3" max="3" width="17" bestFit="1" customWidth="1"/>
    <col min="4" max="4" width="17.28515625" bestFit="1" customWidth="1"/>
    <col min="5" max="5" width="22.85546875" bestFit="1" customWidth="1"/>
  </cols>
  <sheetData>
    <row r="1" spans="1:5">
      <c r="C1">
        <v>1</v>
      </c>
      <c r="D1">
        <v>2</v>
      </c>
      <c r="E1">
        <v>3</v>
      </c>
    </row>
    <row r="2" spans="1:5">
      <c r="A2" s="21" t="s">
        <v>0</v>
      </c>
      <c r="B2" s="1" t="s">
        <v>5</v>
      </c>
      <c r="C2" s="21" t="s">
        <v>1</v>
      </c>
      <c r="D2" t="s">
        <v>2</v>
      </c>
      <c r="E2" t="s">
        <v>3</v>
      </c>
    </row>
    <row r="3" spans="1:5">
      <c r="A3" s="21" t="s">
        <v>4</v>
      </c>
      <c r="B3" t="s">
        <v>9</v>
      </c>
      <c r="C3" s="21" t="s">
        <v>6</v>
      </c>
      <c r="D3" t="s">
        <v>7</v>
      </c>
      <c r="E3" t="s">
        <v>8</v>
      </c>
    </row>
    <row r="4" spans="1:5">
      <c r="A4" s="21" t="s">
        <v>10</v>
      </c>
      <c r="B4" t="s">
        <v>12</v>
      </c>
      <c r="C4" s="21" t="s">
        <v>8</v>
      </c>
      <c r="D4" t="s">
        <v>13</v>
      </c>
    </row>
    <row r="5" spans="1:5">
      <c r="A5" s="21" t="s">
        <v>11</v>
      </c>
      <c r="B5" t="s">
        <v>46</v>
      </c>
      <c r="C5" s="21" t="s">
        <v>47</v>
      </c>
      <c r="D5" t="s">
        <v>48</v>
      </c>
      <c r="E5" t="s">
        <v>117</v>
      </c>
    </row>
    <row r="6" spans="1:5">
      <c r="A6" s="21" t="s">
        <v>96</v>
      </c>
      <c r="B6" t="s">
        <v>97</v>
      </c>
      <c r="C6" s="21" t="s">
        <v>57</v>
      </c>
      <c r="D6" t="s">
        <v>58</v>
      </c>
      <c r="E6" t="s">
        <v>117</v>
      </c>
    </row>
    <row r="7" spans="1:5" ht="14.25" customHeight="1">
      <c r="A7" s="21" t="s">
        <v>119</v>
      </c>
      <c r="B7" t="s">
        <v>120</v>
      </c>
      <c r="C7" s="21" t="s">
        <v>115</v>
      </c>
      <c r="D7" t="s">
        <v>2</v>
      </c>
      <c r="E7" t="s">
        <v>55</v>
      </c>
    </row>
    <row r="8" spans="1:5" ht="14.25" customHeight="1">
      <c r="A8" s="21" t="s">
        <v>132</v>
      </c>
      <c r="B8" t="s">
        <v>133</v>
      </c>
      <c r="C8" s="21" t="s">
        <v>115</v>
      </c>
      <c r="D8" t="s">
        <v>55</v>
      </c>
      <c r="E8" t="s">
        <v>82</v>
      </c>
    </row>
    <row r="9" spans="1:5" ht="14.25" customHeight="1">
      <c r="A9" s="21" t="s">
        <v>134</v>
      </c>
      <c r="B9" t="s">
        <v>135</v>
      </c>
      <c r="C9" s="21" t="s">
        <v>55</v>
      </c>
      <c r="D9" t="s">
        <v>57</v>
      </c>
      <c r="E9" t="s">
        <v>115</v>
      </c>
    </row>
    <row r="10" spans="1:5" ht="14.25" customHeight="1">
      <c r="A10" s="21" t="s">
        <v>179</v>
      </c>
      <c r="B10" t="s">
        <v>180</v>
      </c>
    </row>
    <row r="11" spans="1:5" ht="14.25" customHeight="1"/>
    <row r="12" spans="1:5" ht="14.25" customHeight="1"/>
    <row r="13" spans="1:5" ht="14.25" customHeight="1"/>
    <row r="14" spans="1:5" ht="14.25" customHeight="1"/>
    <row r="15" spans="1:5" ht="14.25" customHeight="1"/>
    <row r="16" spans="1:5" ht="14.25" customHeight="1"/>
    <row r="17" ht="14.25" customHeight="1"/>
    <row r="18" ht="14.25" customHeight="1"/>
    <row r="19" ht="14.25" customHeight="1"/>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dimension ref="A1:A5"/>
  <sheetViews>
    <sheetView workbookViewId="0">
      <selection activeCell="C13" sqref="C13"/>
    </sheetView>
  </sheetViews>
  <sheetFormatPr defaultRowHeight="15"/>
  <sheetData>
    <row r="1" spans="1:1">
      <c r="A1" t="s">
        <v>220</v>
      </c>
    </row>
    <row r="2" spans="1:1">
      <c r="A2" t="s">
        <v>221</v>
      </c>
    </row>
    <row r="3" spans="1:1">
      <c r="A3" t="s">
        <v>222</v>
      </c>
    </row>
    <row r="4" spans="1:1">
      <c r="A4" t="s">
        <v>219</v>
      </c>
    </row>
    <row r="5" spans="1:1">
      <c r="A5" t="s">
        <v>227</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2:D11"/>
  <sheetViews>
    <sheetView workbookViewId="0">
      <selection activeCell="B23" sqref="B23"/>
    </sheetView>
  </sheetViews>
  <sheetFormatPr defaultRowHeight="12"/>
  <cols>
    <col min="1" max="1" width="9.140625" style="41"/>
    <col min="2" max="2" width="83.28515625" style="41" customWidth="1"/>
    <col min="3" max="16384" width="9.140625" style="41"/>
  </cols>
  <sheetData>
    <row r="2" spans="1:4">
      <c r="A2" s="41" t="s">
        <v>136</v>
      </c>
      <c r="B2" s="41" t="s">
        <v>137</v>
      </c>
      <c r="C2" s="44" t="s">
        <v>142</v>
      </c>
    </row>
    <row r="3" spans="1:4">
      <c r="A3" s="41" t="s">
        <v>139</v>
      </c>
      <c r="B3" s="41" t="s">
        <v>138</v>
      </c>
      <c r="C3" s="43" t="s">
        <v>141</v>
      </c>
    </row>
    <row r="4" spans="1:4">
      <c r="A4" s="41" t="s">
        <v>139</v>
      </c>
      <c r="B4" s="42" t="s">
        <v>140</v>
      </c>
      <c r="C4" s="43" t="s">
        <v>141</v>
      </c>
      <c r="D4" s="41" t="s">
        <v>143</v>
      </c>
    </row>
    <row r="5" spans="1:4">
      <c r="A5" s="41" t="s">
        <v>139</v>
      </c>
      <c r="B5" s="41" t="s">
        <v>144</v>
      </c>
      <c r="C5" s="44" t="s">
        <v>142</v>
      </c>
      <c r="D5" s="41" t="s">
        <v>149</v>
      </c>
    </row>
    <row r="6" spans="1:4">
      <c r="A6" s="41" t="s">
        <v>148</v>
      </c>
      <c r="B6" s="41" t="s">
        <v>147</v>
      </c>
    </row>
    <row r="7" spans="1:4">
      <c r="A7" s="41" t="s">
        <v>148</v>
      </c>
      <c r="B7" s="41" t="s">
        <v>145</v>
      </c>
      <c r="C7" s="44" t="s">
        <v>155</v>
      </c>
    </row>
    <row r="8" spans="1:4">
      <c r="B8" s="41" t="s">
        <v>146</v>
      </c>
    </row>
    <row r="9" spans="1:4">
      <c r="A9" s="41" t="s">
        <v>151</v>
      </c>
      <c r="B9" s="41" t="s">
        <v>150</v>
      </c>
    </row>
    <row r="10" spans="1:4">
      <c r="A10" s="41" t="s">
        <v>151</v>
      </c>
      <c r="B10" s="41" t="s">
        <v>152</v>
      </c>
      <c r="D10" s="41" t="s">
        <v>153</v>
      </c>
    </row>
    <row r="11" spans="1:4">
      <c r="A11" s="41" t="s">
        <v>139</v>
      </c>
      <c r="B11" s="41" t="s">
        <v>154</v>
      </c>
      <c r="C11" s="44" t="s">
        <v>142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tabColor rgb="FF92D050"/>
  </sheetPr>
  <dimension ref="A1:AA41"/>
  <sheetViews>
    <sheetView tabSelected="1" zoomScaleNormal="100" workbookViewId="0">
      <pane ySplit="1" topLeftCell="A2" activePane="bottomLeft" state="frozen"/>
      <selection pane="bottomLeft" activeCell="I12" sqref="I12"/>
    </sheetView>
  </sheetViews>
  <sheetFormatPr defaultRowHeight="12"/>
  <cols>
    <col min="1" max="1" width="7.85546875" style="39" bestFit="1" customWidth="1"/>
    <col min="2" max="2" width="22" style="39" bestFit="1" customWidth="1"/>
    <col min="3" max="7" width="5.28515625" style="40" customWidth="1"/>
    <col min="8" max="8" width="6.85546875" style="40" bestFit="1" customWidth="1"/>
    <col min="9" max="14" width="5.28515625" style="40" customWidth="1"/>
    <col min="15" max="17" width="5.28515625" style="40" hidden="1" customWidth="1"/>
    <col min="18" max="18" width="16.5703125" style="40" customWidth="1"/>
    <col min="19" max="19" width="11.140625" style="40" customWidth="1"/>
    <col min="20" max="20" width="10.5703125" style="40" bestFit="1" customWidth="1"/>
    <col min="21" max="21" width="9.140625" style="40" customWidth="1"/>
    <col min="22" max="22" width="9.28515625" style="59" customWidth="1"/>
    <col min="23" max="23" width="6.42578125" style="59" bestFit="1" customWidth="1"/>
    <col min="24" max="24" width="8.85546875" style="59" hidden="1" customWidth="1"/>
    <col min="25" max="25" width="15.140625" style="59" hidden="1" customWidth="1"/>
    <col min="26" max="16384" width="9.140625" style="59"/>
  </cols>
  <sheetData>
    <row r="1" spans="1:27" ht="12.75">
      <c r="A1" s="54" t="s">
        <v>89</v>
      </c>
      <c r="B1" s="54" t="s">
        <v>36</v>
      </c>
      <c r="C1" s="68">
        <v>1</v>
      </c>
      <c r="D1" s="68">
        <v>2</v>
      </c>
      <c r="E1" s="68">
        <v>3</v>
      </c>
      <c r="F1" s="68">
        <v>4</v>
      </c>
      <c r="G1" s="68">
        <v>5</v>
      </c>
      <c r="H1" s="68">
        <v>6</v>
      </c>
      <c r="I1" s="68">
        <v>7</v>
      </c>
      <c r="J1" s="68">
        <v>8</v>
      </c>
      <c r="K1" s="68">
        <v>9</v>
      </c>
      <c r="L1" s="68">
        <v>10</v>
      </c>
      <c r="M1" s="68">
        <v>11</v>
      </c>
      <c r="N1" s="68">
        <v>12</v>
      </c>
      <c r="O1" s="68">
        <v>13</v>
      </c>
      <c r="P1" s="68">
        <v>14</v>
      </c>
      <c r="Q1" s="69">
        <v>15</v>
      </c>
      <c r="R1" s="69" t="s">
        <v>226</v>
      </c>
      <c r="S1" s="55" t="s">
        <v>178</v>
      </c>
      <c r="T1" s="56" t="s">
        <v>91</v>
      </c>
      <c r="U1" s="56" t="s">
        <v>90</v>
      </c>
      <c r="V1" s="67" t="s">
        <v>118</v>
      </c>
      <c r="W1" s="67" t="s">
        <v>177</v>
      </c>
      <c r="X1" s="67" t="s">
        <v>176</v>
      </c>
      <c r="Y1" s="67" t="s">
        <v>175</v>
      </c>
    </row>
    <row r="2" spans="1:27" ht="12.75">
      <c r="A2" s="57">
        <v>1</v>
      </c>
      <c r="B2" s="84" t="s">
        <v>57</v>
      </c>
      <c r="C2" s="58">
        <f>IF(SUMIFS(Data!$S:$S,Data!$A:$A,$B2,Data!$C:$C,C$1)=0,"",SUMIFS(Data!$S:$S,Data!$A:$A,$B2,Data!$C:$C,C$1))</f>
        <v>4.7633333333333336</v>
      </c>
      <c r="D2" s="58">
        <f>IF(SUMIFS(Data!$S:$S,Data!$A:$A,$B2,Data!$C:$C,D$1)=0,"",SUMIFS(Data!$S:$S,Data!$A:$A,$B2,Data!$C:$C,D$1))</f>
        <v>5.2366666666666672</v>
      </c>
      <c r="E2" s="58">
        <f>IF(SUMIFS(Data!$S:$S,Data!$A:$A,$B2,Data!$C:$C,E$1)=0,"",SUMIFS(Data!$S:$S,Data!$A:$A,$B2,Data!$C:$C,E$1))</f>
        <v>3.7250000000000001</v>
      </c>
      <c r="F2" s="58">
        <f>IF(SUMIFS(Data!$S:$S,Data!$A:$A,$B2,Data!$C:$C,F$1)=0,"",SUMIFS(Data!$S:$S,Data!$A:$A,$B2,Data!$C:$C,F$1))</f>
        <v>4.1473333333333331</v>
      </c>
      <c r="G2" s="58">
        <f>IF(SUMIFS(Data!$S:$S,Data!$A:$A,$B2,Data!$C:$C,G$1)=0,"",SUMIFS(Data!$S:$S,Data!$A:$A,$B2,Data!$C:$C,G$1))</f>
        <v>4.9046666666666665</v>
      </c>
      <c r="H2" s="58">
        <f>IF(SUMIFS(Data!$S:$S,Data!$A:$A,$B2,Data!$C:$C,H$1)=0,"",SUMIFS(Data!$S:$S,Data!$A:$A,$B2,Data!$C:$C,H$1))</f>
        <v>5.25</v>
      </c>
      <c r="I2" s="58">
        <f>IF(SUMIFS(Data!$S:$S,Data!$A:$A,$B2,Data!$C:$C,I$1)=0,"",SUMIFS(Data!$S:$S,Data!$A:$A,$B2,Data!$C:$C,I$1))</f>
        <v>4.4466666666666663</v>
      </c>
      <c r="J2" s="58">
        <f>IF(SUMIFS(Data!$S:$S,Data!$A:$A,$B2,Data!$C:$C,J$1)=0,"",SUMIFS(Data!$S:$S,Data!$A:$A,$B2,Data!$C:$C,J$1))</f>
        <v>5.2839999999999998</v>
      </c>
      <c r="K2" s="58">
        <f>IF(SUMIFS(Data!$S:$S,Data!$A:$A,$B2,Data!$C:$C,K$1)=0,"",SUMIFS(Data!$S:$S,Data!$A:$A,$B2,Data!$C:$C,K$1))</f>
        <v>3.7396666666666665</v>
      </c>
      <c r="L2" s="58">
        <f>IF(SUMIFS(Data!$S:$S,Data!$A:$A,$B2,Data!$C:$C,L$1)=0,"",SUMIFS(Data!$S:$S,Data!$A:$A,$B2,Data!$C:$C,L$1))</f>
        <v>3.7256666666666667</v>
      </c>
      <c r="M2" s="58">
        <f>IF(SUMIFS(Data!$S:$S,Data!$A:$A,$B2,Data!$C:$C,M$1)=0,"",SUMIFS(Data!$S:$S,Data!$A:$A,$B2,Data!$C:$C,M$1))</f>
        <v>5.5403333333333338</v>
      </c>
      <c r="N2" s="58">
        <f>IF(SUMIFS(Data!$S:$S,Data!$A:$A,$B2,Data!$C:$C,N$1)=0,"",SUMIFS(Data!$S:$S,Data!$A:$A,$B2,Data!$C:$C,N$1))</f>
        <v>8</v>
      </c>
      <c r="O2" s="58"/>
      <c r="P2" s="58"/>
      <c r="Q2" s="58"/>
      <c r="R2" s="58">
        <f>IF(SUMIFS(Data!X:X,Data!A:A,'#ligaSYR'!B2)=12,5,IF(SUMIFS(Data!X:X,Data!A:A,'#ligaSYR'!B2)&gt;9,3,IF(SUMIFS(Data!X:X,Data!A:A,'#ligaSYR'!B2)&gt;4,1,0)))</f>
        <v>5</v>
      </c>
      <c r="S2" s="58">
        <f>IF(COUNT(C2:Q2)=12,5,IF(COUNT(C2:Q2)=11,3,IF(COUNT(C2:Q2)=10,1,0)))</f>
        <v>5</v>
      </c>
      <c r="T2" s="58">
        <f>SUM(C2:S2)</f>
        <v>68.763333333333335</v>
      </c>
      <c r="U2" s="58">
        <f>SUMIFS(Data!D:D,Data!A:A,'#ligaSYR'!B2)</f>
        <v>304.36</v>
      </c>
      <c r="V2" s="66">
        <f>SUMIFS(Data!V:V,Data!A:A,'#ligaSYR'!B2)/COUNT(C2:Q2)</f>
        <v>0.47589543349983449</v>
      </c>
      <c r="W2" s="59" t="str">
        <f>IF(VLOOKUP(B2,Participanti!A:D,4,0)=0," ","New")</f>
        <v xml:space="preserve"> </v>
      </c>
      <c r="Y2" s="59" t="str">
        <f>IF(X2=A2,"Stationare",IF(A2=X2-1,CONCATENATE("Urcare"&amp;" "&amp;X2-A2," "&amp;"loc"),IF(A2&lt;X2,CONCATENATE("Urcare"&amp;" "&amp;X2-A2," "&amp;"locuri"),IF(A2=X2+1,CONCATENATE("Coborare"&amp;" "&amp;A2-X2," "&amp;"loc"),CONCATENATE("Coborare"&amp;" "&amp;A2-X2," "&amp;"locuri")))))</f>
        <v>Coborare 1 loc</v>
      </c>
    </row>
    <row r="3" spans="1:27" ht="12.75">
      <c r="A3" s="57">
        <v>2</v>
      </c>
      <c r="B3" s="84" t="s">
        <v>55</v>
      </c>
      <c r="C3" s="58">
        <f>IF(SUMIFS(Data!$S:$S,Data!$A:$A,$B3,Data!$C:$C,C$1)=0,"",SUMIFS(Data!$S:$S,Data!$A:$A,$B3,Data!$C:$C,C$1))</f>
        <v>5.4479999999999995</v>
      </c>
      <c r="D3" s="58">
        <f>IF(SUMIFS(Data!$S:$S,Data!$A:$A,$B3,Data!$C:$C,D$1)=0,"",SUMIFS(Data!$S:$S,Data!$A:$A,$B3,Data!$C:$C,D$1))</f>
        <v>3.75</v>
      </c>
      <c r="E3" s="58">
        <f>IF(SUMIFS(Data!$S:$S,Data!$A:$A,$B3,Data!$C:$C,E$1)=0,"",SUMIFS(Data!$S:$S,Data!$A:$A,$B3,Data!$C:$C,E$1))</f>
        <v>5.7360000000000007</v>
      </c>
      <c r="F3" s="58">
        <f>IF(SUMIFS(Data!$S:$S,Data!$A:$A,$B3,Data!$C:$C,F$1)=0,"",SUMIFS(Data!$S:$S,Data!$A:$A,$B3,Data!$C:$C,F$1))</f>
        <v>5.222666666666667</v>
      </c>
      <c r="G3" s="58">
        <f>IF(SUMIFS(Data!$S:$S,Data!$A:$A,$B3,Data!$C:$C,G$1)=0,"",SUMIFS(Data!$S:$S,Data!$A:$A,$B3,Data!$C:$C,G$1))</f>
        <v>4</v>
      </c>
      <c r="H3" s="58">
        <f>IF(SUMIFS(Data!$S:$S,Data!$A:$A,$B3,Data!$C:$C,H$1)=0,"",SUMIFS(Data!$S:$S,Data!$A:$A,$B3,Data!$C:$C,H$1))</f>
        <v>5.2213333333333338</v>
      </c>
      <c r="I3" s="58">
        <f>IF(SUMIFS(Data!$S:$S,Data!$A:$A,$B3,Data!$C:$C,I$1)=0,"",SUMIFS(Data!$S:$S,Data!$A:$A,$B3,Data!$C:$C,I$1))</f>
        <v>3.6</v>
      </c>
      <c r="J3" s="58">
        <f>IF(SUMIFS(Data!$S:$S,Data!$A:$A,$B3,Data!$C:$C,J$1)=0,"",SUMIFS(Data!$S:$S,Data!$A:$A,$B3,Data!$C:$C,J$1))</f>
        <v>6.4249999999999998</v>
      </c>
      <c r="K3" s="58">
        <f>IF(SUMIFS(Data!$S:$S,Data!$A:$A,$B3,Data!$C:$C,K$1)=0,"",SUMIFS(Data!$S:$S,Data!$A:$A,$B3,Data!$C:$C,K$1))</f>
        <v>4.5186666666666664</v>
      </c>
      <c r="L3" s="58">
        <f>IF(SUMIFS(Data!$S:$S,Data!$A:$A,$B3,Data!$C:$C,L$1)=0,"",SUMIFS(Data!$S:$S,Data!$A:$A,$B3,Data!$C:$C,L$1))</f>
        <v>4.2123333333333335</v>
      </c>
      <c r="M3" s="58">
        <f>IF(SUMIFS(Data!$S:$S,Data!$A:$A,$B3,Data!$C:$C,M$1)=0,"",SUMIFS(Data!$S:$S,Data!$A:$A,$B3,Data!$C:$C,M$1))</f>
        <v>5.7249999999999996</v>
      </c>
      <c r="N3" s="58">
        <f>IF(SUMIFS(Data!$S:$S,Data!$A:$A,$B3,Data!$C:$C,N$1)=0,"",SUMIFS(Data!$S:$S,Data!$A:$A,$B3,Data!$C:$C,N$1))</f>
        <v>3.6656666666666666</v>
      </c>
      <c r="O3" s="58"/>
      <c r="P3" s="58"/>
      <c r="Q3" s="58"/>
      <c r="R3" s="58">
        <f>IF(SUMIFS(Data!X:X,Data!A:A,'#ligaSYR'!B3)=12,5,IF(SUMIFS(Data!X:X,Data!A:A,'#ligaSYR'!B3)&gt;9,3,IF(SUMIFS(Data!X:X,Data!A:A,'#ligaSYR'!B3)&gt;4,1,0)))</f>
        <v>1</v>
      </c>
      <c r="S3" s="58">
        <f t="shared" ref="S3:S41" si="0">IF(COUNT(C3:Q3)=12,5,IF(COUNT(C3:Q3)=11,3,IF(COUNT(C3:Q3)=10,1,0)))</f>
        <v>5</v>
      </c>
      <c r="T3" s="58">
        <f t="shared" ref="T3:T41" si="1">SUM(C3:S3)</f>
        <v>63.524666666666668</v>
      </c>
      <c r="U3" s="58">
        <f>SUMIFS(Data!D:D,Data!A:A,'#ligaSYR'!B3)</f>
        <v>307.84999999999997</v>
      </c>
      <c r="V3" s="66">
        <f>SUMIFS(Data!V:V,Data!A:A,'#ligaSYR'!B3)/COUNT(C3:Q3)</f>
        <v>0.47916926467848975</v>
      </c>
      <c r="W3" s="59" t="str">
        <f>IF(VLOOKUP(B3,Participanti!A:D,4,0)=0," ","New")</f>
        <v xml:space="preserve"> </v>
      </c>
      <c r="Y3" s="59" t="str">
        <f>IF(X3=A3,"Stationare",IF(A3=X3-1,CONCATENATE("Urcare"&amp;" "&amp;X3-A3," "&amp;"loc"),IF(A3&lt;X3,CONCATENATE("Urcare"&amp;" "&amp;X3-A3," "&amp;"locuri"),IF(A3=X3+1,CONCATENATE("Coborare"&amp;" "&amp;A3-X3," "&amp;"loc"),CONCATENATE("Coborare"&amp;" "&amp;A3-X3," "&amp;"locuri")))))</f>
        <v>Coborare 2 locuri</v>
      </c>
      <c r="AA3" s="123"/>
    </row>
    <row r="4" spans="1:27" ht="12.75">
      <c r="A4" s="57">
        <v>3</v>
      </c>
      <c r="B4" s="84" t="s">
        <v>6</v>
      </c>
      <c r="C4" s="58">
        <f>IF(SUMIFS(Data!$S:$S,Data!$A:$A,$B4,Data!$C:$C,C$1)=0,"",SUMIFS(Data!$S:$S,Data!$A:$A,$B4,Data!$C:$C,C$1))</f>
        <v>3.75</v>
      </c>
      <c r="D4" s="58">
        <f>IF(SUMIFS(Data!$S:$S,Data!$A:$A,$B4,Data!$C:$C,D$1)=0,"",SUMIFS(Data!$S:$S,Data!$A:$A,$B4,Data!$C:$C,D$1))</f>
        <v>4.25</v>
      </c>
      <c r="E4" s="58">
        <f>IF(SUMIFS(Data!$S:$S,Data!$A:$A,$B4,Data!$C:$C,E$1)=0,"",SUMIFS(Data!$S:$S,Data!$A:$A,$B4,Data!$C:$C,E$1))</f>
        <v>3.625</v>
      </c>
      <c r="F4" s="58">
        <f>IF(SUMIFS(Data!$S:$S,Data!$A:$A,$B4,Data!$C:$C,F$1)=0,"",SUMIFS(Data!$S:$S,Data!$A:$A,$B4,Data!$C:$C,F$1))</f>
        <v>4.1026666666666669</v>
      </c>
      <c r="G4" s="58">
        <f>IF(SUMIFS(Data!$S:$S,Data!$A:$A,$B4,Data!$C:$C,G$1)=0,"",SUMIFS(Data!$S:$S,Data!$A:$A,$B4,Data!$C:$C,G$1))</f>
        <v>4.375</v>
      </c>
      <c r="H4" s="58">
        <f>IF(SUMIFS(Data!$S:$S,Data!$A:$A,$B4,Data!$C:$C,H$1)=0,"",SUMIFS(Data!$S:$S,Data!$A:$A,$B4,Data!$C:$C,H$1))</f>
        <v>3.125</v>
      </c>
      <c r="I4" s="58">
        <f>IF(SUMIFS(Data!$S:$S,Data!$A:$A,$B4,Data!$C:$C,I$1)=0,"",SUMIFS(Data!$S:$S,Data!$A:$A,$B4,Data!$C:$C,I$1))</f>
        <v>4</v>
      </c>
      <c r="J4" s="58">
        <f>IF(SUMIFS(Data!$S:$S,Data!$A:$A,$B4,Data!$C:$C,J$1)=0,"",SUMIFS(Data!$S:$S,Data!$A:$A,$B4,Data!$C:$C,J$1))</f>
        <v>4.1449999999999996</v>
      </c>
      <c r="K4" s="58">
        <f>IF(SUMIFS(Data!$S:$S,Data!$A:$A,$B4,Data!$C:$C,K$1)=0,"",SUMIFS(Data!$S:$S,Data!$A:$A,$B4,Data!$C:$C,K$1))</f>
        <v>4.25</v>
      </c>
      <c r="L4" s="58">
        <f>IF(SUMIFS(Data!$S:$S,Data!$A:$A,$B4,Data!$C:$C,L$1)=0,"",SUMIFS(Data!$S:$S,Data!$A:$A,$B4,Data!$C:$C,L$1))</f>
        <v>3.625</v>
      </c>
      <c r="M4" s="58">
        <f>IF(SUMIFS(Data!$S:$S,Data!$A:$A,$B4,Data!$C:$C,M$1)=0,"",SUMIFS(Data!$S:$S,Data!$A:$A,$B4,Data!$C:$C,M$1))</f>
        <v>3.9470000000000001</v>
      </c>
      <c r="N4" s="58">
        <f>IF(SUMIFS(Data!$S:$S,Data!$A:$A,$B4,Data!$C:$C,N$1)=0,"",SUMIFS(Data!$S:$S,Data!$A:$A,$B4,Data!$C:$C,N$1))</f>
        <v>3.25</v>
      </c>
      <c r="O4" s="58"/>
      <c r="P4" s="58"/>
      <c r="Q4" s="58"/>
      <c r="R4" s="58">
        <f>IF(SUMIFS(Data!X:X,Data!A:A,'#ligaSYR'!B4)=12,5,IF(SUMIFS(Data!X:X,Data!A:A,'#ligaSYR'!B4)&gt;9,3,IF(SUMIFS(Data!X:X,Data!A:A,'#ligaSYR'!B4)&gt;4,1,0)))</f>
        <v>5</v>
      </c>
      <c r="S4" s="58">
        <f t="shared" si="0"/>
        <v>5</v>
      </c>
      <c r="T4" s="58">
        <f t="shared" si="1"/>
        <v>56.44466666666667</v>
      </c>
      <c r="U4" s="58">
        <f>SUMIFS(Data!D:D,Data!A:A,'#ligaSYR'!B4)</f>
        <v>186.12999999999997</v>
      </c>
      <c r="V4" s="66">
        <f>SUMIFS(Data!V:V,Data!A:A,'#ligaSYR'!B4)/COUNT(C4:Q4)</f>
        <v>0.26615138431615032</v>
      </c>
      <c r="W4" s="59" t="str">
        <f>IF(VLOOKUP(B4,Participanti!A:D,4,0)=0," ","New")</f>
        <v xml:space="preserve"> </v>
      </c>
      <c r="Y4" s="59" t="str">
        <f>IF(X4=A4,"Stationare",IF(A4=X4-1,CONCATENATE("Urcare"&amp;" "&amp;X4-A4," "&amp;"loc"),IF(A4&lt;X4,CONCATENATE("Urcare"&amp;" "&amp;X4-A4," "&amp;"locuri"),IF(A4=X4+1,CONCATENATE("Coborare"&amp;" "&amp;A4-X4," "&amp;"loc"),CONCATENATE("Coborare"&amp;" "&amp;A4-X4," "&amp;"locuri")))))</f>
        <v>Coborare 3 locuri</v>
      </c>
      <c r="AA4" s="123"/>
    </row>
    <row r="5" spans="1:27" ht="12.75">
      <c r="A5" s="57">
        <v>4</v>
      </c>
      <c r="B5" s="57" t="s">
        <v>82</v>
      </c>
      <c r="C5" s="58">
        <f>IF(SUMIFS(Data!$S:$S,Data!$A:$A,$B5,Data!$C:$C,C$1)=0,"",SUMIFS(Data!$S:$S,Data!$A:$A,$B5,Data!$C:$C,C$1))</f>
        <v>3.5</v>
      </c>
      <c r="D5" s="58">
        <f>IF(SUMIFS(Data!$S:$S,Data!$A:$A,$B5,Data!$C:$C,D$1)=0,"",SUMIFS(Data!$S:$S,Data!$A:$A,$B5,Data!$C:$C,D$1))</f>
        <v>3.125</v>
      </c>
      <c r="E5" s="58">
        <f>IF(SUMIFS(Data!$S:$S,Data!$A:$A,$B5,Data!$C:$C,E$1)=0,"",SUMIFS(Data!$S:$S,Data!$A:$A,$B5,Data!$C:$C,E$1))</f>
        <v>3.375</v>
      </c>
      <c r="F5" s="58">
        <f>IF(SUMIFS(Data!$S:$S,Data!$A:$A,$B5,Data!$C:$C,F$1)=0,"",SUMIFS(Data!$S:$S,Data!$A:$A,$B5,Data!$C:$C,F$1))</f>
        <v>3.125</v>
      </c>
      <c r="G5" s="58">
        <f>IF(SUMIFS(Data!$S:$S,Data!$A:$A,$B5,Data!$C:$C,G$1)=0,"",SUMIFS(Data!$S:$S,Data!$A:$A,$B5,Data!$C:$C,G$1))</f>
        <v>3</v>
      </c>
      <c r="H5" s="58">
        <f>IF(SUMIFS(Data!$S:$S,Data!$A:$A,$B5,Data!$C:$C,H$1)=0,"",SUMIFS(Data!$S:$S,Data!$A:$A,$B5,Data!$C:$C,H$1))</f>
        <v>4.0463333333333331</v>
      </c>
      <c r="I5" s="58">
        <f>IF(SUMIFS(Data!$S:$S,Data!$A:$A,$B5,Data!$C:$C,I$1)=0,"",SUMIFS(Data!$S:$S,Data!$A:$A,$B5,Data!$C:$C,I$1))</f>
        <v>5.1013333333333337</v>
      </c>
      <c r="J5" s="58">
        <f>IF(SUMIFS(Data!$S:$S,Data!$A:$A,$B5,Data!$C:$C,J$1)=0,"",SUMIFS(Data!$S:$S,Data!$A:$A,$B5,Data!$C:$C,J$1))</f>
        <v>4.4740000000000002</v>
      </c>
      <c r="K5" s="58">
        <f>IF(SUMIFS(Data!$S:$S,Data!$A:$A,$B5,Data!$C:$C,K$1)=0,"",SUMIFS(Data!$S:$S,Data!$A:$A,$B5,Data!$C:$C,K$1))</f>
        <v>4.4393333333333338</v>
      </c>
      <c r="L5" s="58">
        <f>IF(SUMIFS(Data!$S:$S,Data!$A:$A,$B5,Data!$C:$C,L$1)=0,"",SUMIFS(Data!$S:$S,Data!$A:$A,$B5,Data!$C:$C,L$1))</f>
        <v>8.6606666666666676</v>
      </c>
      <c r="M5" s="58">
        <f>IF(SUMIFS(Data!$S:$S,Data!$A:$A,$B5,Data!$C:$C,M$1)=0,"",SUMIFS(Data!$S:$S,Data!$A:$A,$B5,Data!$C:$C,M$1))</f>
        <v>2.875</v>
      </c>
      <c r="N5" s="58">
        <f>IF(SUMIFS(Data!$S:$S,Data!$A:$A,$B5,Data!$C:$C,N$1)=0,"",SUMIFS(Data!$S:$S,Data!$A:$A,$B5,Data!$C:$C,N$1))</f>
        <v>4.4523333333333337</v>
      </c>
      <c r="O5" s="58"/>
      <c r="P5" s="58"/>
      <c r="Q5" s="58"/>
      <c r="R5" s="58">
        <f>IF(SUMIFS(Data!X:X,Data!A:A,'#ligaSYR'!B5)=12,5,IF(SUMIFS(Data!X:X,Data!A:A,'#ligaSYR'!B5)&gt;9,3,IF(SUMIFS(Data!X:X,Data!A:A,'#ligaSYR'!B5)&gt;4,1,0)))</f>
        <v>1</v>
      </c>
      <c r="S5" s="58">
        <f t="shared" si="0"/>
        <v>5</v>
      </c>
      <c r="T5" s="58">
        <f t="shared" si="1"/>
        <v>56.173999999999999</v>
      </c>
      <c r="U5" s="58">
        <f>SUMIFS(Data!D:D,Data!A:A,'#ligaSYR'!B5)</f>
        <v>329.49</v>
      </c>
      <c r="V5" s="66">
        <f>SUMIFS(Data!V:V,Data!A:A,'#ligaSYR'!B5)/COUNT(C5:Q5)</f>
        <v>0.29630417451615471</v>
      </c>
      <c r="W5" s="59" t="str">
        <f>IF(VLOOKUP(B5,Participanti!A:D,4,0)=0," ","New")</f>
        <v xml:space="preserve"> </v>
      </c>
      <c r="Y5" s="59" t="str">
        <f>IF(X5=A5,"Stationare",IF(A5=X5-1,CONCATENATE("Urcare"&amp;" "&amp;X5-A5," "&amp;"loc"),IF(A5&lt;X5,CONCATENATE("Urcare"&amp;" "&amp;X5-A5," "&amp;"locuri"),IF(A5=X5+1,CONCATENATE("Coborare"&amp;" "&amp;A5-X5," "&amp;"loc"),CONCATENATE("Coborare"&amp;" "&amp;A5-X5," "&amp;"locuri")))))</f>
        <v>Coborare 4 locuri</v>
      </c>
    </row>
    <row r="6" spans="1:27" ht="12.75">
      <c r="A6" s="57">
        <v>5</v>
      </c>
      <c r="B6" s="57" t="s">
        <v>200</v>
      </c>
      <c r="C6" s="58">
        <f>IF(SUMIFS(Data!$S:$S,Data!$A:$A,$B6,Data!$C:$C,C$1)=0,"",SUMIFS(Data!$S:$S,Data!$A:$A,$B6,Data!$C:$C,C$1))</f>
        <v>3.2986666666666666</v>
      </c>
      <c r="D6" s="58">
        <f>IF(SUMIFS(Data!$S:$S,Data!$A:$A,$B6,Data!$C:$C,D$1)=0,"",SUMIFS(Data!$S:$S,Data!$A:$A,$B6,Data!$C:$C,D$1))</f>
        <v>4.375</v>
      </c>
      <c r="E6" s="58">
        <f>IF(SUMIFS(Data!$S:$S,Data!$A:$A,$B6,Data!$C:$C,E$1)=0,"",SUMIFS(Data!$S:$S,Data!$A:$A,$B6,Data!$C:$C,E$1))</f>
        <v>3.125</v>
      </c>
      <c r="F6" s="58">
        <f>IF(SUMIFS(Data!$S:$S,Data!$A:$A,$B6,Data!$C:$C,F$1)=0,"",SUMIFS(Data!$S:$S,Data!$A:$A,$B6,Data!$C:$C,F$1))</f>
        <v>3.75</v>
      </c>
      <c r="G6" s="58">
        <f>IF(SUMIFS(Data!$S:$S,Data!$A:$A,$B6,Data!$C:$C,G$1)=0,"",SUMIFS(Data!$S:$S,Data!$A:$A,$B6,Data!$C:$C,G$1))</f>
        <v>4.0999999999999996</v>
      </c>
      <c r="H6" s="58">
        <f>IF(SUMIFS(Data!$S:$S,Data!$A:$A,$B6,Data!$C:$C,H$1)=0,"",SUMIFS(Data!$S:$S,Data!$A:$A,$B6,Data!$C:$C,H$1))</f>
        <v>3.5</v>
      </c>
      <c r="I6" s="58">
        <f>IF(SUMIFS(Data!$S:$S,Data!$A:$A,$B6,Data!$C:$C,I$1)=0,"",SUMIFS(Data!$S:$S,Data!$A:$A,$B6,Data!$C:$C,I$1))</f>
        <v>3.875</v>
      </c>
      <c r="J6" s="58">
        <f>IF(SUMIFS(Data!$S:$S,Data!$A:$A,$B6,Data!$C:$C,J$1)=0,"",SUMIFS(Data!$S:$S,Data!$A:$A,$B6,Data!$C:$C,J$1))</f>
        <v>4.0473333333333334</v>
      </c>
      <c r="K6" s="58">
        <f>IF(SUMIFS(Data!$S:$S,Data!$A:$A,$B6,Data!$C:$C,K$1)=0,"",SUMIFS(Data!$S:$S,Data!$A:$A,$B6,Data!$C:$C,K$1))</f>
        <v>3.375</v>
      </c>
      <c r="L6" s="58">
        <f>IF(SUMIFS(Data!$S:$S,Data!$A:$A,$B6,Data!$C:$C,L$1)=0,"",SUMIFS(Data!$S:$S,Data!$A:$A,$B6,Data!$C:$C,L$1))</f>
        <v>4.1406666666666663</v>
      </c>
      <c r="M6" s="58">
        <f>IF(SUMIFS(Data!$S:$S,Data!$A:$A,$B6,Data!$C:$C,M$1)=0,"",SUMIFS(Data!$S:$S,Data!$A:$A,$B6,Data!$C:$C,M$1))</f>
        <v>4.5750000000000002</v>
      </c>
      <c r="N6" s="58">
        <f>IF(SUMIFS(Data!$S:$S,Data!$A:$A,$B6,Data!$C:$C,N$1)=0,"",SUMIFS(Data!$S:$S,Data!$A:$A,$B6,Data!$C:$C,N$1))</f>
        <v>3.85</v>
      </c>
      <c r="O6" s="58"/>
      <c r="P6" s="58"/>
      <c r="Q6" s="58"/>
      <c r="R6" s="58">
        <f>IF(SUMIFS(Data!X:X,Data!A:A,'#ligaSYR'!B6)=12,5,IF(SUMIFS(Data!X:X,Data!A:A,'#ligaSYR'!B6)&gt;9,3,IF(SUMIFS(Data!X:X,Data!A:A,'#ligaSYR'!B6)&gt;4,1,0)))</f>
        <v>5</v>
      </c>
      <c r="S6" s="58">
        <f t="shared" si="0"/>
        <v>5</v>
      </c>
      <c r="T6" s="58">
        <f t="shared" si="1"/>
        <v>56.01166666666667</v>
      </c>
      <c r="U6" s="58">
        <f>SUMIFS(Data!D:D,Data!A:A,'#ligaSYR'!B6)</f>
        <v>250.85999999999996</v>
      </c>
      <c r="V6" s="66">
        <f>SUMIFS(Data!V:V,Data!A:A,'#ligaSYR'!B6)/COUNT(C6:Q6)</f>
        <v>0.1955197215685357</v>
      </c>
      <c r="W6" s="59" t="str">
        <f>IF(VLOOKUP(B6,Participanti!A:D,4,0)=0," ","New")</f>
        <v>New</v>
      </c>
      <c r="Y6" s="59" t="str">
        <f>IF(X6=A6,"Stationare",IF(A6=X6-1,CONCATENATE("Urcare"&amp;" "&amp;X6-A6," "&amp;"loc"),IF(A6&lt;X6,CONCATENATE("Urcare"&amp;" "&amp;X6-A6," "&amp;"locuri"),IF(A6=X6+1,CONCATENATE("Coborare"&amp;" "&amp;A6-X6," "&amp;"loc"),CONCATENATE("Coborare"&amp;" "&amp;A6-X6," "&amp;"locuri")))))</f>
        <v>Coborare 5 locuri</v>
      </c>
    </row>
    <row r="7" spans="1:27" ht="12.75">
      <c r="A7" s="57">
        <v>6</v>
      </c>
      <c r="B7" s="57" t="s">
        <v>171</v>
      </c>
      <c r="C7" s="58">
        <f>IF(SUMIFS(Data!$S:$S,Data!$A:$A,$B7,Data!$C:$C,C$1)=0,"",SUMIFS(Data!$S:$S,Data!$A:$A,$B7,Data!$C:$C,C$1))</f>
        <v>3.75</v>
      </c>
      <c r="D7" s="58">
        <f>IF(SUMIFS(Data!$S:$S,Data!$A:$A,$B7,Data!$C:$C,D$1)=0,"",SUMIFS(Data!$S:$S,Data!$A:$A,$B7,Data!$C:$C,D$1))</f>
        <v>3.6923333333333335</v>
      </c>
      <c r="E7" s="58">
        <f>IF(SUMIFS(Data!$S:$S,Data!$A:$A,$B7,Data!$C:$C,E$1)=0,"",SUMIFS(Data!$S:$S,Data!$A:$A,$B7,Data!$C:$C,E$1))</f>
        <v>3.375</v>
      </c>
      <c r="F7" s="58">
        <f>IF(SUMIFS(Data!$S:$S,Data!$A:$A,$B7,Data!$C:$C,F$1)=0,"",SUMIFS(Data!$S:$S,Data!$A:$A,$B7,Data!$C:$C,F$1))</f>
        <v>2.875</v>
      </c>
      <c r="G7" s="58">
        <f>IF(SUMIFS(Data!$S:$S,Data!$A:$A,$B7,Data!$C:$C,G$1)=0,"",SUMIFS(Data!$S:$S,Data!$A:$A,$B7,Data!$C:$C,G$1))</f>
        <v>4</v>
      </c>
      <c r="H7" s="58">
        <f>IF(SUMIFS(Data!$S:$S,Data!$A:$A,$B7,Data!$C:$C,H$1)=0,"",SUMIFS(Data!$S:$S,Data!$A:$A,$B7,Data!$C:$C,H$1))</f>
        <v>4.0060000000000002</v>
      </c>
      <c r="I7" s="58">
        <f>IF(SUMIFS(Data!$S:$S,Data!$A:$A,$B7,Data!$C:$C,I$1)=0,"",SUMIFS(Data!$S:$S,Data!$A:$A,$B7,Data!$C:$C,I$1))</f>
        <v>4</v>
      </c>
      <c r="J7" s="58">
        <f>IF(SUMIFS(Data!$S:$S,Data!$A:$A,$B7,Data!$C:$C,J$1)=0,"",SUMIFS(Data!$S:$S,Data!$A:$A,$B7,Data!$C:$C,J$1))</f>
        <v>4.254666666666667</v>
      </c>
      <c r="K7" s="58">
        <f>IF(SUMIFS(Data!$S:$S,Data!$A:$A,$B7,Data!$C:$C,K$1)=0,"",SUMIFS(Data!$S:$S,Data!$A:$A,$B7,Data!$C:$C,K$1))</f>
        <v>3.75</v>
      </c>
      <c r="L7" s="58">
        <f>IF(SUMIFS(Data!$S:$S,Data!$A:$A,$B7,Data!$C:$C,L$1)=0,"",SUMIFS(Data!$S:$S,Data!$A:$A,$B7,Data!$C:$C,L$1))</f>
        <v>3.375</v>
      </c>
      <c r="M7" s="58">
        <f>IF(SUMIFS(Data!$S:$S,Data!$A:$A,$B7,Data!$C:$C,M$1)=0,"",SUMIFS(Data!$S:$S,Data!$A:$A,$B7,Data!$C:$C,M$1))</f>
        <v>4</v>
      </c>
      <c r="N7" s="58">
        <f>IF(SUMIFS(Data!$S:$S,Data!$A:$A,$B7,Data!$C:$C,N$1)=0,"",SUMIFS(Data!$S:$S,Data!$A:$A,$B7,Data!$C:$C,N$1))</f>
        <v>3.875</v>
      </c>
      <c r="O7" s="58"/>
      <c r="P7" s="58"/>
      <c r="Q7" s="58"/>
      <c r="R7" s="58">
        <f>IF(SUMIFS(Data!X:X,Data!A:A,'#ligaSYR'!B7)=12,5,IF(SUMIFS(Data!X:X,Data!A:A,'#ligaSYR'!B7)&gt;9,3,IF(SUMIFS(Data!X:X,Data!A:A,'#ligaSYR'!B7)&gt;4,1,0)))</f>
        <v>5</v>
      </c>
      <c r="S7" s="58">
        <f t="shared" si="0"/>
        <v>5</v>
      </c>
      <c r="T7" s="58">
        <f t="shared" si="1"/>
        <v>54.953000000000003</v>
      </c>
      <c r="U7" s="58">
        <f>SUMIFS(Data!D:D,Data!A:A,'#ligaSYR'!B7)</f>
        <v>206.47000000000006</v>
      </c>
      <c r="V7" s="66">
        <f>SUMIFS(Data!V:V,Data!A:A,'#ligaSYR'!B7)/COUNT(C7:Q7)</f>
        <v>0.24379380959456773</v>
      </c>
      <c r="W7" s="59" t="str">
        <f>IF(VLOOKUP(B7,Participanti!A:D,4,0)=0," ","New")</f>
        <v xml:space="preserve"> </v>
      </c>
      <c r="Y7" s="59" t="str">
        <f>IF(X7=A7,"Stationare",IF(A7=X7-1,CONCATENATE("Urcare"&amp;" "&amp;X7-A7," "&amp;"loc"),IF(A7&lt;X7,CONCATENATE("Urcare"&amp;" "&amp;X7-A7," "&amp;"locuri"),IF(A7=X7+1,CONCATENATE("Coborare"&amp;" "&amp;A7-X7," "&amp;"loc"),CONCATENATE("Coborare"&amp;" "&amp;A7-X7," "&amp;"locuri")))))</f>
        <v>Coborare 6 locuri</v>
      </c>
    </row>
    <row r="8" spans="1:27" ht="12.75">
      <c r="A8" s="57">
        <v>7</v>
      </c>
      <c r="B8" s="57" t="s">
        <v>60</v>
      </c>
      <c r="C8" s="58">
        <f>IF(SUMIFS(Data!$S:$S,Data!$A:$A,$B8,Data!$C:$C,C$1)=0,"",SUMIFS(Data!$S:$S,Data!$A:$A,$B8,Data!$C:$C,C$1))</f>
        <v>3.75</v>
      </c>
      <c r="D8" s="58">
        <f>IF(SUMIFS(Data!$S:$S,Data!$A:$A,$B8,Data!$C:$C,D$1)=0,"",SUMIFS(Data!$S:$S,Data!$A:$A,$B8,Data!$C:$C,D$1))</f>
        <v>3.875</v>
      </c>
      <c r="E8" s="58">
        <f>IF(SUMIFS(Data!$S:$S,Data!$A:$A,$B8,Data!$C:$C,E$1)=0,"",SUMIFS(Data!$S:$S,Data!$A:$A,$B8,Data!$C:$C,E$1))</f>
        <v>3.375</v>
      </c>
      <c r="F8" s="58">
        <f>IF(SUMIFS(Data!$S:$S,Data!$A:$A,$B8,Data!$C:$C,F$1)=0,"",SUMIFS(Data!$S:$S,Data!$A:$A,$B8,Data!$C:$C,F$1))</f>
        <v>4</v>
      </c>
      <c r="G8" s="58">
        <f>IF(SUMIFS(Data!$S:$S,Data!$A:$A,$B8,Data!$C:$C,G$1)=0,"",SUMIFS(Data!$S:$S,Data!$A:$A,$B8,Data!$C:$C,G$1))</f>
        <v>3.875</v>
      </c>
      <c r="H8" s="58">
        <f>IF(SUMIFS(Data!$S:$S,Data!$A:$A,$B8,Data!$C:$C,H$1)=0,"",SUMIFS(Data!$S:$S,Data!$A:$A,$B8,Data!$C:$C,H$1))</f>
        <v>3.25</v>
      </c>
      <c r="I8" s="58">
        <f>IF(SUMIFS(Data!$S:$S,Data!$A:$A,$B8,Data!$C:$C,I$1)=0,"",SUMIFS(Data!$S:$S,Data!$A:$A,$B8,Data!$C:$C,I$1))</f>
        <v>4</v>
      </c>
      <c r="J8" s="58">
        <f>IF(SUMIFS(Data!$S:$S,Data!$A:$A,$B8,Data!$C:$C,J$1)=0,"",SUMIFS(Data!$S:$S,Data!$A:$A,$B8,Data!$C:$C,J$1))</f>
        <v>3.875</v>
      </c>
      <c r="K8" s="58">
        <f>IF(SUMIFS(Data!$S:$S,Data!$A:$A,$B8,Data!$C:$C,K$1)=0,"",SUMIFS(Data!$S:$S,Data!$A:$A,$B8,Data!$C:$C,K$1))</f>
        <v>3.25</v>
      </c>
      <c r="L8" s="58">
        <f>IF(SUMIFS(Data!$S:$S,Data!$A:$A,$B8,Data!$C:$C,L$1)=0,"",SUMIFS(Data!$S:$S,Data!$A:$A,$B8,Data!$C:$C,L$1))</f>
        <v>3.6996666666666669</v>
      </c>
      <c r="M8" s="58">
        <f>IF(SUMIFS(Data!$S:$S,Data!$A:$A,$B8,Data!$C:$C,M$1)=0,"",SUMIFS(Data!$S:$S,Data!$A:$A,$B8,Data!$C:$C,M$1))</f>
        <v>3.875</v>
      </c>
      <c r="N8" s="58">
        <f>IF(SUMIFS(Data!$S:$S,Data!$A:$A,$B8,Data!$C:$C,N$1)=0,"",SUMIFS(Data!$S:$S,Data!$A:$A,$B8,Data!$C:$C,N$1))</f>
        <v>3.375</v>
      </c>
      <c r="O8" s="58"/>
      <c r="P8" s="58"/>
      <c r="Q8" s="58"/>
      <c r="R8" s="58">
        <f>IF(SUMIFS(Data!X:X,Data!A:A,'#ligaSYR'!B8)=12,5,IF(SUMIFS(Data!X:X,Data!A:A,'#ligaSYR'!B8)&gt;9,3,IF(SUMIFS(Data!X:X,Data!A:A,'#ligaSYR'!B8)&gt;4,1,0)))</f>
        <v>5</v>
      </c>
      <c r="S8" s="58">
        <f t="shared" si="0"/>
        <v>5</v>
      </c>
      <c r="T8" s="58">
        <f t="shared" si="1"/>
        <v>54.199666666666666</v>
      </c>
      <c r="U8" s="58">
        <f>SUMIFS(Data!D:D,Data!A:A,'#ligaSYR'!B8)</f>
        <v>286.89</v>
      </c>
      <c r="V8" s="66">
        <f>SUMIFS(Data!V:V,Data!A:A,'#ligaSYR'!B8)/COUNT(C8:Q8)</f>
        <v>0.15685072614861043</v>
      </c>
      <c r="W8" s="59" t="str">
        <f>IF(VLOOKUP(B8,Participanti!A:D,4,0)=0," ","New")</f>
        <v xml:space="preserve"> </v>
      </c>
      <c r="Y8" s="59" t="str">
        <f>IF(X8=A8,"Stationare",IF(A8=X8-1,CONCATENATE("Urcare"&amp;" "&amp;X8-A8," "&amp;"loc"),IF(A8&lt;X8,CONCATENATE("Urcare"&amp;" "&amp;X8-A8," "&amp;"locuri"),IF(A8=X8+1,CONCATENATE("Coborare"&amp;" "&amp;A8-X8," "&amp;"loc"),CONCATENATE("Coborare"&amp;" "&amp;A8-X8," "&amp;"locuri")))))</f>
        <v>Coborare 7 locuri</v>
      </c>
    </row>
    <row r="9" spans="1:27" ht="12.75">
      <c r="A9" s="57">
        <v>8</v>
      </c>
      <c r="B9" s="84" t="s">
        <v>47</v>
      </c>
      <c r="C9" s="58">
        <f>IF(SUMIFS(Data!$S:$S,Data!$A:$A,$B9,Data!$C:$C,C$1)=0,"",SUMIFS(Data!$S:$S,Data!$A:$A,$B9,Data!$C:$C,C$1))</f>
        <v>4.125</v>
      </c>
      <c r="D9" s="58">
        <f>IF(SUMIFS(Data!$S:$S,Data!$A:$A,$B9,Data!$C:$C,D$1)=0,"",SUMIFS(Data!$S:$S,Data!$A:$A,$B9,Data!$C:$C,D$1))</f>
        <v>4.125</v>
      </c>
      <c r="E9" s="58">
        <f>IF(SUMIFS(Data!$S:$S,Data!$A:$A,$B9,Data!$C:$C,E$1)=0,"",SUMIFS(Data!$S:$S,Data!$A:$A,$B9,Data!$C:$C,E$1))</f>
        <v>3.125</v>
      </c>
      <c r="F9" s="58">
        <f>IF(SUMIFS(Data!$S:$S,Data!$A:$A,$B9,Data!$C:$C,F$1)=0,"",SUMIFS(Data!$S:$S,Data!$A:$A,$B9,Data!$C:$C,F$1))</f>
        <v>3.375</v>
      </c>
      <c r="G9" s="58">
        <f>IF(SUMIFS(Data!$S:$S,Data!$A:$A,$B9,Data!$C:$C,G$1)=0,"",SUMIFS(Data!$S:$S,Data!$A:$A,$B9,Data!$C:$C,G$1))</f>
        <v>3.375</v>
      </c>
      <c r="H9" s="58">
        <f>IF(SUMIFS(Data!$S:$S,Data!$A:$A,$B9,Data!$C:$C,H$1)=0,"",SUMIFS(Data!$S:$S,Data!$A:$A,$B9,Data!$C:$C,H$1))</f>
        <v>4</v>
      </c>
      <c r="I9" s="58">
        <f>IF(SUMIFS(Data!$S:$S,Data!$A:$A,$B9,Data!$C:$C,I$1)=0,"",SUMIFS(Data!$S:$S,Data!$A:$A,$B9,Data!$C:$C,I$1))</f>
        <v>4</v>
      </c>
      <c r="J9" s="58">
        <f>IF(SUMIFS(Data!$S:$S,Data!$A:$A,$B9,Data!$C:$C,J$1)=0,"",SUMIFS(Data!$S:$S,Data!$A:$A,$B9,Data!$C:$C,J$1))</f>
        <v>3</v>
      </c>
      <c r="K9" s="58">
        <f>IF(SUMIFS(Data!$S:$S,Data!$A:$A,$B9,Data!$C:$C,K$1)=0,"",SUMIFS(Data!$S:$S,Data!$A:$A,$B9,Data!$C:$C,K$1))</f>
        <v>3.125</v>
      </c>
      <c r="L9" s="58">
        <f>IF(SUMIFS(Data!$S:$S,Data!$A:$A,$B9,Data!$C:$C,L$1)=0,"",SUMIFS(Data!$S:$S,Data!$A:$A,$B9,Data!$C:$C,L$1))</f>
        <v>3.25</v>
      </c>
      <c r="M9" s="58">
        <f>IF(SUMIFS(Data!$S:$S,Data!$A:$A,$B9,Data!$C:$C,M$1)=0,"",SUMIFS(Data!$S:$S,Data!$A:$A,$B9,Data!$C:$C,M$1))</f>
        <v>4.3753333333333329</v>
      </c>
      <c r="N9" s="58">
        <f>IF(SUMIFS(Data!$S:$S,Data!$A:$A,$B9,Data!$C:$C,N$1)=0,"",SUMIFS(Data!$S:$S,Data!$A:$A,$B9,Data!$C:$C,N$1))</f>
        <v>2.75</v>
      </c>
      <c r="O9" s="58"/>
      <c r="P9" s="58"/>
      <c r="Q9" s="58"/>
      <c r="R9" s="58">
        <f>IF(SUMIFS(Data!X:X,Data!A:A,'#ligaSYR'!B9)=12,5,IF(SUMIFS(Data!X:X,Data!A:A,'#ligaSYR'!B9)&gt;9,3,IF(SUMIFS(Data!X:X,Data!A:A,'#ligaSYR'!B9)&gt;4,1,0)))</f>
        <v>5</v>
      </c>
      <c r="S9" s="58">
        <f t="shared" si="0"/>
        <v>5</v>
      </c>
      <c r="T9" s="58">
        <f t="shared" si="1"/>
        <v>52.62533333333333</v>
      </c>
      <c r="U9" s="58">
        <f>SUMIFS(Data!D:D,Data!A:A,'#ligaSYR'!B9)</f>
        <v>210.38000000000002</v>
      </c>
      <c r="V9" s="66">
        <f>SUMIFS(Data!V:V,Data!A:A,'#ligaSYR'!B9)/COUNT(C9:Q9)</f>
        <v>0.23913258883253982</v>
      </c>
      <c r="W9" s="59" t="str">
        <f>IF(VLOOKUP(B9,Participanti!A:D,4,0)=0," ","New")</f>
        <v xml:space="preserve"> </v>
      </c>
      <c r="Y9" s="59" t="str">
        <f>IF(X9=A9,"Stationare",IF(A9=X9-1,CONCATENATE("Urcare"&amp;" "&amp;X9-A9," "&amp;"loc"),IF(A9&lt;X9,CONCATENATE("Urcare"&amp;" "&amp;X9-A9," "&amp;"locuri"),IF(A9=X9+1,CONCATENATE("Coborare"&amp;" "&amp;A9-X9," "&amp;"loc"),CONCATENATE("Coborare"&amp;" "&amp;A9-X9," "&amp;"locuri")))))</f>
        <v>Coborare 8 locuri</v>
      </c>
    </row>
    <row r="10" spans="1:27" ht="12.75">
      <c r="A10" s="57">
        <v>9</v>
      </c>
      <c r="B10" s="84" t="s">
        <v>115</v>
      </c>
      <c r="C10" s="58">
        <f>IF(SUMIFS(Data!$S:$S,Data!$A:$A,$B10,Data!$C:$C,C$1)=0,"",SUMIFS(Data!$S:$S,Data!$A:$A,$B10,Data!$C:$C,C$1))</f>
        <v>4.0419999999999998</v>
      </c>
      <c r="D10" s="58">
        <f>IF(SUMIFS(Data!$S:$S,Data!$A:$A,$B10,Data!$C:$C,D$1)=0,"",SUMIFS(Data!$S:$S,Data!$A:$A,$B10,Data!$C:$C,D$1))</f>
        <v>3.0116666666666667</v>
      </c>
      <c r="E10" s="58">
        <f>IF(SUMIFS(Data!$S:$S,Data!$A:$A,$B10,Data!$C:$C,E$1)=0,"",SUMIFS(Data!$S:$S,Data!$A:$A,$B10,Data!$C:$C,E$1))</f>
        <v>2.4673333333333334</v>
      </c>
      <c r="F10" s="58">
        <f>IF(SUMIFS(Data!$S:$S,Data!$A:$A,$B10,Data!$C:$C,F$1)=0,"",SUMIFS(Data!$S:$S,Data!$A:$A,$B10,Data!$C:$C,F$1))</f>
        <v>3.5833333333333335</v>
      </c>
      <c r="G10" s="58">
        <f>IF(SUMIFS(Data!$S:$S,Data!$A:$A,$B10,Data!$C:$C,G$1)=0,"",SUMIFS(Data!$S:$S,Data!$A:$A,$B10,Data!$C:$C,G$1))</f>
        <v>4.0969999999999995</v>
      </c>
      <c r="H10" s="58">
        <f>IF(SUMIFS(Data!$S:$S,Data!$A:$A,$B10,Data!$C:$C,H$1)=0,"",SUMIFS(Data!$S:$S,Data!$A:$A,$B10,Data!$C:$C,H$1))</f>
        <v>6.9909999999999997</v>
      </c>
      <c r="I10" s="58">
        <f>IF(SUMIFS(Data!$S:$S,Data!$A:$A,$B10,Data!$C:$C,I$1)=0,"",SUMIFS(Data!$S:$S,Data!$A:$A,$B10,Data!$C:$C,I$1))</f>
        <v>2.625</v>
      </c>
      <c r="J10" s="58">
        <f>IF(SUMIFS(Data!$S:$S,Data!$A:$A,$B10,Data!$C:$C,J$1)=0,"",SUMIFS(Data!$S:$S,Data!$A:$A,$B10,Data!$C:$C,J$1))</f>
        <v>3.125</v>
      </c>
      <c r="K10" s="58">
        <f>IF(SUMIFS(Data!$S:$S,Data!$A:$A,$B10,Data!$C:$C,K$1)=0,"",SUMIFS(Data!$S:$S,Data!$A:$A,$B10,Data!$C:$C,K$1))</f>
        <v>2.875</v>
      </c>
      <c r="L10" s="58">
        <f>IF(SUMIFS(Data!$S:$S,Data!$A:$A,$B10,Data!$C:$C,L$1)=0,"",SUMIFS(Data!$S:$S,Data!$A:$A,$B10,Data!$C:$C,L$1))</f>
        <v>4.0066666666666659</v>
      </c>
      <c r="M10" s="58">
        <f>IF(SUMIFS(Data!$S:$S,Data!$A:$A,$B10,Data!$C:$C,M$1)=0,"",SUMIFS(Data!$S:$S,Data!$A:$A,$B10,Data!$C:$C,M$1))</f>
        <v>4.7053333333333338</v>
      </c>
      <c r="N10" s="58">
        <f>IF(SUMIFS(Data!$S:$S,Data!$A:$A,$B10,Data!$C:$C,N$1)=0,"",SUMIFS(Data!$S:$S,Data!$A:$A,$B10,Data!$C:$C,N$1))</f>
        <v>4.9959999999999996</v>
      </c>
      <c r="O10" s="58"/>
      <c r="P10" s="58"/>
      <c r="Q10" s="58"/>
      <c r="R10" s="58">
        <f>IF(SUMIFS(Data!X:X,Data!A:A,'#ligaSYR'!B10)=12,5,IF(SUMIFS(Data!X:X,Data!A:A,'#ligaSYR'!B10)&gt;9,3,IF(SUMIFS(Data!X:X,Data!A:A,'#ligaSYR'!B10)&gt;4,1,0)))</f>
        <v>0</v>
      </c>
      <c r="S10" s="58">
        <f t="shared" si="0"/>
        <v>5</v>
      </c>
      <c r="T10" s="58">
        <f t="shared" si="1"/>
        <v>51.525333333333343</v>
      </c>
      <c r="U10" s="58">
        <f>SUMIFS(Data!D:D,Data!A:A,'#ligaSYR'!B10)</f>
        <v>360.09</v>
      </c>
      <c r="V10" s="66">
        <f>SUMIFS(Data!V:V,Data!A:A,'#ligaSYR'!B10)/COUNT(C10:Q10)</f>
        <v>0.15232461354230717</v>
      </c>
      <c r="W10" s="59" t="str">
        <f>IF(VLOOKUP(B10,Participanti!A:D,4,0)=0," ","New")</f>
        <v xml:space="preserve"> </v>
      </c>
      <c r="Y10" s="59" t="str">
        <f>IF(X10=A10,"Stationare",IF(A10=X10-1,CONCATENATE("Urcare"&amp;" "&amp;X10-A10," "&amp;"loc"),IF(A10&lt;X10,CONCATENATE("Urcare"&amp;" "&amp;X10-A10," "&amp;"locuri"),IF(A10=X10+1,CONCATENATE("Coborare"&amp;" "&amp;A10-X10," "&amp;"loc"),CONCATENATE("Coborare"&amp;" "&amp;A10-X10," "&amp;"locuri")))))</f>
        <v>Coborare 9 locuri</v>
      </c>
    </row>
    <row r="11" spans="1:27" ht="12.75">
      <c r="A11" s="57">
        <v>10</v>
      </c>
      <c r="B11" s="57" t="s">
        <v>172</v>
      </c>
      <c r="C11" s="58">
        <f>IF(SUMIFS(Data!$S:$S,Data!$A:$A,$B11,Data!$C:$C,C$1)=0,"",SUMIFS(Data!$S:$S,Data!$A:$A,$B11,Data!$C:$C,C$1))</f>
        <v>3.5</v>
      </c>
      <c r="D11" s="58">
        <f>IF(SUMIFS(Data!$S:$S,Data!$A:$A,$B11,Data!$C:$C,D$1)=0,"",SUMIFS(Data!$S:$S,Data!$A:$A,$B11,Data!$C:$C,D$1))</f>
        <v>3.6</v>
      </c>
      <c r="E11" s="58">
        <f>IF(SUMIFS(Data!$S:$S,Data!$A:$A,$B11,Data!$C:$C,E$1)=0,"",SUMIFS(Data!$S:$S,Data!$A:$A,$B11,Data!$C:$C,E$1))</f>
        <v>3.125</v>
      </c>
      <c r="F11" s="58">
        <f>IF(SUMIFS(Data!$S:$S,Data!$A:$A,$B11,Data!$C:$C,F$1)=0,"",SUMIFS(Data!$S:$S,Data!$A:$A,$B11,Data!$C:$C,F$1))</f>
        <v>3.35</v>
      </c>
      <c r="G11" s="58">
        <f>IF(SUMIFS(Data!$S:$S,Data!$A:$A,$B11,Data!$C:$C,G$1)=0,"",SUMIFS(Data!$S:$S,Data!$A:$A,$B11,Data!$C:$C,G$1))</f>
        <v>3.35</v>
      </c>
      <c r="H11" s="58">
        <f>IF(SUMIFS(Data!$S:$S,Data!$A:$A,$B11,Data!$C:$C,H$1)=0,"",SUMIFS(Data!$S:$S,Data!$A:$A,$B11,Data!$C:$C,H$1))</f>
        <v>3.5</v>
      </c>
      <c r="I11" s="58">
        <f>IF(SUMIFS(Data!$S:$S,Data!$A:$A,$B11,Data!$C:$C,I$1)=0,"",SUMIFS(Data!$S:$S,Data!$A:$A,$B11,Data!$C:$C,I$1))</f>
        <v>4.1500000000000004</v>
      </c>
      <c r="J11" s="58">
        <f>IF(SUMIFS(Data!$S:$S,Data!$A:$A,$B11,Data!$C:$C,J$1)=0,"",SUMIFS(Data!$S:$S,Data!$A:$A,$B11,Data!$C:$C,J$1))</f>
        <v>3.25</v>
      </c>
      <c r="K11" s="58">
        <f>IF(SUMIFS(Data!$S:$S,Data!$A:$A,$B11,Data!$C:$C,K$1)=0,"",SUMIFS(Data!$S:$S,Data!$A:$A,$B11,Data!$C:$C,K$1))</f>
        <v>3.125</v>
      </c>
      <c r="L11" s="58">
        <f>IF(SUMIFS(Data!$S:$S,Data!$A:$A,$B11,Data!$C:$C,L$1)=0,"",SUMIFS(Data!$S:$S,Data!$A:$A,$B11,Data!$C:$C,L$1))</f>
        <v>3.7250000000000001</v>
      </c>
      <c r="M11" s="58">
        <f>IF(SUMIFS(Data!$S:$S,Data!$A:$A,$B11,Data!$C:$C,M$1)=0,"",SUMIFS(Data!$S:$S,Data!$A:$A,$B11,Data!$C:$C,M$1))</f>
        <v>3.1916666666666669</v>
      </c>
      <c r="N11" s="58">
        <f>IF(SUMIFS(Data!$S:$S,Data!$A:$A,$B11,Data!$C:$C,N$1)=0,"",SUMIFS(Data!$S:$S,Data!$A:$A,$B11,Data!$C:$C,N$1))</f>
        <v>3.25</v>
      </c>
      <c r="O11" s="58"/>
      <c r="P11" s="58"/>
      <c r="Q11" s="58"/>
      <c r="R11" s="58">
        <f>IF(SUMIFS(Data!X:X,Data!A:A,'#ligaSYR'!B11)=12,5,IF(SUMIFS(Data!X:X,Data!A:A,'#ligaSYR'!B11)&gt;9,3,IF(SUMIFS(Data!X:X,Data!A:A,'#ligaSYR'!B11)&gt;4,1,0)))</f>
        <v>5</v>
      </c>
      <c r="S11" s="58">
        <f t="shared" si="0"/>
        <v>5</v>
      </c>
      <c r="T11" s="58">
        <f t="shared" si="1"/>
        <v>51.116666666666674</v>
      </c>
      <c r="U11" s="58">
        <f>SUMIFS(Data!D:D,Data!A:A,'#ligaSYR'!B11)</f>
        <v>255.53999999999994</v>
      </c>
      <c r="V11" s="66">
        <f>SUMIFS(Data!V:V,Data!A:A,'#ligaSYR'!B11)/COUNT(C11:Q11)</f>
        <v>0.22375068763096004</v>
      </c>
      <c r="W11" s="59" t="str">
        <f>IF(VLOOKUP(B11,Participanti!A:D,4,0)=0," ","New")</f>
        <v xml:space="preserve"> </v>
      </c>
      <c r="Y11" s="59" t="str">
        <f>IF(X11=A11,"Stationare",IF(A11=X11-1,CONCATENATE("Urcare"&amp;" "&amp;X11-A11," "&amp;"loc"),IF(A11&lt;X11,CONCATENATE("Urcare"&amp;" "&amp;X11-A11," "&amp;"locuri"),IF(A11=X11+1,CONCATENATE("Coborare"&amp;" "&amp;A11-X11," "&amp;"loc"),CONCATENATE("Coborare"&amp;" "&amp;A11-X11," "&amp;"locuri")))))</f>
        <v>Coborare 10 locuri</v>
      </c>
    </row>
    <row r="12" spans="1:27" ht="12.75">
      <c r="A12" s="57">
        <v>11</v>
      </c>
      <c r="B12" s="57" t="s">
        <v>68</v>
      </c>
      <c r="C12" s="58">
        <f>IF(SUMIFS(Data!$S:$S,Data!$A:$A,$B12,Data!$C:$C,C$1)=0,"",SUMIFS(Data!$S:$S,Data!$A:$A,$B12,Data!$C:$C,C$1))</f>
        <v>2.625</v>
      </c>
      <c r="D12" s="58">
        <f>IF(SUMIFS(Data!$S:$S,Data!$A:$A,$B12,Data!$C:$C,D$1)=0,"",SUMIFS(Data!$S:$S,Data!$A:$A,$B12,Data!$C:$C,D$1))</f>
        <v>3.6</v>
      </c>
      <c r="E12" s="58">
        <f>IF(SUMIFS(Data!$S:$S,Data!$A:$A,$B12,Data!$C:$C,E$1)=0,"",SUMIFS(Data!$S:$S,Data!$A:$A,$B12,Data!$C:$C,E$1))</f>
        <v>3.375</v>
      </c>
      <c r="F12" s="58">
        <f>IF(SUMIFS(Data!$S:$S,Data!$A:$A,$B12,Data!$C:$C,F$1)=0,"",SUMIFS(Data!$S:$S,Data!$A:$A,$B12,Data!$C:$C,F$1))</f>
        <v>3.4636666666666667</v>
      </c>
      <c r="G12" s="58">
        <f>IF(SUMIFS(Data!$S:$S,Data!$A:$A,$B12,Data!$C:$C,G$1)=0,"",SUMIFS(Data!$S:$S,Data!$A:$A,$B12,Data!$C:$C,G$1))</f>
        <v>3.375</v>
      </c>
      <c r="H12" s="58">
        <f>IF(SUMIFS(Data!$S:$S,Data!$A:$A,$B12,Data!$C:$C,H$1)=0,"",SUMIFS(Data!$S:$S,Data!$A:$A,$B12,Data!$C:$C,H$1))</f>
        <v>3.125</v>
      </c>
      <c r="I12" s="58">
        <f>IF(SUMIFS(Data!$S:$S,Data!$A:$A,$B12,Data!$C:$C,I$1)=0,"",SUMIFS(Data!$S:$S,Data!$A:$A,$B12,Data!$C:$C,I$1))</f>
        <v>4.0860000000000003</v>
      </c>
      <c r="J12" s="58">
        <f>IF(SUMIFS(Data!$S:$S,Data!$A:$A,$B12,Data!$C:$C,J$1)=0,"",SUMIFS(Data!$S:$S,Data!$A:$A,$B12,Data!$C:$C,J$1))</f>
        <v>2.5720000000000001</v>
      </c>
      <c r="K12" s="58">
        <f>IF(SUMIFS(Data!$S:$S,Data!$A:$A,$B12,Data!$C:$C,K$1)=0,"",SUMIFS(Data!$S:$S,Data!$A:$A,$B12,Data!$C:$C,K$1))</f>
        <v>4.7043333333333326</v>
      </c>
      <c r="L12" s="58">
        <f>IF(SUMIFS(Data!$S:$S,Data!$A:$A,$B12,Data!$C:$C,L$1)=0,"",SUMIFS(Data!$S:$S,Data!$A:$A,$B12,Data!$C:$C,L$1))</f>
        <v>2.625</v>
      </c>
      <c r="M12" s="58">
        <f>IF(SUMIFS(Data!$S:$S,Data!$A:$A,$B12,Data!$C:$C,M$1)=0,"",SUMIFS(Data!$S:$S,Data!$A:$A,$B12,Data!$C:$C,M$1))</f>
        <v>4</v>
      </c>
      <c r="N12" s="58">
        <f>IF(SUMIFS(Data!$S:$S,Data!$A:$A,$B12,Data!$C:$C,N$1)=0,"",SUMIFS(Data!$S:$S,Data!$A:$A,$B12,Data!$C:$C,N$1))</f>
        <v>3</v>
      </c>
      <c r="O12" s="58"/>
      <c r="P12" s="58"/>
      <c r="Q12" s="58"/>
      <c r="R12" s="58">
        <f>IF(SUMIFS(Data!X:X,Data!A:A,'#ligaSYR'!B12)=12,5,IF(SUMIFS(Data!X:X,Data!A:A,'#ligaSYR'!B12)&gt;9,3,IF(SUMIFS(Data!X:X,Data!A:A,'#ligaSYR'!B12)&gt;4,1,0)))</f>
        <v>3</v>
      </c>
      <c r="S12" s="58">
        <f t="shared" si="0"/>
        <v>5</v>
      </c>
      <c r="T12" s="58">
        <f t="shared" si="1"/>
        <v>48.551000000000002</v>
      </c>
      <c r="U12" s="58">
        <f>SUMIFS(Data!D:D,Data!A:A,'#ligaSYR'!B12)</f>
        <v>185.70999999999998</v>
      </c>
      <c r="V12" s="66">
        <f>SUMIFS(Data!V:V,Data!A:A,'#ligaSYR'!B12)/COUNT(C12:Q12)</f>
        <v>0.26616921053050419</v>
      </c>
      <c r="W12" s="59" t="str">
        <f>IF(VLOOKUP(B12,Participanti!A:D,4,0)=0," ","New")</f>
        <v xml:space="preserve"> </v>
      </c>
      <c r="Y12" s="59" t="str">
        <f>IF(X12=A12,"Stationare",IF(A12=X12-1,CONCATENATE("Urcare"&amp;" "&amp;X12-A12," "&amp;"loc"),IF(A12&lt;X12,CONCATENATE("Urcare"&amp;" "&amp;X12-A12," "&amp;"locuri"),IF(A12=X12+1,CONCATENATE("Coborare"&amp;" "&amp;A12-X12," "&amp;"loc"),CONCATENATE("Coborare"&amp;" "&amp;A12-X12," "&amp;"locuri")))))</f>
        <v>Coborare 11 locuri</v>
      </c>
    </row>
    <row r="13" spans="1:27" ht="12.75">
      <c r="A13" s="57">
        <v>12</v>
      </c>
      <c r="B13" s="57" t="s">
        <v>86</v>
      </c>
      <c r="C13" s="58">
        <f>IF(SUMIFS(Data!$S:$S,Data!$A:$A,$B13,Data!$C:$C,C$1)=0,"",SUMIFS(Data!$S:$S,Data!$A:$A,$B13,Data!$C:$C,C$1))</f>
        <v>2.75</v>
      </c>
      <c r="D13" s="58">
        <f>IF(SUMIFS(Data!$S:$S,Data!$A:$A,$B13,Data!$C:$C,D$1)=0,"",SUMIFS(Data!$S:$S,Data!$A:$A,$B13,Data!$C:$C,D$1))</f>
        <v>3.5</v>
      </c>
      <c r="E13" s="58">
        <f>IF(SUMIFS(Data!$S:$S,Data!$A:$A,$B13,Data!$C:$C,E$1)=0,"",SUMIFS(Data!$S:$S,Data!$A:$A,$B13,Data!$C:$C,E$1))</f>
        <v>2.5</v>
      </c>
      <c r="F13" s="58">
        <f>IF(SUMIFS(Data!$S:$S,Data!$A:$A,$B13,Data!$C:$C,F$1)=0,"",SUMIFS(Data!$S:$S,Data!$A:$A,$B13,Data!$C:$C,F$1))</f>
        <v>5.7830000000000004</v>
      </c>
      <c r="G13" s="58">
        <f>IF(SUMIFS(Data!$S:$S,Data!$A:$A,$B13,Data!$C:$C,G$1)=0,"",SUMIFS(Data!$S:$S,Data!$A:$A,$B13,Data!$C:$C,G$1))</f>
        <v>2.875</v>
      </c>
      <c r="H13" s="58">
        <f>IF(SUMIFS(Data!$S:$S,Data!$A:$A,$B13,Data!$C:$C,H$1)=0,"",SUMIFS(Data!$S:$S,Data!$A:$A,$B13,Data!$C:$C,H$1))</f>
        <v>2.625</v>
      </c>
      <c r="I13" s="58">
        <f>IF(SUMIFS(Data!$S:$S,Data!$A:$A,$B13,Data!$C:$C,I$1)=0,"",SUMIFS(Data!$S:$S,Data!$A:$A,$B13,Data!$C:$C,I$1))</f>
        <v>3.9750000000000001</v>
      </c>
      <c r="J13" s="58">
        <f>IF(SUMIFS(Data!$S:$S,Data!$A:$A,$B13,Data!$C:$C,J$1)=0,"",SUMIFS(Data!$S:$S,Data!$A:$A,$B13,Data!$C:$C,J$1))</f>
        <v>5.0393333333333334</v>
      </c>
      <c r="K13" s="58">
        <f>IF(SUMIFS(Data!$S:$S,Data!$A:$A,$B13,Data!$C:$C,K$1)=0,"",SUMIFS(Data!$S:$S,Data!$A:$A,$B13,Data!$C:$C,K$1))</f>
        <v>2.625</v>
      </c>
      <c r="L13" s="58">
        <f>IF(SUMIFS(Data!$S:$S,Data!$A:$A,$B13,Data!$C:$C,L$1)=0,"",SUMIFS(Data!$S:$S,Data!$A:$A,$B13,Data!$C:$C,L$1))</f>
        <v>4.6073333333333331</v>
      </c>
      <c r="M13" s="58">
        <f>IF(SUMIFS(Data!$S:$S,Data!$A:$A,$B13,Data!$C:$C,M$1)=0,"",SUMIFS(Data!$S:$S,Data!$A:$A,$B13,Data!$C:$C,M$1))</f>
        <v>3.125</v>
      </c>
      <c r="N13" s="58">
        <f>IF(SUMIFS(Data!$S:$S,Data!$A:$A,$B13,Data!$C:$C,N$1)=0,"",SUMIFS(Data!$S:$S,Data!$A:$A,$B13,Data!$C:$C,N$1))</f>
        <v>2.875</v>
      </c>
      <c r="O13" s="58"/>
      <c r="P13" s="58"/>
      <c r="Q13" s="58"/>
      <c r="R13" s="58">
        <f>IF(SUMIFS(Data!X:X,Data!A:A,'#ligaSYR'!B13)=12,5,IF(SUMIFS(Data!X:X,Data!A:A,'#ligaSYR'!B13)&gt;9,3,IF(SUMIFS(Data!X:X,Data!A:A,'#ligaSYR'!B13)&gt;4,1,0)))</f>
        <v>1</v>
      </c>
      <c r="S13" s="58">
        <f t="shared" si="0"/>
        <v>5</v>
      </c>
      <c r="T13" s="58">
        <f t="shared" si="1"/>
        <v>48.279666666666671</v>
      </c>
      <c r="U13" s="58">
        <f>SUMIFS(Data!D:D,Data!A:A,'#ligaSYR'!B13)</f>
        <v>289.54000000000002</v>
      </c>
      <c r="V13" s="66">
        <f>SUMIFS(Data!V:V,Data!A:A,'#ligaSYR'!B13)/COUNT(C13:Q13)</f>
        <v>0.26569641821158979</v>
      </c>
      <c r="W13" s="59" t="str">
        <f>IF(VLOOKUP(B13,Participanti!A:D,4,0)=0," ","New")</f>
        <v xml:space="preserve"> </v>
      </c>
      <c r="Y13" s="59" t="str">
        <f>IF(X13=A13,"Stationare",IF(A13=X13-1,CONCATENATE("Urcare"&amp;" "&amp;X13-A13," "&amp;"loc"),IF(A13&lt;X13,CONCATENATE("Urcare"&amp;" "&amp;X13-A13," "&amp;"locuri"),IF(A13=X13+1,CONCATENATE("Coborare"&amp;" "&amp;A13-X13," "&amp;"loc"),CONCATENATE("Coborare"&amp;" "&amp;A13-X13," "&amp;"locuri")))))</f>
        <v>Coborare 12 locuri</v>
      </c>
    </row>
    <row r="14" spans="1:27" ht="12.75">
      <c r="A14" s="57">
        <v>13</v>
      </c>
      <c r="B14" s="57" t="s">
        <v>52</v>
      </c>
      <c r="C14" s="58">
        <f>IF(SUMIFS(Data!$S:$S,Data!$A:$A,$B14,Data!$C:$C,C$1)=0,"",SUMIFS(Data!$S:$S,Data!$A:$A,$B14,Data!$C:$C,C$1))</f>
        <v>3</v>
      </c>
      <c r="D14" s="58">
        <f>IF(SUMIFS(Data!$S:$S,Data!$A:$A,$B14,Data!$C:$C,D$1)=0,"",SUMIFS(Data!$S:$S,Data!$A:$A,$B14,Data!$C:$C,D$1))</f>
        <v>2.5576666666666665</v>
      </c>
      <c r="E14" s="58">
        <f>IF(SUMIFS(Data!$S:$S,Data!$A:$A,$B14,Data!$C:$C,E$1)=0,"",SUMIFS(Data!$S:$S,Data!$A:$A,$B14,Data!$C:$C,E$1))</f>
        <v>3.6873333333333331</v>
      </c>
      <c r="F14" s="58">
        <f>IF(SUMIFS(Data!$S:$S,Data!$A:$A,$B14,Data!$C:$C,F$1)=0,"",SUMIFS(Data!$S:$S,Data!$A:$A,$B14,Data!$C:$C,F$1))</f>
        <v>3.85</v>
      </c>
      <c r="G14" s="58">
        <f>IF(SUMIFS(Data!$S:$S,Data!$A:$A,$B14,Data!$C:$C,G$1)=0,"",SUMIFS(Data!$S:$S,Data!$A:$A,$B14,Data!$C:$C,G$1))</f>
        <v>3.8876666666666666</v>
      </c>
      <c r="H14" s="58">
        <f>IF(SUMIFS(Data!$S:$S,Data!$A:$A,$B14,Data!$C:$C,H$1)=0,"",SUMIFS(Data!$S:$S,Data!$A:$A,$B14,Data!$C:$C,H$1))</f>
        <v>4.25</v>
      </c>
      <c r="I14" s="58">
        <f>IF(SUMIFS(Data!$S:$S,Data!$A:$A,$B14,Data!$C:$C,I$1)=0,"",SUMIFS(Data!$S:$S,Data!$A:$A,$B14,Data!$C:$C,I$1))</f>
        <v>2.75</v>
      </c>
      <c r="J14" s="58">
        <f>IF(SUMIFS(Data!$S:$S,Data!$A:$A,$B14,Data!$C:$C,J$1)=0,"",SUMIFS(Data!$S:$S,Data!$A:$A,$B14,Data!$C:$C,J$1))</f>
        <v>2.875</v>
      </c>
      <c r="K14" s="58">
        <f>IF(SUMIFS(Data!$S:$S,Data!$A:$A,$B14,Data!$C:$C,K$1)=0,"",SUMIFS(Data!$S:$S,Data!$A:$A,$B14,Data!$C:$C,K$1))</f>
        <v>2.2423333333333333</v>
      </c>
      <c r="L14" s="58">
        <f>IF(SUMIFS(Data!$S:$S,Data!$A:$A,$B14,Data!$C:$C,L$1)=0,"",SUMIFS(Data!$S:$S,Data!$A:$A,$B14,Data!$C:$C,L$1))</f>
        <v>2.6576666666666666</v>
      </c>
      <c r="M14" s="58">
        <f>IF(SUMIFS(Data!$S:$S,Data!$A:$A,$B14,Data!$C:$C,M$1)=0,"",SUMIFS(Data!$S:$S,Data!$A:$A,$B14,Data!$C:$C,M$1))</f>
        <v>2.956</v>
      </c>
      <c r="N14" s="58">
        <f>IF(SUMIFS(Data!$S:$S,Data!$A:$A,$B14,Data!$C:$C,N$1)=0,"",SUMIFS(Data!$S:$S,Data!$A:$A,$B14,Data!$C:$C,N$1))</f>
        <v>3.375</v>
      </c>
      <c r="O14" s="58"/>
      <c r="P14" s="58"/>
      <c r="Q14" s="58"/>
      <c r="R14" s="58">
        <f>IF(SUMIFS(Data!X:X,Data!A:A,'#ligaSYR'!B14)=12,5,IF(SUMIFS(Data!X:X,Data!A:A,'#ligaSYR'!B14)&gt;9,3,IF(SUMIFS(Data!X:X,Data!A:A,'#ligaSYR'!B14)&gt;4,1,0)))</f>
        <v>5</v>
      </c>
      <c r="S14" s="58">
        <f t="shared" si="0"/>
        <v>5</v>
      </c>
      <c r="T14" s="58">
        <f t="shared" si="1"/>
        <v>48.088666666666668</v>
      </c>
      <c r="U14" s="58">
        <f>SUMIFS(Data!D:D,Data!A:A,'#ligaSYR'!B14)</f>
        <v>205.95000000000005</v>
      </c>
      <c r="V14" s="66">
        <f>SUMIFS(Data!V:V,Data!A:A,'#ligaSYR'!B14)/COUNT(C14:Q14)</f>
        <v>0.19721369449261372</v>
      </c>
      <c r="W14" s="59" t="str">
        <f>IF(VLOOKUP(B14,Participanti!A:D,4,0)=0," ","New")</f>
        <v xml:space="preserve"> </v>
      </c>
      <c r="Y14" s="59" t="str">
        <f>IF(X14=A14,"Stationare",IF(A14=X14-1,CONCATENATE("Urcare"&amp;" "&amp;X14-A14," "&amp;"loc"),IF(A14&lt;X14,CONCATENATE("Urcare"&amp;" "&amp;X14-A14," "&amp;"locuri"),IF(A14=X14+1,CONCATENATE("Coborare"&amp;" "&amp;A14-X14," "&amp;"loc"),CONCATENATE("Coborare"&amp;" "&amp;A14-X14," "&amp;"locuri")))))</f>
        <v>Coborare 13 locuri</v>
      </c>
    </row>
    <row r="15" spans="1:27" ht="12.75">
      <c r="A15" s="57">
        <v>14</v>
      </c>
      <c r="B15" s="57" t="s">
        <v>208</v>
      </c>
      <c r="C15" s="58" t="str">
        <f>IF(SUMIFS(Data!$S:$S,Data!$A:$A,$B15,Data!$C:$C,C$1)=0,"",SUMIFS(Data!$S:$S,Data!$A:$A,$B15,Data!$C:$C,C$1))</f>
        <v/>
      </c>
      <c r="D15" s="58">
        <f>IF(SUMIFS(Data!$S:$S,Data!$A:$A,$B15,Data!$C:$C,D$1)=0,"",SUMIFS(Data!$S:$S,Data!$A:$A,$B15,Data!$C:$C,D$1))</f>
        <v>3.95</v>
      </c>
      <c r="E15" s="58">
        <f>IF(SUMIFS(Data!$S:$S,Data!$A:$A,$B15,Data!$C:$C,E$1)=0,"",SUMIFS(Data!$S:$S,Data!$A:$A,$B15,Data!$C:$C,E$1))</f>
        <v>3.875</v>
      </c>
      <c r="F15" s="58">
        <f>IF(SUMIFS(Data!$S:$S,Data!$A:$A,$B15,Data!$C:$C,F$1)=0,"",SUMIFS(Data!$S:$S,Data!$A:$A,$B15,Data!$C:$C,F$1))</f>
        <v>4.1749999999999998</v>
      </c>
      <c r="G15" s="58">
        <f>IF(SUMIFS(Data!$S:$S,Data!$A:$A,$B15,Data!$C:$C,G$1)=0,"",SUMIFS(Data!$S:$S,Data!$A:$A,$B15,Data!$C:$C,G$1))</f>
        <v>3.625</v>
      </c>
      <c r="H15" s="58">
        <f>IF(SUMIFS(Data!$S:$S,Data!$A:$A,$B15,Data!$C:$C,H$1)=0,"",SUMIFS(Data!$S:$S,Data!$A:$A,$B15,Data!$C:$C,H$1))</f>
        <v>3.9750000000000001</v>
      </c>
      <c r="I15" s="58">
        <f>IF(SUMIFS(Data!$S:$S,Data!$A:$A,$B15,Data!$C:$C,I$1)=0,"",SUMIFS(Data!$S:$S,Data!$A:$A,$B15,Data!$C:$C,I$1))</f>
        <v>3</v>
      </c>
      <c r="J15" s="58">
        <f>IF(SUMIFS(Data!$S:$S,Data!$A:$A,$B15,Data!$C:$C,J$1)=0,"",SUMIFS(Data!$S:$S,Data!$A:$A,$B15,Data!$C:$C,J$1))</f>
        <v>3.875</v>
      </c>
      <c r="K15" s="58">
        <f>IF(SUMIFS(Data!$S:$S,Data!$A:$A,$B15,Data!$C:$C,K$1)=0,"",SUMIFS(Data!$S:$S,Data!$A:$A,$B15,Data!$C:$C,K$1))</f>
        <v>3.85</v>
      </c>
      <c r="L15" s="58">
        <f>IF(SUMIFS(Data!$S:$S,Data!$A:$A,$B15,Data!$C:$C,L$1)=0,"",SUMIFS(Data!$S:$S,Data!$A:$A,$B15,Data!$C:$C,L$1))</f>
        <v>3.75</v>
      </c>
      <c r="M15" s="58">
        <f>IF(SUMIFS(Data!$S:$S,Data!$A:$A,$B15,Data!$C:$C,M$1)=0,"",SUMIFS(Data!$S:$S,Data!$A:$A,$B15,Data!$C:$C,M$1))</f>
        <v>3.375</v>
      </c>
      <c r="N15" s="58">
        <f>IF(SUMIFS(Data!$S:$S,Data!$A:$A,$B15,Data!$C:$C,N$1)=0,"",SUMIFS(Data!$S:$S,Data!$A:$A,$B15,Data!$C:$C,N$1))</f>
        <v>2.9816666666666665</v>
      </c>
      <c r="O15" s="58"/>
      <c r="P15" s="58"/>
      <c r="Q15" s="58"/>
      <c r="R15" s="58">
        <f>IF(SUMIFS(Data!X:X,Data!A:A,'#ligaSYR'!B15)=12,5,IF(SUMIFS(Data!X:X,Data!A:A,'#ligaSYR'!B15)&gt;9,3,IF(SUMIFS(Data!X:X,Data!A:A,'#ligaSYR'!B15)&gt;4,1,0)))</f>
        <v>3</v>
      </c>
      <c r="S15" s="58">
        <f t="shared" si="0"/>
        <v>3</v>
      </c>
      <c r="T15" s="58">
        <f t="shared" si="1"/>
        <v>46.431666666666672</v>
      </c>
      <c r="U15" s="58">
        <f>SUMIFS(Data!D:D,Data!A:A,'#ligaSYR'!B15)</f>
        <v>259.72999999999996</v>
      </c>
      <c r="V15" s="66">
        <f>SUMIFS(Data!V:V,Data!A:A,'#ligaSYR'!B15)/COUNT(C15:Q15)</f>
        <v>0.16755574928769754</v>
      </c>
      <c r="W15" s="59" t="str">
        <f>IF(VLOOKUP(B15,Participanti!A:D,4,0)=0," ","New")</f>
        <v>New</v>
      </c>
      <c r="Y15" s="59" t="str">
        <f>IF(X15=A15,"Stationare",IF(A15=X15-1,CONCATENATE("Urcare"&amp;" "&amp;X15-A15," "&amp;"loc"),IF(A15&lt;X15,CONCATENATE("Urcare"&amp;" "&amp;X15-A15," "&amp;"locuri"),IF(A15=X15+1,CONCATENATE("Coborare"&amp;" "&amp;A15-X15," "&amp;"loc"),CONCATENATE("Coborare"&amp;" "&amp;A15-X15," "&amp;"locuri")))))</f>
        <v>Coborare 14 locuri</v>
      </c>
    </row>
    <row r="16" spans="1:27" ht="12.75">
      <c r="A16" s="57">
        <v>15</v>
      </c>
      <c r="B16" s="57" t="s">
        <v>201</v>
      </c>
      <c r="C16" s="58">
        <f>IF(SUMIFS(Data!$S:$S,Data!$A:$A,$B16,Data!$C:$C,C$1)=0,"",SUMIFS(Data!$S:$S,Data!$A:$A,$B16,Data!$C:$C,C$1))</f>
        <v>3.2243333333333335</v>
      </c>
      <c r="D16" s="58">
        <f>IF(SUMIFS(Data!$S:$S,Data!$A:$A,$B16,Data!$C:$C,D$1)=0,"",SUMIFS(Data!$S:$S,Data!$A:$A,$B16,Data!$C:$C,D$1))</f>
        <v>3.9706666666666668</v>
      </c>
      <c r="E16" s="58">
        <f>IF(SUMIFS(Data!$S:$S,Data!$A:$A,$B16,Data!$C:$C,E$1)=0,"",SUMIFS(Data!$S:$S,Data!$A:$A,$B16,Data!$C:$C,E$1))</f>
        <v>2.7253333333333334</v>
      </c>
      <c r="F16" s="58">
        <f>IF(SUMIFS(Data!$S:$S,Data!$A:$A,$B16,Data!$C:$C,F$1)=0,"",SUMIFS(Data!$S:$S,Data!$A:$A,$B16,Data!$C:$C,F$1))</f>
        <v>3.383</v>
      </c>
      <c r="G16" s="58">
        <f>IF(SUMIFS(Data!$S:$S,Data!$A:$A,$B16,Data!$C:$C,G$1)=0,"",SUMIFS(Data!$S:$S,Data!$A:$A,$B16,Data!$C:$C,G$1))</f>
        <v>4.048</v>
      </c>
      <c r="H16" s="58">
        <f>IF(SUMIFS(Data!$S:$S,Data!$A:$A,$B16,Data!$C:$C,H$1)=0,"",SUMIFS(Data!$S:$S,Data!$A:$A,$B16,Data!$C:$C,H$1))</f>
        <v>2.125</v>
      </c>
      <c r="I16" s="58">
        <f>IF(SUMIFS(Data!$S:$S,Data!$A:$A,$B16,Data!$C:$C,I$1)=0,"",SUMIFS(Data!$S:$S,Data!$A:$A,$B16,Data!$C:$C,I$1))</f>
        <v>3.2313333333333332</v>
      </c>
      <c r="J16" s="58">
        <f>IF(SUMIFS(Data!$S:$S,Data!$A:$A,$B16,Data!$C:$C,J$1)=0,"",SUMIFS(Data!$S:$S,Data!$A:$A,$B16,Data!$C:$C,J$1))</f>
        <v>4.1580000000000004</v>
      </c>
      <c r="K16" s="58">
        <f>IF(SUMIFS(Data!$S:$S,Data!$A:$A,$B16,Data!$C:$C,K$1)=0,"",SUMIFS(Data!$S:$S,Data!$A:$A,$B16,Data!$C:$C,K$1))</f>
        <v>4.288666666666666</v>
      </c>
      <c r="L16" s="58">
        <f>IF(SUMIFS(Data!$S:$S,Data!$A:$A,$B16,Data!$C:$C,L$1)=0,"",SUMIFS(Data!$S:$S,Data!$A:$A,$B16,Data!$C:$C,L$1))</f>
        <v>3.3733333333333331</v>
      </c>
      <c r="M16" s="58">
        <f>IF(SUMIFS(Data!$S:$S,Data!$A:$A,$B16,Data!$C:$C,M$1)=0,"",SUMIFS(Data!$S:$S,Data!$A:$A,$B16,Data!$C:$C,M$1))</f>
        <v>2.262</v>
      </c>
      <c r="N16" s="58">
        <f>IF(SUMIFS(Data!$S:$S,Data!$A:$A,$B16,Data!$C:$C,N$1)=0,"",SUMIFS(Data!$S:$S,Data!$A:$A,$B16,Data!$C:$C,N$1))</f>
        <v>3.2143333333333333</v>
      </c>
      <c r="O16" s="58"/>
      <c r="P16" s="58"/>
      <c r="Q16" s="58"/>
      <c r="R16" s="58">
        <f>IF(SUMIFS(Data!X:X,Data!A:A,'#ligaSYR'!B16)=12,5,IF(SUMIFS(Data!X:X,Data!A:A,'#ligaSYR'!B16)&gt;9,3,IF(SUMIFS(Data!X:X,Data!A:A,'#ligaSYR'!B16)&gt;4,1,0)))</f>
        <v>1</v>
      </c>
      <c r="S16" s="58">
        <f t="shared" si="0"/>
        <v>5</v>
      </c>
      <c r="T16" s="58">
        <f t="shared" si="1"/>
        <v>46.004000000000005</v>
      </c>
      <c r="U16" s="58">
        <f>SUMIFS(Data!D:D,Data!A:A,'#ligaSYR'!B16)</f>
        <v>218.70999999999998</v>
      </c>
      <c r="V16" s="66">
        <f>SUMIFS(Data!V:V,Data!A:A,'#ligaSYR'!B16)/COUNT(C16:Q16)</f>
        <v>0.1986600379344278</v>
      </c>
      <c r="W16" s="59" t="str">
        <f>IF(VLOOKUP(B16,Participanti!A:D,4,0)=0," ","New")</f>
        <v xml:space="preserve"> </v>
      </c>
      <c r="Y16" s="59" t="str">
        <f>IF(X16=A16,"Stationare",IF(A16=X16-1,CONCATENATE("Urcare"&amp;" "&amp;X16-A16," "&amp;"loc"),IF(A16&lt;X16,CONCATENATE("Urcare"&amp;" "&amp;X16-A16," "&amp;"locuri"),IF(A16=X16+1,CONCATENATE("Coborare"&amp;" "&amp;A16-X16," "&amp;"loc"),CONCATENATE("Coborare"&amp;" "&amp;A16-X16," "&amp;"locuri")))))</f>
        <v>Coborare 15 locuri</v>
      </c>
    </row>
    <row r="17" spans="1:25" ht="12.75">
      <c r="A17" s="57">
        <v>16</v>
      </c>
      <c r="B17" s="57" t="s">
        <v>209</v>
      </c>
      <c r="C17" s="58" t="str">
        <f>IF(SUMIFS(Data!$S:$S,Data!$A:$A,$B17,Data!$C:$C,C$1)=0,"",SUMIFS(Data!$S:$S,Data!$A:$A,$B17,Data!$C:$C,C$1))</f>
        <v/>
      </c>
      <c r="D17" s="58">
        <f>IF(SUMIFS(Data!$S:$S,Data!$A:$A,$B17,Data!$C:$C,D$1)=0,"",SUMIFS(Data!$S:$S,Data!$A:$A,$B17,Data!$C:$C,D$1))</f>
        <v>2.875</v>
      </c>
      <c r="E17" s="58">
        <f>IF(SUMIFS(Data!$S:$S,Data!$A:$A,$B17,Data!$C:$C,E$1)=0,"",SUMIFS(Data!$S:$S,Data!$A:$A,$B17,Data!$C:$C,E$1))</f>
        <v>3.9</v>
      </c>
      <c r="F17" s="58">
        <f>IF(SUMIFS(Data!$S:$S,Data!$A:$A,$B17,Data!$C:$C,F$1)=0,"",SUMIFS(Data!$S:$S,Data!$A:$A,$B17,Data!$C:$C,F$1))</f>
        <v>2.5</v>
      </c>
      <c r="G17" s="58">
        <f>IF(SUMIFS(Data!$S:$S,Data!$A:$A,$B17,Data!$C:$C,G$1)=0,"",SUMIFS(Data!$S:$S,Data!$A:$A,$B17,Data!$C:$C,G$1))</f>
        <v>2.625</v>
      </c>
      <c r="H17" s="58">
        <f>IF(SUMIFS(Data!$S:$S,Data!$A:$A,$B17,Data!$C:$C,H$1)=0,"",SUMIFS(Data!$S:$S,Data!$A:$A,$B17,Data!$C:$C,H$1))</f>
        <v>3.875</v>
      </c>
      <c r="I17" s="58">
        <f>IF(SUMIFS(Data!$S:$S,Data!$A:$A,$B17,Data!$C:$C,I$1)=0,"",SUMIFS(Data!$S:$S,Data!$A:$A,$B17,Data!$C:$C,I$1))</f>
        <v>3.5</v>
      </c>
      <c r="J17" s="58">
        <f>IF(SUMIFS(Data!$S:$S,Data!$A:$A,$B17,Data!$C:$C,J$1)=0,"",SUMIFS(Data!$S:$S,Data!$A:$A,$B17,Data!$C:$C,J$1))</f>
        <v>4.125</v>
      </c>
      <c r="K17" s="58">
        <f>IF(SUMIFS(Data!$S:$S,Data!$A:$A,$B17,Data!$C:$C,K$1)=0,"",SUMIFS(Data!$S:$S,Data!$A:$A,$B17,Data!$C:$C,K$1))</f>
        <v>3.7250000000000001</v>
      </c>
      <c r="L17" s="58">
        <f>IF(SUMIFS(Data!$S:$S,Data!$A:$A,$B17,Data!$C:$C,L$1)=0,"",SUMIFS(Data!$S:$S,Data!$A:$A,$B17,Data!$C:$C,L$1))</f>
        <v>3.875</v>
      </c>
      <c r="M17" s="58">
        <f>IF(SUMIFS(Data!$S:$S,Data!$A:$A,$B17,Data!$C:$C,M$1)=0,"",SUMIFS(Data!$S:$S,Data!$A:$A,$B17,Data!$C:$C,M$1))</f>
        <v>3.4423333333333335</v>
      </c>
      <c r="N17" s="58">
        <f>IF(SUMIFS(Data!$S:$S,Data!$A:$A,$B17,Data!$C:$C,N$1)=0,"",SUMIFS(Data!$S:$S,Data!$A:$A,$B17,Data!$C:$C,N$1))</f>
        <v>4.1749999999999998</v>
      </c>
      <c r="O17" s="58"/>
      <c r="P17" s="58"/>
      <c r="Q17" s="58"/>
      <c r="R17" s="58">
        <f>IF(SUMIFS(Data!X:X,Data!A:A,'#ligaSYR'!B17)=12,5,IF(SUMIFS(Data!X:X,Data!A:A,'#ligaSYR'!B17)&gt;9,3,IF(SUMIFS(Data!X:X,Data!A:A,'#ligaSYR'!B17)&gt;4,1,0)))</f>
        <v>3</v>
      </c>
      <c r="S17" s="58">
        <f t="shared" si="0"/>
        <v>3</v>
      </c>
      <c r="T17" s="58">
        <f t="shared" si="1"/>
        <v>44.617333333333328</v>
      </c>
      <c r="U17" s="58">
        <f>SUMIFS(Data!D:D,Data!A:A,'#ligaSYR'!B17)</f>
        <v>201.96999999999997</v>
      </c>
      <c r="V17" s="66">
        <f>SUMIFS(Data!V:V,Data!A:A,'#ligaSYR'!B17)/COUNT(C17:Q17)</f>
        <v>0.22789915823963067</v>
      </c>
      <c r="W17" s="59" t="str">
        <f>IF(VLOOKUP(B17,Participanti!A:D,4,0)=0," ","New")</f>
        <v xml:space="preserve"> </v>
      </c>
      <c r="Y17" s="59" t="str">
        <f>IF(X17=A17,"Stationare",IF(A17=X17-1,CONCATENATE("Urcare"&amp;" "&amp;X17-A17," "&amp;"loc"),IF(A17&lt;X17,CONCATENATE("Urcare"&amp;" "&amp;X17-A17," "&amp;"locuri"),IF(A17=X17+1,CONCATENATE("Coborare"&amp;" "&amp;A17-X17," "&amp;"loc"),CONCATENATE("Coborare"&amp;" "&amp;A17-X17," "&amp;"locuri")))))</f>
        <v>Coborare 16 locuri</v>
      </c>
    </row>
    <row r="18" spans="1:25" ht="12.75">
      <c r="A18" s="57">
        <v>17</v>
      </c>
      <c r="B18" s="57" t="s">
        <v>203</v>
      </c>
      <c r="C18" s="58">
        <f>IF(SUMIFS(Data!$S:$S,Data!$A:$A,$B18,Data!$C:$C,C$1)=0,"",SUMIFS(Data!$S:$S,Data!$A:$A,$B18,Data!$C:$C,C$1))</f>
        <v>3.8610000000000002</v>
      </c>
      <c r="D18" s="58">
        <f>IF(SUMIFS(Data!$S:$S,Data!$A:$A,$B18,Data!$C:$C,D$1)=0,"",SUMIFS(Data!$S:$S,Data!$A:$A,$B18,Data!$C:$C,D$1))</f>
        <v>4.8073333333333341</v>
      </c>
      <c r="E18" s="58">
        <f>IF(SUMIFS(Data!$S:$S,Data!$A:$A,$B18,Data!$C:$C,E$1)=0,"",SUMIFS(Data!$S:$S,Data!$A:$A,$B18,Data!$C:$C,E$1))</f>
        <v>3.6</v>
      </c>
      <c r="F18" s="58">
        <f>IF(SUMIFS(Data!$S:$S,Data!$A:$A,$B18,Data!$C:$C,F$1)=0,"",SUMIFS(Data!$S:$S,Data!$A:$A,$B18,Data!$C:$C,F$1))</f>
        <v>2.125</v>
      </c>
      <c r="G18" s="58">
        <f>IF(SUMIFS(Data!$S:$S,Data!$A:$A,$B18,Data!$C:$C,G$1)=0,"",SUMIFS(Data!$S:$S,Data!$A:$A,$B18,Data!$C:$C,G$1))</f>
        <v>4.0436666666666667</v>
      </c>
      <c r="H18" s="58">
        <f>IF(SUMIFS(Data!$S:$S,Data!$A:$A,$B18,Data!$C:$C,H$1)=0,"",SUMIFS(Data!$S:$S,Data!$A:$A,$B18,Data!$C:$C,H$1))</f>
        <v>3.25</v>
      </c>
      <c r="I18" s="58">
        <f>IF(SUMIFS(Data!$S:$S,Data!$A:$A,$B18,Data!$C:$C,I$1)=0,"",SUMIFS(Data!$S:$S,Data!$A:$A,$B18,Data!$C:$C,I$1))</f>
        <v>3.25</v>
      </c>
      <c r="J18" s="58" t="str">
        <f>IF(SUMIFS(Data!$S:$S,Data!$A:$A,$B18,Data!$C:$C,J$1)=0,"",SUMIFS(Data!$S:$S,Data!$A:$A,$B18,Data!$C:$C,J$1))</f>
        <v/>
      </c>
      <c r="K18" s="58">
        <f>IF(SUMIFS(Data!$S:$S,Data!$A:$A,$B18,Data!$C:$C,K$1)=0,"",SUMIFS(Data!$S:$S,Data!$A:$A,$B18,Data!$C:$C,K$1))</f>
        <v>2.625</v>
      </c>
      <c r="L18" s="58">
        <f>IF(SUMIFS(Data!$S:$S,Data!$A:$A,$B18,Data!$C:$C,L$1)=0,"",SUMIFS(Data!$S:$S,Data!$A:$A,$B18,Data!$C:$C,L$1))</f>
        <v>3.1749999999999998</v>
      </c>
      <c r="M18" s="58">
        <f>IF(SUMIFS(Data!$S:$S,Data!$A:$A,$B18,Data!$C:$C,M$1)=0,"",SUMIFS(Data!$S:$S,Data!$A:$A,$B18,Data!$C:$C,M$1))</f>
        <v>2.75</v>
      </c>
      <c r="N18" s="58">
        <f>IF(SUMIFS(Data!$S:$S,Data!$A:$A,$B18,Data!$C:$C,N$1)=0,"",SUMIFS(Data!$S:$S,Data!$A:$A,$B18,Data!$C:$C,N$1))</f>
        <v>4.0170000000000003</v>
      </c>
      <c r="O18" s="58"/>
      <c r="P18" s="58"/>
      <c r="Q18" s="58"/>
      <c r="R18" s="58">
        <f>IF(SUMIFS(Data!X:X,Data!A:A,'#ligaSYR'!B18)=12,5,IF(SUMIFS(Data!X:X,Data!A:A,'#ligaSYR'!B18)&gt;9,3,IF(SUMIFS(Data!X:X,Data!A:A,'#ligaSYR'!B18)&gt;4,1,0)))</f>
        <v>3</v>
      </c>
      <c r="S18" s="58">
        <f t="shared" si="0"/>
        <v>3</v>
      </c>
      <c r="T18" s="58">
        <f t="shared" si="1"/>
        <v>43.504000000000005</v>
      </c>
      <c r="U18" s="58">
        <f>SUMIFS(Data!D:D,Data!A:A,'#ligaSYR'!B18)</f>
        <v>204.59</v>
      </c>
      <c r="V18" s="66">
        <f>SUMIFS(Data!V:V,Data!A:A,'#ligaSYR'!B18)/COUNT(C18:Q18)</f>
        <v>0.27392200702841535</v>
      </c>
      <c r="W18" s="59" t="str">
        <f>IF(VLOOKUP(B18,Participanti!A:D,4,0)=0," ","New")</f>
        <v>New</v>
      </c>
      <c r="Y18" s="59" t="str">
        <f>IF(X18=A18,"Stationare",IF(A18=X18-1,CONCATENATE("Urcare"&amp;" "&amp;X18-A18," "&amp;"loc"),IF(A18&lt;X18,CONCATENATE("Urcare"&amp;" "&amp;X18-A18," "&amp;"locuri"),IF(A18=X18+1,CONCATENATE("Coborare"&amp;" "&amp;A18-X18," "&amp;"loc"),CONCATENATE("Coborare"&amp;" "&amp;A18-X18," "&amp;"locuri")))))</f>
        <v>Coborare 17 locuri</v>
      </c>
    </row>
    <row r="19" spans="1:25" ht="12.75">
      <c r="A19" s="57">
        <v>18</v>
      </c>
      <c r="B19" s="57" t="s">
        <v>62</v>
      </c>
      <c r="C19" s="58">
        <f>IF(SUMIFS(Data!$S:$S,Data!$A:$A,$B19,Data!$C:$C,C$1)=0,"",SUMIFS(Data!$S:$S,Data!$A:$A,$B19,Data!$C:$C,C$1))</f>
        <v>2.125</v>
      </c>
      <c r="D19" s="58">
        <f>IF(SUMIFS(Data!$S:$S,Data!$A:$A,$B19,Data!$C:$C,D$1)=0,"",SUMIFS(Data!$S:$S,Data!$A:$A,$B19,Data!$C:$C,D$1))</f>
        <v>3.09</v>
      </c>
      <c r="E19" s="58">
        <f>IF(SUMIFS(Data!$S:$S,Data!$A:$A,$B19,Data!$C:$C,E$1)=0,"",SUMIFS(Data!$S:$S,Data!$A:$A,$B19,Data!$C:$C,E$1))</f>
        <v>4.3423333333333334</v>
      </c>
      <c r="F19" s="58">
        <f>IF(SUMIFS(Data!$S:$S,Data!$A:$A,$B19,Data!$C:$C,F$1)=0,"",SUMIFS(Data!$S:$S,Data!$A:$A,$B19,Data!$C:$C,F$1))</f>
        <v>2.5</v>
      </c>
      <c r="G19" s="58">
        <f>IF(SUMIFS(Data!$S:$S,Data!$A:$A,$B19,Data!$C:$C,G$1)=0,"",SUMIFS(Data!$S:$S,Data!$A:$A,$B19,Data!$C:$C,G$1))</f>
        <v>2.625</v>
      </c>
      <c r="H19" s="58">
        <f>IF(SUMIFS(Data!$S:$S,Data!$A:$A,$B19,Data!$C:$C,H$1)=0,"",SUMIFS(Data!$S:$S,Data!$A:$A,$B19,Data!$C:$C,H$1))</f>
        <v>3.3046666666666669</v>
      </c>
      <c r="I19" s="58">
        <f>IF(SUMIFS(Data!$S:$S,Data!$A:$A,$B19,Data!$C:$C,I$1)=0,"",SUMIFS(Data!$S:$S,Data!$A:$A,$B19,Data!$C:$C,I$1))</f>
        <v>2.4769999999999999</v>
      </c>
      <c r="J19" s="58">
        <f>IF(SUMIFS(Data!$S:$S,Data!$A:$A,$B19,Data!$C:$C,J$1)=0,"",SUMIFS(Data!$S:$S,Data!$A:$A,$B19,Data!$C:$C,J$1))</f>
        <v>1.5356666666666667</v>
      </c>
      <c r="K19" s="58">
        <f>IF(SUMIFS(Data!$S:$S,Data!$A:$A,$B19,Data!$C:$C,K$1)=0,"",SUMIFS(Data!$S:$S,Data!$A:$A,$B19,Data!$C:$C,K$1))</f>
        <v>3.25</v>
      </c>
      <c r="L19" s="58">
        <f>IF(SUMIFS(Data!$S:$S,Data!$A:$A,$B19,Data!$C:$C,L$1)=0,"",SUMIFS(Data!$S:$S,Data!$A:$A,$B19,Data!$C:$C,L$1))</f>
        <v>3.15</v>
      </c>
      <c r="M19" s="58">
        <f>IF(SUMIFS(Data!$S:$S,Data!$A:$A,$B19,Data!$C:$C,M$1)=0,"",SUMIFS(Data!$S:$S,Data!$A:$A,$B19,Data!$C:$C,M$1))</f>
        <v>3.25</v>
      </c>
      <c r="N19" s="58">
        <f>IF(SUMIFS(Data!$S:$S,Data!$A:$A,$B19,Data!$C:$C,N$1)=0,"",SUMIFS(Data!$S:$S,Data!$A:$A,$B19,Data!$C:$C,N$1))</f>
        <v>3.25</v>
      </c>
      <c r="O19" s="58"/>
      <c r="P19" s="58"/>
      <c r="Q19" s="58"/>
      <c r="R19" s="58">
        <f>IF(SUMIFS(Data!X:X,Data!A:A,'#ligaSYR'!B19)=12,5,IF(SUMIFS(Data!X:X,Data!A:A,'#ligaSYR'!B19)&gt;9,3,IF(SUMIFS(Data!X:X,Data!A:A,'#ligaSYR'!B19)&gt;4,1,0)))</f>
        <v>3</v>
      </c>
      <c r="S19" s="58">
        <f t="shared" si="0"/>
        <v>5</v>
      </c>
      <c r="T19" s="58">
        <f t="shared" si="1"/>
        <v>42.899666666666661</v>
      </c>
      <c r="U19" s="58">
        <f>SUMIFS(Data!D:D,Data!A:A,'#ligaSYR'!B19)</f>
        <v>112.05000000000001</v>
      </c>
      <c r="V19" s="66">
        <f>SUMIFS(Data!V:V,Data!A:A,'#ligaSYR'!B19)/COUNT(C19:Q19)</f>
        <v>0.4885348770748168</v>
      </c>
      <c r="W19" s="59" t="str">
        <f>IF(VLOOKUP(B19,Participanti!A:D,4,0)=0," ","New")</f>
        <v xml:space="preserve"> </v>
      </c>
      <c r="Y19" s="59" t="str">
        <f>IF(X19=A19,"Stationare",IF(A19=X19-1,CONCATENATE("Urcare"&amp;" "&amp;X19-A19," "&amp;"loc"),IF(A19&lt;X19,CONCATENATE("Urcare"&amp;" "&amp;X19-A19," "&amp;"locuri"),IF(A19=X19+1,CONCATENATE("Coborare"&amp;" "&amp;A19-X19," "&amp;"loc"),CONCATENATE("Coborare"&amp;" "&amp;A19-X19," "&amp;"locuri")))))</f>
        <v>Coborare 18 locuri</v>
      </c>
    </row>
    <row r="20" spans="1:25" ht="12.75">
      <c r="A20" s="57">
        <v>19</v>
      </c>
      <c r="B20" s="57" t="s">
        <v>54</v>
      </c>
      <c r="C20" s="58">
        <f>IF(SUMIFS(Data!$S:$S,Data!$A:$A,$B20,Data!$C:$C,C$1)=0,"",SUMIFS(Data!$S:$S,Data!$A:$A,$B20,Data!$C:$C,C$1))</f>
        <v>4.4649999999999999</v>
      </c>
      <c r="D20" s="58">
        <f>IF(SUMIFS(Data!$S:$S,Data!$A:$A,$B20,Data!$C:$C,D$1)=0,"",SUMIFS(Data!$S:$S,Data!$A:$A,$B20,Data!$C:$C,D$1))</f>
        <v>2.9516666666666667</v>
      </c>
      <c r="E20" s="58">
        <f>IF(SUMIFS(Data!$S:$S,Data!$A:$A,$B20,Data!$C:$C,E$1)=0,"",SUMIFS(Data!$S:$S,Data!$A:$A,$B20,Data!$C:$C,E$1))</f>
        <v>3.2196666666666665</v>
      </c>
      <c r="F20" s="58">
        <f>IF(SUMIFS(Data!$S:$S,Data!$A:$A,$B20,Data!$C:$C,F$1)=0,"",SUMIFS(Data!$S:$S,Data!$A:$A,$B20,Data!$C:$C,F$1))</f>
        <v>2.9870000000000001</v>
      </c>
      <c r="G20" s="58">
        <f>IF(SUMIFS(Data!$S:$S,Data!$A:$A,$B20,Data!$C:$C,G$1)=0,"",SUMIFS(Data!$S:$S,Data!$A:$A,$B20,Data!$C:$C,G$1))</f>
        <v>4.2313333333333336</v>
      </c>
      <c r="H20" s="58">
        <f>IF(SUMIFS(Data!$S:$S,Data!$A:$A,$B20,Data!$C:$C,H$1)=0,"",SUMIFS(Data!$S:$S,Data!$A:$A,$B20,Data!$C:$C,H$1))</f>
        <v>2.875</v>
      </c>
      <c r="I20" s="58">
        <f>IF(SUMIFS(Data!$S:$S,Data!$A:$A,$B20,Data!$C:$C,I$1)=0,"",SUMIFS(Data!$S:$S,Data!$A:$A,$B20,Data!$C:$C,I$1))</f>
        <v>4.2323333333333331</v>
      </c>
      <c r="J20" s="58" t="str">
        <f>IF(SUMIFS(Data!$S:$S,Data!$A:$A,$B20,Data!$C:$C,J$1)=0,"",SUMIFS(Data!$S:$S,Data!$A:$A,$B20,Data!$C:$C,J$1))</f>
        <v/>
      </c>
      <c r="K20" s="58">
        <f>IF(SUMIFS(Data!$S:$S,Data!$A:$A,$B20,Data!$C:$C,K$1)=0,"",SUMIFS(Data!$S:$S,Data!$A:$A,$B20,Data!$C:$C,K$1))</f>
        <v>2.2976666666666667</v>
      </c>
      <c r="L20" s="58">
        <f>IF(SUMIFS(Data!$S:$S,Data!$A:$A,$B20,Data!$C:$C,L$1)=0,"",SUMIFS(Data!$S:$S,Data!$A:$A,$B20,Data!$C:$C,L$1))</f>
        <v>3.1406666666666667</v>
      </c>
      <c r="M20" s="58">
        <f>IF(SUMIFS(Data!$S:$S,Data!$A:$A,$B20,Data!$C:$C,M$1)=0,"",SUMIFS(Data!$S:$S,Data!$A:$A,$B20,Data!$C:$C,M$1))</f>
        <v>3.472</v>
      </c>
      <c r="N20" s="58">
        <f>IF(SUMIFS(Data!$S:$S,Data!$A:$A,$B20,Data!$C:$C,N$1)=0,"",SUMIFS(Data!$S:$S,Data!$A:$A,$B20,Data!$C:$C,N$1))</f>
        <v>2.625</v>
      </c>
      <c r="O20" s="58"/>
      <c r="P20" s="58"/>
      <c r="Q20" s="58"/>
      <c r="R20" s="58">
        <f>IF(SUMIFS(Data!X:X,Data!A:A,'#ligaSYR'!B20)=12,5,IF(SUMIFS(Data!X:X,Data!A:A,'#ligaSYR'!B20)&gt;9,3,IF(SUMIFS(Data!X:X,Data!A:A,'#ligaSYR'!B20)&gt;4,1,0)))</f>
        <v>3</v>
      </c>
      <c r="S20" s="58">
        <f t="shared" si="0"/>
        <v>3</v>
      </c>
      <c r="T20" s="58">
        <f t="shared" si="1"/>
        <v>42.497333333333337</v>
      </c>
      <c r="U20" s="58">
        <f>SUMIFS(Data!D:D,Data!A:A,'#ligaSYR'!B20)</f>
        <v>165.23000000000002</v>
      </c>
      <c r="V20" s="66">
        <f>SUMIFS(Data!V:V,Data!A:A,'#ligaSYR'!B20)/COUNT(C20:Q20)</f>
        <v>0.24547755807845489</v>
      </c>
      <c r="W20" s="59" t="str">
        <f>IF(VLOOKUP(B20,Participanti!A:D,4,0)=0," ","New")</f>
        <v xml:space="preserve"> </v>
      </c>
      <c r="Y20" s="59" t="str">
        <f>IF(X20=A20,"Stationare",IF(A20=X20-1,CONCATENATE("Urcare"&amp;" "&amp;X20-A20," "&amp;"loc"),IF(A20&lt;X20,CONCATENATE("Urcare"&amp;" "&amp;X20-A20," "&amp;"locuri"),IF(A20=X20+1,CONCATENATE("Coborare"&amp;" "&amp;A20-X20," "&amp;"loc"),CONCATENATE("Coborare"&amp;" "&amp;A20-X20," "&amp;"locuri")))))</f>
        <v>Coborare 19 locuri</v>
      </c>
    </row>
    <row r="21" spans="1:25" ht="12.75">
      <c r="A21" s="57">
        <v>20</v>
      </c>
      <c r="B21" s="57" t="s">
        <v>204</v>
      </c>
      <c r="C21" s="58">
        <f>IF(SUMIFS(Data!$S:$S,Data!$A:$A,$B21,Data!$C:$C,C$1)=0,"",SUMIFS(Data!$S:$S,Data!$A:$A,$B21,Data!$C:$C,C$1))</f>
        <v>5.1390000000000002</v>
      </c>
      <c r="D21" s="58">
        <f>IF(SUMIFS(Data!$S:$S,Data!$A:$A,$B21,Data!$C:$C,D$1)=0,"",SUMIFS(Data!$S:$S,Data!$A:$A,$B21,Data!$C:$C,D$1))</f>
        <v>5.25</v>
      </c>
      <c r="E21" s="58">
        <f>IF(SUMIFS(Data!$S:$S,Data!$A:$A,$B21,Data!$C:$C,E$1)=0,"",SUMIFS(Data!$S:$S,Data!$A:$A,$B21,Data!$C:$C,E$1))</f>
        <v>4.5250000000000004</v>
      </c>
      <c r="F21" s="58">
        <f>IF(SUMIFS(Data!$S:$S,Data!$A:$A,$B21,Data!$C:$C,F$1)=0,"",SUMIFS(Data!$S:$S,Data!$A:$A,$B21,Data!$C:$C,F$1))</f>
        <v>4.4249999999999998</v>
      </c>
      <c r="G21" s="58">
        <f>IF(SUMIFS(Data!$S:$S,Data!$A:$A,$B21,Data!$C:$C,G$1)=0,"",SUMIFS(Data!$S:$S,Data!$A:$A,$B21,Data!$C:$C,G$1))</f>
        <v>5.067333333333333</v>
      </c>
      <c r="H21" s="58">
        <f>IF(SUMIFS(Data!$S:$S,Data!$A:$A,$B21,Data!$C:$C,H$1)=0,"",SUMIFS(Data!$S:$S,Data!$A:$A,$B21,Data!$C:$C,H$1))</f>
        <v>4.5</v>
      </c>
      <c r="I21" s="58">
        <f>IF(SUMIFS(Data!$S:$S,Data!$A:$A,$B21,Data!$C:$C,I$1)=0,"",SUMIFS(Data!$S:$S,Data!$A:$A,$B21,Data!$C:$C,I$1))</f>
        <v>4.8249999999999993</v>
      </c>
      <c r="J21" s="58" t="str">
        <f>IF(SUMIFS(Data!$S:$S,Data!$A:$A,$B21,Data!$C:$C,J$1)=0,"",SUMIFS(Data!$S:$S,Data!$A:$A,$B21,Data!$C:$C,J$1))</f>
        <v/>
      </c>
      <c r="K21" s="58" t="str">
        <f>IF(SUMIFS(Data!$S:$S,Data!$A:$A,$B21,Data!$C:$C,K$1)=0,"",SUMIFS(Data!$S:$S,Data!$A:$A,$B21,Data!$C:$C,K$1))</f>
        <v/>
      </c>
      <c r="L21" s="58">
        <f>IF(SUMIFS(Data!$S:$S,Data!$A:$A,$B21,Data!$C:$C,L$1)=0,"",SUMIFS(Data!$S:$S,Data!$A:$A,$B21,Data!$C:$C,L$1))</f>
        <v>3.5</v>
      </c>
      <c r="M21" s="58" t="str">
        <f>IF(SUMIFS(Data!$S:$S,Data!$A:$A,$B21,Data!$C:$C,M$1)=0,"",SUMIFS(Data!$S:$S,Data!$A:$A,$B21,Data!$C:$C,M$1))</f>
        <v/>
      </c>
      <c r="N21" s="58">
        <f>IF(SUMIFS(Data!$S:$S,Data!$A:$A,$B21,Data!$C:$C,N$1)=0,"",SUMIFS(Data!$S:$S,Data!$A:$A,$B21,Data!$C:$C,N$1))</f>
        <v>3.375</v>
      </c>
      <c r="O21" s="58"/>
      <c r="P21" s="58"/>
      <c r="Q21" s="58"/>
      <c r="R21" s="58">
        <f>IF(SUMIFS(Data!X:X,Data!A:A,'#ligaSYR'!B21)=12,5,IF(SUMIFS(Data!X:X,Data!A:A,'#ligaSYR'!B21)&gt;9,3,IF(SUMIFS(Data!X:X,Data!A:A,'#ligaSYR'!B21)&gt;4,1,0)))</f>
        <v>1</v>
      </c>
      <c r="S21" s="58">
        <f t="shared" si="0"/>
        <v>0</v>
      </c>
      <c r="T21" s="58">
        <f t="shared" si="1"/>
        <v>41.606333333333332</v>
      </c>
      <c r="U21" s="58">
        <f>SUMIFS(Data!D:D,Data!A:A,'#ligaSYR'!B21)</f>
        <v>216.01</v>
      </c>
      <c r="V21" s="66">
        <f>SUMIFS(Data!V:V,Data!A:A,'#ligaSYR'!B21)/COUNT(C21:Q21)</f>
        <v>0.29584989374451176</v>
      </c>
      <c r="W21" s="59" t="str">
        <f>IF(VLOOKUP(B21,Participanti!A:D,4,0)=0," ","New")</f>
        <v>New</v>
      </c>
      <c r="Y21" s="59" t="str">
        <f>IF(X21=A21,"Stationare",IF(A21=X21-1,CONCATENATE("Urcare"&amp;" "&amp;X21-A21," "&amp;"loc"),IF(A21&lt;X21,CONCATENATE("Urcare"&amp;" "&amp;X21-A21," "&amp;"locuri"),IF(A21=X21+1,CONCATENATE("Coborare"&amp;" "&amp;A21-X21," "&amp;"loc"),CONCATENATE("Coborare"&amp;" "&amp;A21-X21," "&amp;"locuri")))))</f>
        <v>Coborare 20 locuri</v>
      </c>
    </row>
    <row r="22" spans="1:25" ht="12.75">
      <c r="A22" s="57">
        <v>21</v>
      </c>
      <c r="B22" s="57" t="s">
        <v>114</v>
      </c>
      <c r="C22" s="58">
        <f>IF(SUMIFS(Data!$S:$S,Data!$A:$A,$B22,Data!$C:$C,C$1)=0,"",SUMIFS(Data!$S:$S,Data!$A:$A,$B22,Data!$C:$C,C$1))</f>
        <v>3.1150000000000002</v>
      </c>
      <c r="D22" s="58">
        <f>IF(SUMIFS(Data!$S:$S,Data!$A:$A,$B22,Data!$C:$C,D$1)=0,"",SUMIFS(Data!$S:$S,Data!$A:$A,$B22,Data!$C:$C,D$1))</f>
        <v>2.9580000000000002</v>
      </c>
      <c r="E22" s="58">
        <f>IF(SUMIFS(Data!$S:$S,Data!$A:$A,$B22,Data!$C:$C,E$1)=0,"",SUMIFS(Data!$S:$S,Data!$A:$A,$B22,Data!$C:$C,E$1))</f>
        <v>3.0756666666666668</v>
      </c>
      <c r="F22" s="58">
        <f>IF(SUMIFS(Data!$S:$S,Data!$A:$A,$B22,Data!$C:$C,F$1)=0,"",SUMIFS(Data!$S:$S,Data!$A:$A,$B22,Data!$C:$C,F$1))</f>
        <v>2.6739999999999999</v>
      </c>
      <c r="G22" s="58">
        <f>IF(SUMIFS(Data!$S:$S,Data!$A:$A,$B22,Data!$C:$C,G$1)=0,"",SUMIFS(Data!$S:$S,Data!$A:$A,$B22,Data!$C:$C,G$1))</f>
        <v>2.8256666666666668</v>
      </c>
      <c r="H22" s="58">
        <f>IF(SUMIFS(Data!$S:$S,Data!$A:$A,$B22,Data!$C:$C,H$1)=0,"",SUMIFS(Data!$S:$S,Data!$A:$A,$B22,Data!$C:$C,H$1))</f>
        <v>2.9526666666666666</v>
      </c>
      <c r="I22" s="58">
        <f>IF(SUMIFS(Data!$S:$S,Data!$A:$A,$B22,Data!$C:$C,I$1)=0,"",SUMIFS(Data!$S:$S,Data!$A:$A,$B22,Data!$C:$C,I$1))</f>
        <v>2.8210000000000002</v>
      </c>
      <c r="J22" s="58" t="str">
        <f>IF(SUMIFS(Data!$S:$S,Data!$A:$A,$B22,Data!$C:$C,J$1)=0,"",SUMIFS(Data!$S:$S,Data!$A:$A,$B22,Data!$C:$C,J$1))</f>
        <v/>
      </c>
      <c r="K22" s="58">
        <f>IF(SUMIFS(Data!$S:$S,Data!$A:$A,$B22,Data!$C:$C,K$1)=0,"",SUMIFS(Data!$S:$S,Data!$A:$A,$B22,Data!$C:$C,K$1))</f>
        <v>3.0756666666666668</v>
      </c>
      <c r="L22" s="58">
        <f>IF(SUMIFS(Data!$S:$S,Data!$A:$A,$B22,Data!$C:$C,L$1)=0,"",SUMIFS(Data!$S:$S,Data!$A:$A,$B22,Data!$C:$C,L$1))</f>
        <v>4.0919999999999996</v>
      </c>
      <c r="M22" s="58">
        <f>IF(SUMIFS(Data!$S:$S,Data!$A:$A,$B22,Data!$C:$C,M$1)=0,"",SUMIFS(Data!$S:$S,Data!$A:$A,$B22,Data!$C:$C,M$1))</f>
        <v>3.8446666666666669</v>
      </c>
      <c r="N22" s="58">
        <f>IF(SUMIFS(Data!$S:$S,Data!$A:$A,$B22,Data!$C:$C,N$1)=0,"",SUMIFS(Data!$S:$S,Data!$A:$A,$B22,Data!$C:$C,N$1))</f>
        <v>3.2996666666666665</v>
      </c>
      <c r="O22" s="58"/>
      <c r="P22" s="58"/>
      <c r="Q22" s="58"/>
      <c r="R22" s="58">
        <f>IF(SUMIFS(Data!X:X,Data!A:A,'#ligaSYR'!B22)=12,5,IF(SUMIFS(Data!X:X,Data!A:A,'#ligaSYR'!B22)&gt;9,3,IF(SUMIFS(Data!X:X,Data!A:A,'#ligaSYR'!B22)&gt;4,1,0)))</f>
        <v>3</v>
      </c>
      <c r="S22" s="58">
        <f t="shared" si="0"/>
        <v>3</v>
      </c>
      <c r="T22" s="58">
        <f t="shared" si="1"/>
        <v>40.734000000000002</v>
      </c>
      <c r="U22" s="58">
        <f>SUMIFS(Data!D:D,Data!A:A,'#ligaSYR'!B22)</f>
        <v>161.76</v>
      </c>
      <c r="V22" s="66">
        <f>SUMIFS(Data!V:V,Data!A:A,'#ligaSYR'!B22)/COUNT(C22:Q22)</f>
        <v>0.22244776584755444</v>
      </c>
      <c r="W22" s="59" t="str">
        <f>IF(VLOOKUP(B22,Participanti!A:D,4,0)=0," ","New")</f>
        <v xml:space="preserve"> </v>
      </c>
      <c r="Y22" s="59" t="str">
        <f>IF(X22=A22,"Stationare",IF(A22=X22-1,CONCATENATE("Urcare"&amp;" "&amp;X22-A22," "&amp;"loc"),IF(A22&lt;X22,CONCATENATE("Urcare"&amp;" "&amp;X22-A22," "&amp;"locuri"),IF(A22=X22+1,CONCATENATE("Coborare"&amp;" "&amp;A22-X22," "&amp;"loc"),CONCATENATE("Coborare"&amp;" "&amp;A22-X22," "&amp;"locuri")))))</f>
        <v>Coborare 21 locuri</v>
      </c>
    </row>
    <row r="23" spans="1:25" ht="12.75">
      <c r="A23" s="57">
        <v>22</v>
      </c>
      <c r="B23" s="57" t="s">
        <v>131</v>
      </c>
      <c r="C23" s="58">
        <f>IF(SUMIFS(Data!$S:$S,Data!$A:$A,$B23,Data!$C:$C,C$1)=0,"",SUMIFS(Data!$S:$S,Data!$A:$A,$B23,Data!$C:$C,C$1))</f>
        <v>3.5906666666666665</v>
      </c>
      <c r="D23" s="58">
        <f>IF(SUMIFS(Data!$S:$S,Data!$A:$A,$B23,Data!$C:$C,D$1)=0,"",SUMIFS(Data!$S:$S,Data!$A:$A,$B23,Data!$C:$C,D$1))</f>
        <v>1.625</v>
      </c>
      <c r="E23" s="58">
        <f>IF(SUMIFS(Data!$S:$S,Data!$A:$A,$B23,Data!$C:$C,E$1)=0,"",SUMIFS(Data!$S:$S,Data!$A:$A,$B23,Data!$C:$C,E$1))</f>
        <v>2.75</v>
      </c>
      <c r="F23" s="58">
        <f>IF(SUMIFS(Data!$S:$S,Data!$A:$A,$B23,Data!$C:$C,F$1)=0,"",SUMIFS(Data!$S:$S,Data!$A:$A,$B23,Data!$C:$C,F$1))</f>
        <v>2.375</v>
      </c>
      <c r="G23" s="58">
        <f>IF(SUMIFS(Data!$S:$S,Data!$A:$A,$B23,Data!$C:$C,G$1)=0,"",SUMIFS(Data!$S:$S,Data!$A:$A,$B23,Data!$C:$C,G$1))</f>
        <v>3.75</v>
      </c>
      <c r="H23" s="58">
        <f>IF(SUMIFS(Data!$S:$S,Data!$A:$A,$B23,Data!$C:$C,H$1)=0,"",SUMIFS(Data!$S:$S,Data!$A:$A,$B23,Data!$C:$C,H$1))</f>
        <v>1.75</v>
      </c>
      <c r="I23" s="58">
        <f>IF(SUMIFS(Data!$S:$S,Data!$A:$A,$B23,Data!$C:$C,I$1)=0,"",SUMIFS(Data!$S:$S,Data!$A:$A,$B23,Data!$C:$C,I$1))</f>
        <v>2.25</v>
      </c>
      <c r="J23" s="58">
        <f>IF(SUMIFS(Data!$S:$S,Data!$A:$A,$B23,Data!$C:$C,J$1)=0,"",SUMIFS(Data!$S:$S,Data!$A:$A,$B23,Data!$C:$C,J$1))</f>
        <v>3.5</v>
      </c>
      <c r="K23" s="58">
        <f>IF(SUMIFS(Data!$S:$S,Data!$A:$A,$B23,Data!$C:$C,K$1)=0,"",SUMIFS(Data!$S:$S,Data!$A:$A,$B23,Data!$C:$C,K$1))</f>
        <v>3.0380000000000003</v>
      </c>
      <c r="L23" s="58">
        <f>IF(SUMIFS(Data!$S:$S,Data!$A:$A,$B23,Data!$C:$C,L$1)=0,"",SUMIFS(Data!$S:$S,Data!$A:$A,$B23,Data!$C:$C,L$1))</f>
        <v>2.5</v>
      </c>
      <c r="M23" s="58">
        <f>IF(SUMIFS(Data!$S:$S,Data!$A:$A,$B23,Data!$C:$C,M$1)=0,"",SUMIFS(Data!$S:$S,Data!$A:$A,$B23,Data!$C:$C,M$1))</f>
        <v>1.875</v>
      </c>
      <c r="N23" s="58">
        <f>IF(SUMIFS(Data!$S:$S,Data!$A:$A,$B23,Data!$C:$C,N$1)=0,"",SUMIFS(Data!$S:$S,Data!$A:$A,$B23,Data!$C:$C,N$1))</f>
        <v>3.625</v>
      </c>
      <c r="O23" s="58"/>
      <c r="P23" s="58"/>
      <c r="Q23" s="58"/>
      <c r="R23" s="58">
        <f>IF(SUMIFS(Data!X:X,Data!A:A,'#ligaSYR'!B23)=12,5,IF(SUMIFS(Data!X:X,Data!A:A,'#ligaSYR'!B23)&gt;9,3,IF(SUMIFS(Data!X:X,Data!A:A,'#ligaSYR'!B23)&gt;4,1,0)))</f>
        <v>3</v>
      </c>
      <c r="S23" s="58">
        <f t="shared" si="0"/>
        <v>5</v>
      </c>
      <c r="T23" s="58">
        <f t="shared" si="1"/>
        <v>40.628666666666668</v>
      </c>
      <c r="U23" s="58">
        <f>SUMIFS(Data!D:D,Data!A:A,'#ligaSYR'!B23)</f>
        <v>158.68</v>
      </c>
      <c r="V23" s="66">
        <f>SUMIFS(Data!V:V,Data!A:A,'#ligaSYR'!B23)/COUNT(C23:Q23)</f>
        <v>0.27450612934037005</v>
      </c>
      <c r="W23" s="59" t="str">
        <f>IF(VLOOKUP(B23,Participanti!A:D,4,0)=0," ","New")</f>
        <v xml:space="preserve"> </v>
      </c>
      <c r="Y23" s="59" t="str">
        <f>IF(X23=A23,"Stationare",IF(A23=X23-1,CONCATENATE("Urcare"&amp;" "&amp;X23-A23," "&amp;"loc"),IF(A23&lt;X23,CONCATENATE("Urcare"&amp;" "&amp;X23-A23," "&amp;"locuri"),IF(A23=X23+1,CONCATENATE("Coborare"&amp;" "&amp;A23-X23," "&amp;"loc"),CONCATENATE("Coborare"&amp;" "&amp;A23-X23," "&amp;"locuri")))))</f>
        <v>Coborare 22 locuri</v>
      </c>
    </row>
    <row r="24" spans="1:25" ht="12.75">
      <c r="A24" s="57">
        <v>23</v>
      </c>
      <c r="B24" s="57" t="s">
        <v>65</v>
      </c>
      <c r="C24" s="58">
        <f>IF(SUMIFS(Data!$S:$S,Data!$A:$A,$B24,Data!$C:$C,C$1)=0,"",SUMIFS(Data!$S:$S,Data!$A:$A,$B24,Data!$C:$C,C$1))</f>
        <v>4</v>
      </c>
      <c r="D24" s="58">
        <f>IF(SUMIFS(Data!$S:$S,Data!$A:$A,$B24,Data!$C:$C,D$1)=0,"",SUMIFS(Data!$S:$S,Data!$A:$A,$B24,Data!$C:$C,D$1))</f>
        <v>3.85</v>
      </c>
      <c r="E24" s="58">
        <f>IF(SUMIFS(Data!$S:$S,Data!$A:$A,$B24,Data!$C:$C,E$1)=0,"",SUMIFS(Data!$S:$S,Data!$A:$A,$B24,Data!$C:$C,E$1))</f>
        <v>2.125</v>
      </c>
      <c r="F24" s="58" t="str">
        <f>IF(SUMIFS(Data!$S:$S,Data!$A:$A,$B24,Data!$C:$C,F$1)=0,"",SUMIFS(Data!$S:$S,Data!$A:$A,$B24,Data!$C:$C,F$1))</f>
        <v/>
      </c>
      <c r="G24" s="58">
        <f>IF(SUMIFS(Data!$S:$S,Data!$A:$A,$B24,Data!$C:$C,G$1)=0,"",SUMIFS(Data!$S:$S,Data!$A:$A,$B24,Data!$C:$C,G$1))</f>
        <v>3.1113333333333335</v>
      </c>
      <c r="H24" s="58">
        <f>IF(SUMIFS(Data!$S:$S,Data!$A:$A,$B24,Data!$C:$C,H$1)=0,"",SUMIFS(Data!$S:$S,Data!$A:$A,$B24,Data!$C:$C,H$1))</f>
        <v>2.75</v>
      </c>
      <c r="I24" s="58">
        <f>IF(SUMIFS(Data!$S:$S,Data!$A:$A,$B24,Data!$C:$C,I$1)=0,"",SUMIFS(Data!$S:$S,Data!$A:$A,$B24,Data!$C:$C,I$1))</f>
        <v>2.875</v>
      </c>
      <c r="J24" s="58">
        <f>IF(SUMIFS(Data!$S:$S,Data!$A:$A,$B24,Data!$C:$C,J$1)=0,"",SUMIFS(Data!$S:$S,Data!$A:$A,$B24,Data!$C:$C,J$1))</f>
        <v>3.5249999999999999</v>
      </c>
      <c r="K24" s="58">
        <f>IF(SUMIFS(Data!$S:$S,Data!$A:$A,$B24,Data!$C:$C,K$1)=0,"",SUMIFS(Data!$S:$S,Data!$A:$A,$B24,Data!$C:$C,K$1))</f>
        <v>3.25</v>
      </c>
      <c r="L24" s="58">
        <f>IF(SUMIFS(Data!$S:$S,Data!$A:$A,$B24,Data!$C:$C,L$1)=0,"",SUMIFS(Data!$S:$S,Data!$A:$A,$B24,Data!$C:$C,L$1))</f>
        <v>2.625</v>
      </c>
      <c r="M24" s="58">
        <f>IF(SUMIFS(Data!$S:$S,Data!$A:$A,$B24,Data!$C:$C,M$1)=0,"",SUMIFS(Data!$S:$S,Data!$A:$A,$B24,Data!$C:$C,M$1))</f>
        <v>3.45</v>
      </c>
      <c r="N24" s="58">
        <f>IF(SUMIFS(Data!$S:$S,Data!$A:$A,$B24,Data!$C:$C,N$1)=0,"",SUMIFS(Data!$S:$S,Data!$A:$A,$B24,Data!$C:$C,N$1))</f>
        <v>2.75</v>
      </c>
      <c r="O24" s="58"/>
      <c r="P24" s="58"/>
      <c r="Q24" s="58"/>
      <c r="R24" s="58">
        <f>IF(SUMIFS(Data!X:X,Data!A:A,'#ligaSYR'!B24)=12,5,IF(SUMIFS(Data!X:X,Data!A:A,'#ligaSYR'!B24)&gt;9,3,IF(SUMIFS(Data!X:X,Data!A:A,'#ligaSYR'!B24)&gt;4,1,0)))</f>
        <v>3</v>
      </c>
      <c r="S24" s="58">
        <f t="shared" si="0"/>
        <v>3</v>
      </c>
      <c r="T24" s="58">
        <f t="shared" si="1"/>
        <v>40.31133333333333</v>
      </c>
      <c r="U24" s="58">
        <f>SUMIFS(Data!D:D,Data!A:A,'#ligaSYR'!B24)</f>
        <v>202.02999999999997</v>
      </c>
      <c r="V24" s="66">
        <f>SUMIFS(Data!V:V,Data!A:A,'#ligaSYR'!B24)/COUNT(C24:Q24)</f>
        <v>0.24120013384908631</v>
      </c>
      <c r="W24" s="59" t="str">
        <f>IF(VLOOKUP(B24,Participanti!A:D,4,0)=0," ","New")</f>
        <v xml:space="preserve"> </v>
      </c>
      <c r="Y24" s="59" t="str">
        <f>IF(X24=A24,"Stationare",IF(A24=X24-1,CONCATENATE("Urcare"&amp;" "&amp;X24-A24," "&amp;"loc"),IF(A24&lt;X24,CONCATENATE("Urcare"&amp;" "&amp;X24-A24," "&amp;"locuri"),IF(A24=X24+1,CONCATENATE("Coborare"&amp;" "&amp;A24-X24," "&amp;"loc"),CONCATENATE("Coborare"&amp;" "&amp;A24-X24," "&amp;"locuri")))))</f>
        <v>Coborare 23 locuri</v>
      </c>
    </row>
    <row r="25" spans="1:25" ht="12.75">
      <c r="A25" s="57">
        <v>24</v>
      </c>
      <c r="B25" s="57" t="s">
        <v>8</v>
      </c>
      <c r="C25" s="58">
        <f>IF(SUMIFS(Data!$S:$S,Data!$A:$A,$B25,Data!$C:$C,C$1)=0,"",SUMIFS(Data!$S:$S,Data!$A:$A,$B25,Data!$C:$C,C$1))</f>
        <v>2.625</v>
      </c>
      <c r="D25" s="58">
        <f>IF(SUMIFS(Data!$S:$S,Data!$A:$A,$B25,Data!$C:$C,D$1)=0,"",SUMIFS(Data!$S:$S,Data!$A:$A,$B25,Data!$C:$C,D$1))</f>
        <v>2.75</v>
      </c>
      <c r="E25" s="58">
        <f>IF(SUMIFS(Data!$S:$S,Data!$A:$A,$B25,Data!$C:$C,E$1)=0,"",SUMIFS(Data!$S:$S,Data!$A:$A,$B25,Data!$C:$C,E$1))</f>
        <v>2.625</v>
      </c>
      <c r="F25" s="58">
        <f>IF(SUMIFS(Data!$S:$S,Data!$A:$A,$B25,Data!$C:$C,F$1)=0,"",SUMIFS(Data!$S:$S,Data!$A:$A,$B25,Data!$C:$C,F$1))</f>
        <v>2.75</v>
      </c>
      <c r="G25" s="58">
        <f>IF(SUMIFS(Data!$S:$S,Data!$A:$A,$B25,Data!$C:$C,G$1)=0,"",SUMIFS(Data!$S:$S,Data!$A:$A,$B25,Data!$C:$C,G$1))</f>
        <v>2.375</v>
      </c>
      <c r="H25" s="58">
        <f>IF(SUMIFS(Data!$S:$S,Data!$A:$A,$B25,Data!$C:$C,H$1)=0,"",SUMIFS(Data!$S:$S,Data!$A:$A,$B25,Data!$C:$C,H$1))</f>
        <v>2.375</v>
      </c>
      <c r="I25" s="58">
        <f>IF(SUMIFS(Data!$S:$S,Data!$A:$A,$B25,Data!$C:$C,I$1)=0,"",SUMIFS(Data!$S:$S,Data!$A:$A,$B25,Data!$C:$C,I$1))</f>
        <v>2.5</v>
      </c>
      <c r="J25" s="58">
        <f>IF(SUMIFS(Data!$S:$S,Data!$A:$A,$B25,Data!$C:$C,J$1)=0,"",SUMIFS(Data!$S:$S,Data!$A:$A,$B25,Data!$C:$C,J$1))</f>
        <v>3</v>
      </c>
      <c r="K25" s="58">
        <f>IF(SUMIFS(Data!$S:$S,Data!$A:$A,$B25,Data!$C:$C,K$1)=0,"",SUMIFS(Data!$S:$S,Data!$A:$A,$B25,Data!$C:$C,K$1))</f>
        <v>2.5</v>
      </c>
      <c r="L25" s="58">
        <f>IF(SUMIFS(Data!$S:$S,Data!$A:$A,$B25,Data!$C:$C,L$1)=0,"",SUMIFS(Data!$S:$S,Data!$A:$A,$B25,Data!$C:$C,L$1))</f>
        <v>2</v>
      </c>
      <c r="M25" s="58">
        <f>IF(SUMIFS(Data!$S:$S,Data!$A:$A,$B25,Data!$C:$C,M$1)=0,"",SUMIFS(Data!$S:$S,Data!$A:$A,$B25,Data!$C:$C,M$1))</f>
        <v>2.125</v>
      </c>
      <c r="N25" s="58">
        <f>IF(SUMIFS(Data!$S:$S,Data!$A:$A,$B25,Data!$C:$C,N$1)=0,"",SUMIFS(Data!$S:$S,Data!$A:$A,$B25,Data!$C:$C,N$1))</f>
        <v>2.25</v>
      </c>
      <c r="O25" s="58"/>
      <c r="P25" s="58"/>
      <c r="Q25" s="58"/>
      <c r="R25" s="58">
        <f>IF(SUMIFS(Data!X:X,Data!A:A,'#ligaSYR'!B25)=12,5,IF(SUMIFS(Data!X:X,Data!A:A,'#ligaSYR'!B25)&gt;9,3,IF(SUMIFS(Data!X:X,Data!A:A,'#ligaSYR'!B25)&gt;4,1,0)))</f>
        <v>5</v>
      </c>
      <c r="S25" s="58">
        <f t="shared" si="0"/>
        <v>5</v>
      </c>
      <c r="T25" s="58">
        <f t="shared" si="1"/>
        <v>39.875</v>
      </c>
      <c r="U25" s="58">
        <f>SUMIFS(Data!D:D,Data!A:A,'#ligaSYR'!B25)</f>
        <v>96.56</v>
      </c>
      <c r="V25" s="66">
        <f>SUMIFS(Data!V:V,Data!A:A,'#ligaSYR'!B25)/COUNT(C25:Q25)</f>
        <v>0.35319178654023542</v>
      </c>
      <c r="W25" s="59" t="str">
        <f>IF(VLOOKUP(B25,Participanti!A:D,4,0)=0," ","New")</f>
        <v xml:space="preserve"> </v>
      </c>
      <c r="Y25" s="59" t="str">
        <f>IF(X25=A25,"Stationare",IF(A25=X25-1,CONCATENATE("Urcare"&amp;" "&amp;X25-A25," "&amp;"loc"),IF(A25&lt;X25,CONCATENATE("Urcare"&amp;" "&amp;X25-A25," "&amp;"locuri"),IF(A25=X25+1,CONCATENATE("Coborare"&amp;" "&amp;A25-X25," "&amp;"loc"),CONCATENATE("Coborare"&amp;" "&amp;A25-X25," "&amp;"locuri")))))</f>
        <v>Coborare 24 locuri</v>
      </c>
    </row>
    <row r="26" spans="1:25" ht="12.75">
      <c r="A26" s="57">
        <v>25</v>
      </c>
      <c r="B26" s="57" t="s">
        <v>53</v>
      </c>
      <c r="C26" s="58">
        <f>IF(SUMIFS(Data!$S:$S,Data!$A:$A,$B26,Data!$C:$C,C$1)=0,"",SUMIFS(Data!$S:$S,Data!$A:$A,$B26,Data!$C:$C,C$1))</f>
        <v>2.6996666666666669</v>
      </c>
      <c r="D26" s="58">
        <f>IF(SUMIFS(Data!$S:$S,Data!$A:$A,$B26,Data!$C:$C,D$1)=0,"",SUMIFS(Data!$S:$S,Data!$A:$A,$B26,Data!$C:$C,D$1))</f>
        <v>2.25</v>
      </c>
      <c r="E26" s="58">
        <f>IF(SUMIFS(Data!$S:$S,Data!$A:$A,$B26,Data!$C:$C,E$1)=0,"",SUMIFS(Data!$S:$S,Data!$A:$A,$B26,Data!$C:$C,E$1))</f>
        <v>2.625</v>
      </c>
      <c r="F26" s="58">
        <f>IF(SUMIFS(Data!$S:$S,Data!$A:$A,$B26,Data!$C:$C,F$1)=0,"",SUMIFS(Data!$S:$S,Data!$A:$A,$B26,Data!$C:$C,F$1))</f>
        <v>2.8586666666666667</v>
      </c>
      <c r="G26" s="58">
        <f>IF(SUMIFS(Data!$S:$S,Data!$A:$A,$B26,Data!$C:$C,G$1)=0,"",SUMIFS(Data!$S:$S,Data!$A:$A,$B26,Data!$C:$C,G$1))</f>
        <v>1.625</v>
      </c>
      <c r="H26" s="58">
        <f>IF(SUMIFS(Data!$S:$S,Data!$A:$A,$B26,Data!$C:$C,H$1)=0,"",SUMIFS(Data!$S:$S,Data!$A:$A,$B26,Data!$C:$C,H$1))</f>
        <v>3.5523333333333333</v>
      </c>
      <c r="I26" s="58">
        <f>IF(SUMIFS(Data!$S:$S,Data!$A:$A,$B26,Data!$C:$C,I$1)=0,"",SUMIFS(Data!$S:$S,Data!$A:$A,$B26,Data!$C:$C,I$1))</f>
        <v>2.8479999999999999</v>
      </c>
      <c r="J26" s="58">
        <f>IF(SUMIFS(Data!$S:$S,Data!$A:$A,$B26,Data!$C:$C,J$1)=0,"",SUMIFS(Data!$S:$S,Data!$A:$A,$B26,Data!$C:$C,J$1))</f>
        <v>2.4550000000000001</v>
      </c>
      <c r="K26" s="58">
        <f>IF(SUMIFS(Data!$S:$S,Data!$A:$A,$B26,Data!$C:$C,K$1)=0,"",SUMIFS(Data!$S:$S,Data!$A:$A,$B26,Data!$C:$C,K$1))</f>
        <v>2.25</v>
      </c>
      <c r="L26" s="58">
        <f>IF(SUMIFS(Data!$S:$S,Data!$A:$A,$B26,Data!$C:$C,L$1)=0,"",SUMIFS(Data!$S:$S,Data!$A:$A,$B26,Data!$C:$C,L$1))</f>
        <v>2</v>
      </c>
      <c r="M26" s="58">
        <f>IF(SUMIFS(Data!$S:$S,Data!$A:$A,$B26,Data!$C:$C,M$1)=0,"",SUMIFS(Data!$S:$S,Data!$A:$A,$B26,Data!$C:$C,M$1))</f>
        <v>2.5866666666666669</v>
      </c>
      <c r="N26" s="58">
        <f>IF(SUMIFS(Data!$S:$S,Data!$A:$A,$B26,Data!$C:$C,N$1)=0,"",SUMIFS(Data!$S:$S,Data!$A:$A,$B26,Data!$C:$C,N$1))</f>
        <v>1.75</v>
      </c>
      <c r="O26" s="58"/>
      <c r="P26" s="58"/>
      <c r="Q26" s="58"/>
      <c r="R26" s="58">
        <f>IF(SUMIFS(Data!X:X,Data!A:A,'#ligaSYR'!B26)=12,5,IF(SUMIFS(Data!X:X,Data!A:A,'#ligaSYR'!B26)&gt;9,3,IF(SUMIFS(Data!X:X,Data!A:A,'#ligaSYR'!B26)&gt;4,1,0)))</f>
        <v>5</v>
      </c>
      <c r="S26" s="58">
        <f t="shared" si="0"/>
        <v>5</v>
      </c>
      <c r="T26" s="58">
        <f t="shared" si="1"/>
        <v>39.50033333333333</v>
      </c>
      <c r="U26" s="58">
        <f>SUMIFS(Data!D:D,Data!A:A,'#ligaSYR'!B26)</f>
        <v>172.74</v>
      </c>
      <c r="V26" s="66">
        <f>SUMIFS(Data!V:V,Data!A:A,'#ligaSYR'!B26)/COUNT(C26:Q26)</f>
        <v>0.18127540831365596</v>
      </c>
      <c r="W26" s="59" t="str">
        <f>IF(VLOOKUP(B26,Participanti!A:D,4,0)=0," ","New")</f>
        <v xml:space="preserve"> </v>
      </c>
      <c r="Y26" s="59" t="str">
        <f>IF(X26=A26,"Stationare",IF(A26=X26-1,CONCATENATE("Urcare"&amp;" "&amp;X26-A26," "&amp;"loc"),IF(A26&lt;X26,CONCATENATE("Urcare"&amp;" "&amp;X26-A26," "&amp;"locuri"),IF(A26=X26+1,CONCATENATE("Coborare"&amp;" "&amp;A26-X26," "&amp;"loc"),CONCATENATE("Coborare"&amp;" "&amp;A26-X26," "&amp;"locuri")))))</f>
        <v>Coborare 25 locuri</v>
      </c>
    </row>
    <row r="27" spans="1:25" ht="12.75">
      <c r="A27" s="57">
        <v>26</v>
      </c>
      <c r="B27" s="57" t="s">
        <v>66</v>
      </c>
      <c r="C27" s="58">
        <f>IF(SUMIFS(Data!$S:$S,Data!$A:$A,$B27,Data!$C:$C,C$1)=0,"",SUMIFS(Data!$S:$S,Data!$A:$A,$B27,Data!$C:$C,C$1))</f>
        <v>1.25</v>
      </c>
      <c r="D27" s="58">
        <f>IF(SUMIFS(Data!$S:$S,Data!$A:$A,$B27,Data!$C:$C,D$1)=0,"",SUMIFS(Data!$S:$S,Data!$A:$A,$B27,Data!$C:$C,D$1))</f>
        <v>2.125</v>
      </c>
      <c r="E27" s="58">
        <f>IF(SUMIFS(Data!$S:$S,Data!$A:$A,$B27,Data!$C:$C,E$1)=0,"",SUMIFS(Data!$S:$S,Data!$A:$A,$B27,Data!$C:$C,E$1))</f>
        <v>1.875</v>
      </c>
      <c r="F27" s="58">
        <f>IF(SUMIFS(Data!$S:$S,Data!$A:$A,$B27,Data!$C:$C,F$1)=0,"",SUMIFS(Data!$S:$S,Data!$A:$A,$B27,Data!$C:$C,F$1))</f>
        <v>2.375</v>
      </c>
      <c r="G27" s="58">
        <f>IF(SUMIFS(Data!$S:$S,Data!$A:$A,$B27,Data!$C:$C,G$1)=0,"",SUMIFS(Data!$S:$S,Data!$A:$A,$B27,Data!$C:$C,G$1))</f>
        <v>2.25</v>
      </c>
      <c r="H27" s="58">
        <f>IF(SUMIFS(Data!$S:$S,Data!$A:$A,$B27,Data!$C:$C,H$1)=0,"",SUMIFS(Data!$S:$S,Data!$A:$A,$B27,Data!$C:$C,H$1))</f>
        <v>2</v>
      </c>
      <c r="I27" s="58">
        <f>IF(SUMIFS(Data!$S:$S,Data!$A:$A,$B27,Data!$C:$C,I$1)=0,"",SUMIFS(Data!$S:$S,Data!$A:$A,$B27,Data!$C:$C,I$1))</f>
        <v>2.125</v>
      </c>
      <c r="J27" s="58">
        <f>IF(SUMIFS(Data!$S:$S,Data!$A:$A,$B27,Data!$C:$C,J$1)=0,"",SUMIFS(Data!$S:$S,Data!$A:$A,$B27,Data!$C:$C,J$1))</f>
        <v>2.875</v>
      </c>
      <c r="K27" s="58">
        <f>IF(SUMIFS(Data!$S:$S,Data!$A:$A,$B27,Data!$C:$C,K$1)=0,"",SUMIFS(Data!$S:$S,Data!$A:$A,$B27,Data!$C:$C,K$1))</f>
        <v>3.25</v>
      </c>
      <c r="L27" s="58">
        <f>IF(SUMIFS(Data!$S:$S,Data!$A:$A,$B27,Data!$C:$C,L$1)=0,"",SUMIFS(Data!$S:$S,Data!$A:$A,$B27,Data!$C:$C,L$1))</f>
        <v>2.25</v>
      </c>
      <c r="M27" s="58">
        <f>IF(SUMIFS(Data!$S:$S,Data!$A:$A,$B27,Data!$C:$C,M$1)=0,"",SUMIFS(Data!$S:$S,Data!$A:$A,$B27,Data!$C:$C,M$1))</f>
        <v>3.7250000000000001</v>
      </c>
      <c r="N27" s="58">
        <f>IF(SUMIFS(Data!$S:$S,Data!$A:$A,$B27,Data!$C:$C,N$1)=0,"",SUMIFS(Data!$S:$S,Data!$A:$A,$B27,Data!$C:$C,N$1))</f>
        <v>2.875</v>
      </c>
      <c r="O27" s="58"/>
      <c r="P27" s="58"/>
      <c r="Q27" s="58"/>
      <c r="R27" s="58">
        <f>IF(SUMIFS(Data!X:X,Data!A:A,'#ligaSYR'!B27)=12,5,IF(SUMIFS(Data!X:X,Data!A:A,'#ligaSYR'!B27)&gt;9,3,IF(SUMIFS(Data!X:X,Data!A:A,'#ligaSYR'!B27)&gt;4,1,0)))</f>
        <v>5</v>
      </c>
      <c r="S27" s="58">
        <f t="shared" si="0"/>
        <v>5</v>
      </c>
      <c r="T27" s="58">
        <f t="shared" si="1"/>
        <v>38.975000000000001</v>
      </c>
      <c r="U27" s="58">
        <f>SUMIFS(Data!D:D,Data!A:A,'#ligaSYR'!B27)</f>
        <v>178.32409000000001</v>
      </c>
      <c r="V27" s="66">
        <f>SUMIFS(Data!V:V,Data!A:A,'#ligaSYR'!B27)/COUNT(C27:Q27)</f>
        <v>0.18060728106892487</v>
      </c>
      <c r="W27" s="59" t="str">
        <f>IF(VLOOKUP(B27,Participanti!A:D,4,0)=0," ","New")</f>
        <v xml:space="preserve"> </v>
      </c>
      <c r="Y27" s="59" t="str">
        <f>IF(X27=A27,"Stationare",IF(A27=X27-1,CONCATENATE("Urcare"&amp;" "&amp;X27-A27," "&amp;"loc"),IF(A27&lt;X27,CONCATENATE("Urcare"&amp;" "&amp;X27-A27," "&amp;"locuri"),IF(A27=X27+1,CONCATENATE("Coborare"&amp;" "&amp;A27-X27," "&amp;"loc"),CONCATENATE("Coborare"&amp;" "&amp;A27-X27," "&amp;"locuri")))))</f>
        <v>Coborare 26 locuri</v>
      </c>
    </row>
    <row r="28" spans="1:25" ht="12.75">
      <c r="A28" s="57">
        <v>27</v>
      </c>
      <c r="B28" s="57" t="s">
        <v>50</v>
      </c>
      <c r="C28" s="58">
        <f>IF(SUMIFS(Data!$S:$S,Data!$A:$A,$B28,Data!$C:$C,C$1)=0,"",SUMIFS(Data!$S:$S,Data!$A:$A,$B28,Data!$C:$C,C$1))</f>
        <v>2.25</v>
      </c>
      <c r="D28" s="58">
        <f>IF(SUMIFS(Data!$S:$S,Data!$A:$A,$B28,Data!$C:$C,D$1)=0,"",SUMIFS(Data!$S:$S,Data!$A:$A,$B28,Data!$C:$C,D$1))</f>
        <v>2.375</v>
      </c>
      <c r="E28" s="58">
        <f>IF(SUMIFS(Data!$S:$S,Data!$A:$A,$B28,Data!$C:$C,E$1)=0,"",SUMIFS(Data!$S:$S,Data!$A:$A,$B28,Data!$C:$C,E$1))</f>
        <v>2.625</v>
      </c>
      <c r="F28" s="58">
        <f>IF(SUMIFS(Data!$S:$S,Data!$A:$A,$B28,Data!$C:$C,F$1)=0,"",SUMIFS(Data!$S:$S,Data!$A:$A,$B28,Data!$C:$C,F$1))</f>
        <v>1.75</v>
      </c>
      <c r="G28" s="58">
        <f>IF(SUMIFS(Data!$S:$S,Data!$A:$A,$B28,Data!$C:$C,G$1)=0,"",SUMIFS(Data!$S:$S,Data!$A:$A,$B28,Data!$C:$C,G$1))</f>
        <v>2.25</v>
      </c>
      <c r="H28" s="58">
        <f>IF(SUMIFS(Data!$S:$S,Data!$A:$A,$B28,Data!$C:$C,H$1)=0,"",SUMIFS(Data!$S:$S,Data!$A:$A,$B28,Data!$C:$C,H$1))</f>
        <v>2.25</v>
      </c>
      <c r="I28" s="58">
        <f>IF(SUMIFS(Data!$S:$S,Data!$A:$A,$B28,Data!$C:$C,I$1)=0,"",SUMIFS(Data!$S:$S,Data!$A:$A,$B28,Data!$C:$C,I$1))</f>
        <v>2.625</v>
      </c>
      <c r="J28" s="58">
        <f>IF(SUMIFS(Data!$S:$S,Data!$A:$A,$B28,Data!$C:$C,J$1)=0,"",SUMIFS(Data!$S:$S,Data!$A:$A,$B28,Data!$C:$C,J$1))</f>
        <v>2.125</v>
      </c>
      <c r="K28" s="58">
        <f>IF(SUMIFS(Data!$S:$S,Data!$A:$A,$B28,Data!$C:$C,K$1)=0,"",SUMIFS(Data!$S:$S,Data!$A:$A,$B28,Data!$C:$C,K$1))</f>
        <v>1.25</v>
      </c>
      <c r="L28" s="58">
        <f>IF(SUMIFS(Data!$S:$S,Data!$A:$A,$B28,Data!$C:$C,L$1)=0,"",SUMIFS(Data!$S:$S,Data!$A:$A,$B28,Data!$C:$C,L$1))</f>
        <v>2.375</v>
      </c>
      <c r="M28" s="58">
        <f>IF(SUMIFS(Data!$S:$S,Data!$A:$A,$B28,Data!$C:$C,M$1)=0,"",SUMIFS(Data!$S:$S,Data!$A:$A,$B28,Data!$C:$C,M$1))</f>
        <v>2.25</v>
      </c>
      <c r="N28" s="58">
        <f>IF(SUMIFS(Data!$S:$S,Data!$A:$A,$B28,Data!$C:$C,N$1)=0,"",SUMIFS(Data!$S:$S,Data!$A:$A,$B28,Data!$C:$C,N$1))</f>
        <v>2.75</v>
      </c>
      <c r="O28" s="58"/>
      <c r="P28" s="58"/>
      <c r="Q28" s="58"/>
      <c r="R28" s="58">
        <f>IF(SUMIFS(Data!X:X,Data!A:A,'#ligaSYR'!B28)=12,5,IF(SUMIFS(Data!X:X,Data!A:A,'#ligaSYR'!B28)&gt;9,3,IF(SUMIFS(Data!X:X,Data!A:A,'#ligaSYR'!B28)&gt;4,1,0)))</f>
        <v>5</v>
      </c>
      <c r="S28" s="58">
        <f t="shared" si="0"/>
        <v>5</v>
      </c>
      <c r="T28" s="58">
        <f t="shared" si="1"/>
        <v>36.875</v>
      </c>
      <c r="U28" s="58">
        <f>SUMIFS(Data!D:D,Data!A:A,'#ligaSYR'!B28)</f>
        <v>100.98</v>
      </c>
      <c r="V28" s="66">
        <f>SUMIFS(Data!V:V,Data!A:A,'#ligaSYR'!B28)/COUNT(C28:Q28)</f>
        <v>0.31277800771535941</v>
      </c>
      <c r="W28" s="59" t="str">
        <f>IF(VLOOKUP(B28,Participanti!A:D,4,0)=0," ","New")</f>
        <v xml:space="preserve"> </v>
      </c>
      <c r="Y28" s="59" t="str">
        <f>IF(X28=A28,"Stationare",IF(A28=X28-1,CONCATENATE("Urcare"&amp;" "&amp;X28-A28," "&amp;"loc"),IF(A28&lt;X28,CONCATENATE("Urcare"&amp;" "&amp;X28-A28," "&amp;"locuri"),IF(A28=X28+1,CONCATENATE("Coborare"&amp;" "&amp;A28-X28," "&amp;"loc"),CONCATENATE("Coborare"&amp;" "&amp;A28-X28," "&amp;"locuri")))))</f>
        <v>Coborare 27 locuri</v>
      </c>
    </row>
    <row r="29" spans="1:25" ht="12.75">
      <c r="A29" s="57">
        <v>28</v>
      </c>
      <c r="B29" s="57" t="s">
        <v>206</v>
      </c>
      <c r="C29" s="58">
        <f>IF(SUMIFS(Data!$S:$S,Data!$A:$A,$B29,Data!$C:$C,C$1)=0,"",SUMIFS(Data!$S:$S,Data!$A:$A,$B29,Data!$C:$C,C$1))</f>
        <v>2.875</v>
      </c>
      <c r="D29" s="58">
        <f>IF(SUMIFS(Data!$S:$S,Data!$A:$A,$B29,Data!$C:$C,D$1)=0,"",SUMIFS(Data!$S:$S,Data!$A:$A,$B29,Data!$C:$C,D$1))</f>
        <v>2.25</v>
      </c>
      <c r="E29" s="58">
        <f>IF(SUMIFS(Data!$S:$S,Data!$A:$A,$B29,Data!$C:$C,E$1)=0,"",SUMIFS(Data!$S:$S,Data!$A:$A,$B29,Data!$C:$C,E$1))</f>
        <v>3.75</v>
      </c>
      <c r="F29" s="58">
        <f>IF(SUMIFS(Data!$S:$S,Data!$A:$A,$B29,Data!$C:$C,F$1)=0,"",SUMIFS(Data!$S:$S,Data!$A:$A,$B29,Data!$C:$C,F$1))</f>
        <v>3</v>
      </c>
      <c r="G29" s="58">
        <f>IF(SUMIFS(Data!$S:$S,Data!$A:$A,$B29,Data!$C:$C,G$1)=0,"",SUMIFS(Data!$S:$S,Data!$A:$A,$B29,Data!$C:$C,G$1))</f>
        <v>2</v>
      </c>
      <c r="H29" s="58">
        <f>IF(SUMIFS(Data!$S:$S,Data!$A:$A,$B29,Data!$C:$C,H$1)=0,"",SUMIFS(Data!$S:$S,Data!$A:$A,$B29,Data!$C:$C,H$1))</f>
        <v>2.625</v>
      </c>
      <c r="I29" s="58">
        <f>IF(SUMIFS(Data!$S:$S,Data!$A:$A,$B29,Data!$C:$C,I$1)=0,"",SUMIFS(Data!$S:$S,Data!$A:$A,$B29,Data!$C:$C,I$1))</f>
        <v>3</v>
      </c>
      <c r="J29" s="58">
        <f>IF(SUMIFS(Data!$S:$S,Data!$A:$A,$B29,Data!$C:$C,J$1)=0,"",SUMIFS(Data!$S:$S,Data!$A:$A,$B29,Data!$C:$C,J$1))</f>
        <v>3.0546666666666669</v>
      </c>
      <c r="K29" s="58">
        <f>IF(SUMIFS(Data!$S:$S,Data!$A:$A,$B29,Data!$C:$C,K$1)=0,"",SUMIFS(Data!$S:$S,Data!$A:$A,$B29,Data!$C:$C,K$1))</f>
        <v>2.625</v>
      </c>
      <c r="L29" s="58" t="str">
        <f>IF(SUMIFS(Data!$S:$S,Data!$A:$A,$B29,Data!$C:$C,L$1)=0,"",SUMIFS(Data!$S:$S,Data!$A:$A,$B29,Data!$C:$C,L$1))</f>
        <v/>
      </c>
      <c r="M29" s="58">
        <f>IF(SUMIFS(Data!$S:$S,Data!$A:$A,$B29,Data!$C:$C,M$1)=0,"",SUMIFS(Data!$S:$S,Data!$A:$A,$B29,Data!$C:$C,M$1))</f>
        <v>2.625</v>
      </c>
      <c r="N29" s="58">
        <f>IF(SUMIFS(Data!$S:$S,Data!$A:$A,$B29,Data!$C:$C,N$1)=0,"",SUMIFS(Data!$S:$S,Data!$A:$A,$B29,Data!$C:$C,N$1))</f>
        <v>2.25</v>
      </c>
      <c r="O29" s="58"/>
      <c r="P29" s="58"/>
      <c r="Q29" s="58"/>
      <c r="R29" s="58">
        <f>IF(SUMIFS(Data!X:X,Data!A:A,'#ligaSYR'!B29)=12,5,IF(SUMIFS(Data!X:X,Data!A:A,'#ligaSYR'!B29)&gt;9,3,IF(SUMIFS(Data!X:X,Data!A:A,'#ligaSYR'!B29)&gt;4,1,0)))</f>
        <v>3</v>
      </c>
      <c r="S29" s="58">
        <f t="shared" si="0"/>
        <v>3</v>
      </c>
      <c r="T29" s="58">
        <f t="shared" si="1"/>
        <v>36.054666666666662</v>
      </c>
      <c r="U29" s="58">
        <f>SUMIFS(Data!D:D,Data!A:A,'#ligaSYR'!B29)</f>
        <v>109.27999999999999</v>
      </c>
      <c r="V29" s="66">
        <f>SUMIFS(Data!V:V,Data!A:A,'#ligaSYR'!B29)/COUNT(C29:Q29)</f>
        <v>0.33574418334063705</v>
      </c>
      <c r="W29" s="59" t="str">
        <f>IF(VLOOKUP(B29,Participanti!A:D,4,0)=0," ","New")</f>
        <v>New</v>
      </c>
      <c r="Y29" s="59" t="str">
        <f>IF(X29=A29,"Stationare",IF(A29=X29-1,CONCATENATE("Urcare"&amp;" "&amp;X29-A29," "&amp;"loc"),IF(A29&lt;X29,CONCATENATE("Urcare"&amp;" "&amp;X29-A29," "&amp;"locuri"),IF(A29=X29+1,CONCATENATE("Coborare"&amp;" "&amp;A29-X29," "&amp;"loc"),CONCATENATE("Coborare"&amp;" "&amp;A29-X29," "&amp;"locuri")))))</f>
        <v>Coborare 28 locuri</v>
      </c>
    </row>
    <row r="30" spans="1:25" ht="12.75">
      <c r="A30" s="57">
        <v>29</v>
      </c>
      <c r="B30" s="57" t="s">
        <v>83</v>
      </c>
      <c r="C30" s="58">
        <f>IF(SUMIFS(Data!$S:$S,Data!$A:$A,$B30,Data!$C:$C,C$1)=0,"",SUMIFS(Data!$S:$S,Data!$A:$A,$B30,Data!$C:$C,C$1))</f>
        <v>3.25</v>
      </c>
      <c r="D30" s="58">
        <f>IF(SUMIFS(Data!$S:$S,Data!$A:$A,$B30,Data!$C:$C,D$1)=0,"",SUMIFS(Data!$S:$S,Data!$A:$A,$B30,Data!$C:$C,D$1))</f>
        <v>3</v>
      </c>
      <c r="E30" s="58">
        <f>IF(SUMIFS(Data!$S:$S,Data!$A:$A,$B30,Data!$C:$C,E$1)=0,"",SUMIFS(Data!$S:$S,Data!$A:$A,$B30,Data!$C:$C,E$1))</f>
        <v>2.375</v>
      </c>
      <c r="F30" s="58" t="str">
        <f>IF(SUMIFS(Data!$S:$S,Data!$A:$A,$B30,Data!$C:$C,F$1)=0,"",SUMIFS(Data!$S:$S,Data!$A:$A,$B30,Data!$C:$C,F$1))</f>
        <v/>
      </c>
      <c r="G30" s="58">
        <f>IF(SUMIFS(Data!$S:$S,Data!$A:$A,$B30,Data!$C:$C,G$1)=0,"",SUMIFS(Data!$S:$S,Data!$A:$A,$B30,Data!$C:$C,G$1))</f>
        <v>2.75</v>
      </c>
      <c r="H30" s="58">
        <f>IF(SUMIFS(Data!$S:$S,Data!$A:$A,$B30,Data!$C:$C,H$1)=0,"",SUMIFS(Data!$S:$S,Data!$A:$A,$B30,Data!$C:$C,H$1))</f>
        <v>2.625</v>
      </c>
      <c r="I30" s="58">
        <f>IF(SUMIFS(Data!$S:$S,Data!$A:$A,$B30,Data!$C:$C,I$1)=0,"",SUMIFS(Data!$S:$S,Data!$A:$A,$B30,Data!$C:$C,I$1))</f>
        <v>2.75</v>
      </c>
      <c r="J30" s="58">
        <f>IF(SUMIFS(Data!$S:$S,Data!$A:$A,$B30,Data!$C:$C,J$1)=0,"",SUMIFS(Data!$S:$S,Data!$A:$A,$B30,Data!$C:$C,J$1))</f>
        <v>2.625</v>
      </c>
      <c r="K30" s="58">
        <f>IF(SUMIFS(Data!$S:$S,Data!$A:$A,$B30,Data!$C:$C,K$1)=0,"",SUMIFS(Data!$S:$S,Data!$A:$A,$B30,Data!$C:$C,K$1))</f>
        <v>2.375</v>
      </c>
      <c r="L30" s="58">
        <f>IF(SUMIFS(Data!$S:$S,Data!$A:$A,$B30,Data!$C:$C,L$1)=0,"",SUMIFS(Data!$S:$S,Data!$A:$A,$B30,Data!$C:$C,L$1))</f>
        <v>2.75</v>
      </c>
      <c r="M30" s="58">
        <f>IF(SUMIFS(Data!$S:$S,Data!$A:$A,$B30,Data!$C:$C,M$1)=0,"",SUMIFS(Data!$S:$S,Data!$A:$A,$B30,Data!$C:$C,M$1))</f>
        <v>2.625</v>
      </c>
      <c r="N30" s="58">
        <f>IF(SUMIFS(Data!$S:$S,Data!$A:$A,$B30,Data!$C:$C,N$1)=0,"",SUMIFS(Data!$S:$S,Data!$A:$A,$B30,Data!$C:$C,N$1))</f>
        <v>2.5</v>
      </c>
      <c r="O30" s="58"/>
      <c r="P30" s="58"/>
      <c r="Q30" s="58"/>
      <c r="R30" s="58">
        <f>IF(SUMIFS(Data!X:X,Data!A:A,'#ligaSYR'!B30)=12,5,IF(SUMIFS(Data!X:X,Data!A:A,'#ligaSYR'!B30)&gt;9,3,IF(SUMIFS(Data!X:X,Data!A:A,'#ligaSYR'!B30)&gt;4,1,0)))</f>
        <v>3</v>
      </c>
      <c r="S30" s="58">
        <f t="shared" si="0"/>
        <v>3</v>
      </c>
      <c r="T30" s="58">
        <f t="shared" si="1"/>
        <v>35.625</v>
      </c>
      <c r="U30" s="58">
        <f>SUMIFS(Data!D:D,Data!A:A,'#ligaSYR'!B30)</f>
        <v>89.26</v>
      </c>
      <c r="V30" s="66">
        <f>SUMIFS(Data!V:V,Data!A:A,'#ligaSYR'!B30)/COUNT(C30:Q30)</f>
        <v>0.3426024481854007</v>
      </c>
      <c r="W30" s="59" t="str">
        <f>IF(VLOOKUP(B30,Participanti!A:D,4,0)=0," ","New")</f>
        <v xml:space="preserve"> </v>
      </c>
      <c r="Y30" s="59" t="str">
        <f>IF(X30=A30,"Stationare",IF(A30=X30-1,CONCATENATE("Urcare"&amp;" "&amp;X30-A30," "&amp;"loc"),IF(A30&lt;X30,CONCATENATE("Urcare"&amp;" "&amp;X30-A30," "&amp;"locuri"),IF(A30=X30+1,CONCATENATE("Coborare"&amp;" "&amp;A30-X30," "&amp;"loc"),CONCATENATE("Coborare"&amp;" "&amp;A30-X30," "&amp;"locuri")))))</f>
        <v>Coborare 29 locuri</v>
      </c>
    </row>
    <row r="31" spans="1:25" ht="12.75">
      <c r="A31" s="57">
        <v>30</v>
      </c>
      <c r="B31" s="57" t="s">
        <v>169</v>
      </c>
      <c r="C31" s="58">
        <f>IF(SUMIFS(Data!$S:$S,Data!$A:$A,$B31,Data!$C:$C,C$1)=0,"",SUMIFS(Data!$S:$S,Data!$A:$A,$B31,Data!$C:$C,C$1))</f>
        <v>2.625</v>
      </c>
      <c r="D31" s="58">
        <f>IF(SUMIFS(Data!$S:$S,Data!$A:$A,$B31,Data!$C:$C,D$1)=0,"",SUMIFS(Data!$S:$S,Data!$A:$A,$B31,Data!$C:$C,D$1))</f>
        <v>1.75</v>
      </c>
      <c r="E31" s="58">
        <f>IF(SUMIFS(Data!$S:$S,Data!$A:$A,$B31,Data!$C:$C,E$1)=0,"",SUMIFS(Data!$S:$S,Data!$A:$A,$B31,Data!$C:$C,E$1))</f>
        <v>2.25</v>
      </c>
      <c r="F31" s="58">
        <f>IF(SUMIFS(Data!$S:$S,Data!$A:$A,$B31,Data!$C:$C,F$1)=0,"",SUMIFS(Data!$S:$S,Data!$A:$A,$B31,Data!$C:$C,F$1))</f>
        <v>3.25</v>
      </c>
      <c r="G31" s="58">
        <f>IF(SUMIFS(Data!$S:$S,Data!$A:$A,$B31,Data!$C:$C,G$1)=0,"",SUMIFS(Data!$S:$S,Data!$A:$A,$B31,Data!$C:$C,G$1))</f>
        <v>1.625</v>
      </c>
      <c r="H31" s="58">
        <f>IF(SUMIFS(Data!$S:$S,Data!$A:$A,$B31,Data!$C:$C,H$1)=0,"",SUMIFS(Data!$S:$S,Data!$A:$A,$B31,Data!$C:$C,H$1))</f>
        <v>2.7406666666666668</v>
      </c>
      <c r="I31" s="58">
        <f>IF(SUMIFS(Data!$S:$S,Data!$A:$A,$B31,Data!$C:$C,I$1)=0,"",SUMIFS(Data!$S:$S,Data!$A:$A,$B31,Data!$C:$C,I$1))</f>
        <v>2.5</v>
      </c>
      <c r="J31" s="58">
        <f>IF(SUMIFS(Data!$S:$S,Data!$A:$A,$B31,Data!$C:$C,J$1)=0,"",SUMIFS(Data!$S:$S,Data!$A:$A,$B31,Data!$C:$C,J$1))</f>
        <v>2.8126666666666669</v>
      </c>
      <c r="K31" s="58">
        <f>IF(SUMIFS(Data!$S:$S,Data!$A:$A,$B31,Data!$C:$C,K$1)=0,"",SUMIFS(Data!$S:$S,Data!$A:$A,$B31,Data!$C:$C,K$1))</f>
        <v>2.375</v>
      </c>
      <c r="L31" s="58">
        <f>IF(SUMIFS(Data!$S:$S,Data!$A:$A,$B31,Data!$C:$C,L$1)=0,"",SUMIFS(Data!$S:$S,Data!$A:$A,$B31,Data!$C:$C,L$1))</f>
        <v>1.5</v>
      </c>
      <c r="M31" s="58">
        <f>IF(SUMIFS(Data!$S:$S,Data!$A:$A,$B31,Data!$C:$C,M$1)=0,"",SUMIFS(Data!$S:$S,Data!$A:$A,$B31,Data!$C:$C,M$1))</f>
        <v>3.5</v>
      </c>
      <c r="N31" s="58">
        <f>IF(SUMIFS(Data!$S:$S,Data!$A:$A,$B31,Data!$C:$C,N$1)=0,"",SUMIFS(Data!$S:$S,Data!$A:$A,$B31,Data!$C:$C,N$1))</f>
        <v>2</v>
      </c>
      <c r="O31" s="58"/>
      <c r="P31" s="58"/>
      <c r="Q31" s="58"/>
      <c r="R31" s="58">
        <f>IF(SUMIFS(Data!X:X,Data!A:A,'#ligaSYR'!B31)=12,5,IF(SUMIFS(Data!X:X,Data!A:A,'#ligaSYR'!B31)&gt;9,3,IF(SUMIFS(Data!X:X,Data!A:A,'#ligaSYR'!B31)&gt;4,1,0)))</f>
        <v>1</v>
      </c>
      <c r="S31" s="58">
        <f t="shared" si="0"/>
        <v>5</v>
      </c>
      <c r="T31" s="58">
        <f t="shared" si="1"/>
        <v>34.928333333333335</v>
      </c>
      <c r="U31" s="58">
        <f>SUMIFS(Data!D:D,Data!A:A,'#ligaSYR'!B31)</f>
        <v>141.54000000000002</v>
      </c>
      <c r="V31" s="66">
        <f>SUMIFS(Data!V:V,Data!A:A,'#ligaSYR'!B31)/COUNT(C31:Q31)</f>
        <v>0.23240798928512554</v>
      </c>
      <c r="W31" s="59" t="str">
        <f>IF(VLOOKUP(B31,Participanti!A:D,4,0)=0," ","New")</f>
        <v xml:space="preserve"> </v>
      </c>
      <c r="Y31" s="59" t="str">
        <f>IF(X31=A31,"Stationare",IF(A31=X31-1,CONCATENATE("Urcare"&amp;" "&amp;X31-A31," "&amp;"loc"),IF(A31&lt;X31,CONCATENATE("Urcare"&amp;" "&amp;X31-A31," "&amp;"locuri"),IF(A31=X31+1,CONCATENATE("Coborare"&amp;" "&amp;A31-X31," "&amp;"loc"),CONCATENATE("Coborare"&amp;" "&amp;A31-X31," "&amp;"locuri")))))</f>
        <v>Coborare 30 locuri</v>
      </c>
    </row>
    <row r="32" spans="1:25" ht="12.75">
      <c r="A32" s="57">
        <v>31</v>
      </c>
      <c r="B32" s="57" t="s">
        <v>210</v>
      </c>
      <c r="C32" s="58" t="str">
        <f>IF(SUMIFS(Data!$S:$S,Data!$A:$A,$B32,Data!$C:$C,C$1)=0,"",SUMIFS(Data!$S:$S,Data!$A:$A,$B32,Data!$C:$C,C$1))</f>
        <v/>
      </c>
      <c r="D32" s="58">
        <f>IF(SUMIFS(Data!$S:$S,Data!$A:$A,$B32,Data!$C:$C,D$1)=0,"",SUMIFS(Data!$S:$S,Data!$A:$A,$B32,Data!$C:$C,D$1))</f>
        <v>2.875</v>
      </c>
      <c r="E32" s="58">
        <f>IF(SUMIFS(Data!$S:$S,Data!$A:$A,$B32,Data!$C:$C,E$1)=0,"",SUMIFS(Data!$S:$S,Data!$A:$A,$B32,Data!$C:$C,E$1))</f>
        <v>2.625</v>
      </c>
      <c r="F32" s="58">
        <f>IF(SUMIFS(Data!$S:$S,Data!$A:$A,$B32,Data!$C:$C,F$1)=0,"",SUMIFS(Data!$S:$S,Data!$A:$A,$B32,Data!$C:$C,F$1))</f>
        <v>2.625</v>
      </c>
      <c r="G32" s="58">
        <f>IF(SUMIFS(Data!$S:$S,Data!$A:$A,$B32,Data!$C:$C,G$1)=0,"",SUMIFS(Data!$S:$S,Data!$A:$A,$B32,Data!$C:$C,G$1))</f>
        <v>2.5</v>
      </c>
      <c r="H32" s="58">
        <f>IF(SUMIFS(Data!$S:$S,Data!$A:$A,$B32,Data!$C:$C,H$1)=0,"",SUMIFS(Data!$S:$S,Data!$A:$A,$B32,Data!$C:$C,H$1))</f>
        <v>2.25</v>
      </c>
      <c r="I32" s="58">
        <f>IF(SUMIFS(Data!$S:$S,Data!$A:$A,$B32,Data!$C:$C,I$1)=0,"",SUMIFS(Data!$S:$S,Data!$A:$A,$B32,Data!$C:$C,I$1))</f>
        <v>2.25</v>
      </c>
      <c r="J32" s="58">
        <f>IF(SUMIFS(Data!$S:$S,Data!$A:$A,$B32,Data!$C:$C,J$1)=0,"",SUMIFS(Data!$S:$S,Data!$A:$A,$B32,Data!$C:$C,J$1))</f>
        <v>2.875</v>
      </c>
      <c r="K32" s="58">
        <f>IF(SUMIFS(Data!$S:$S,Data!$A:$A,$B32,Data!$C:$C,K$1)=0,"",SUMIFS(Data!$S:$S,Data!$A:$A,$B32,Data!$C:$C,K$1))</f>
        <v>1.875</v>
      </c>
      <c r="L32" s="58">
        <f>IF(SUMIFS(Data!$S:$S,Data!$A:$A,$B32,Data!$C:$C,L$1)=0,"",SUMIFS(Data!$S:$S,Data!$A:$A,$B32,Data!$C:$C,L$1))</f>
        <v>2</v>
      </c>
      <c r="M32" s="58">
        <f>IF(SUMIFS(Data!$S:$S,Data!$A:$A,$B32,Data!$C:$C,M$1)=0,"",SUMIFS(Data!$S:$S,Data!$A:$A,$B32,Data!$C:$C,M$1))</f>
        <v>2.125</v>
      </c>
      <c r="N32" s="58">
        <f>IF(SUMIFS(Data!$S:$S,Data!$A:$A,$B32,Data!$C:$C,N$1)=0,"",SUMIFS(Data!$S:$S,Data!$A:$A,$B32,Data!$C:$C,N$1))</f>
        <v>2.25</v>
      </c>
      <c r="O32" s="58"/>
      <c r="P32" s="58"/>
      <c r="Q32" s="58"/>
      <c r="R32" s="58">
        <f>IF(SUMIFS(Data!X:X,Data!A:A,'#ligaSYR'!B32)=12,5,IF(SUMIFS(Data!X:X,Data!A:A,'#ligaSYR'!B32)&gt;9,3,IF(SUMIFS(Data!X:X,Data!A:A,'#ligaSYR'!B32)&gt;4,1,0)))</f>
        <v>3</v>
      </c>
      <c r="S32" s="58">
        <f t="shared" si="0"/>
        <v>3</v>
      </c>
      <c r="T32" s="58">
        <f t="shared" si="1"/>
        <v>32.25</v>
      </c>
      <c r="U32" s="58">
        <f>SUMIFS(Data!D:D,Data!A:A,'#ligaSYR'!B32)</f>
        <v>63.55</v>
      </c>
      <c r="V32" s="66">
        <f>SUMIFS(Data!V:V,Data!A:A,'#ligaSYR'!B32)/COUNT(C32:Q32)</f>
        <v>0.43046320023846518</v>
      </c>
      <c r="W32" s="59" t="str">
        <f>IF(VLOOKUP(B32,Participanti!A:D,4,0)=0," ","New")</f>
        <v xml:space="preserve"> </v>
      </c>
      <c r="Y32" s="59" t="str">
        <f>IF(X32=A32,"Stationare",IF(A32=X32-1,CONCATENATE("Urcare"&amp;" "&amp;X32-A32," "&amp;"loc"),IF(A32&lt;X32,CONCATENATE("Urcare"&amp;" "&amp;X32-A32," "&amp;"locuri"),IF(A32=X32+1,CONCATENATE("Coborare"&amp;" "&amp;A32-X32," "&amp;"loc"),CONCATENATE("Coborare"&amp;" "&amp;A32-X32," "&amp;"locuri")))))</f>
        <v>Coborare 31 locuri</v>
      </c>
    </row>
    <row r="33" spans="1:25" ht="12.75">
      <c r="A33" s="57">
        <v>32</v>
      </c>
      <c r="B33" s="57" t="s">
        <v>205</v>
      </c>
      <c r="C33" s="58">
        <f>IF(SUMIFS(Data!$S:$S,Data!$A:$A,$B33,Data!$C:$C,C$1)=0,"",SUMIFS(Data!$S:$S,Data!$A:$A,$B33,Data!$C:$C,C$1))</f>
        <v>4.6106666666666669</v>
      </c>
      <c r="D33" s="58">
        <f>IF(SUMIFS(Data!$S:$S,Data!$A:$A,$B33,Data!$C:$C,D$1)=0,"",SUMIFS(Data!$S:$S,Data!$A:$A,$B33,Data!$C:$C,D$1))</f>
        <v>3.7359999999999998</v>
      </c>
      <c r="E33" s="58">
        <f>IF(SUMIFS(Data!$S:$S,Data!$A:$A,$B33,Data!$C:$C,E$1)=0,"",SUMIFS(Data!$S:$S,Data!$A:$A,$B33,Data!$C:$C,E$1))</f>
        <v>3.871666666666667</v>
      </c>
      <c r="F33" s="58">
        <f>IF(SUMIFS(Data!$S:$S,Data!$A:$A,$B33,Data!$C:$C,F$1)=0,"",SUMIFS(Data!$S:$S,Data!$A:$A,$B33,Data!$C:$C,F$1))</f>
        <v>3.9540000000000002</v>
      </c>
      <c r="G33" s="58">
        <f>IF(SUMIFS(Data!$S:$S,Data!$A:$A,$B33,Data!$C:$C,G$1)=0,"",SUMIFS(Data!$S:$S,Data!$A:$A,$B33,Data!$C:$C,G$1))</f>
        <v>5.7249999999999996</v>
      </c>
      <c r="H33" s="58">
        <f>IF(SUMIFS(Data!$S:$S,Data!$A:$A,$B33,Data!$C:$C,H$1)=0,"",SUMIFS(Data!$S:$S,Data!$A:$A,$B33,Data!$C:$C,H$1))</f>
        <v>1.5</v>
      </c>
      <c r="I33" s="58" t="str">
        <f>IF(SUMIFS(Data!$S:$S,Data!$A:$A,$B33,Data!$C:$C,I$1)=0,"",SUMIFS(Data!$S:$S,Data!$A:$A,$B33,Data!$C:$C,I$1))</f>
        <v/>
      </c>
      <c r="J33" s="58" t="str">
        <f>IF(SUMIFS(Data!$S:$S,Data!$A:$A,$B33,Data!$C:$C,J$1)=0,"",SUMIFS(Data!$S:$S,Data!$A:$A,$B33,Data!$C:$C,J$1))</f>
        <v/>
      </c>
      <c r="K33" s="58" t="str">
        <f>IF(SUMIFS(Data!$S:$S,Data!$A:$A,$B33,Data!$C:$C,K$1)=0,"",SUMIFS(Data!$S:$S,Data!$A:$A,$B33,Data!$C:$C,K$1))</f>
        <v/>
      </c>
      <c r="L33" s="58" t="str">
        <f>IF(SUMIFS(Data!$S:$S,Data!$A:$A,$B33,Data!$C:$C,L$1)=0,"",SUMIFS(Data!$S:$S,Data!$A:$A,$B33,Data!$C:$C,L$1))</f>
        <v/>
      </c>
      <c r="M33" s="58">
        <f>IF(SUMIFS(Data!$S:$S,Data!$A:$A,$B33,Data!$C:$C,M$1)=0,"",SUMIFS(Data!$S:$S,Data!$A:$A,$B33,Data!$C:$C,M$1))</f>
        <v>3.5596666666666668</v>
      </c>
      <c r="N33" s="58" t="str">
        <f>IF(SUMIFS(Data!$S:$S,Data!$A:$A,$B33,Data!$C:$C,N$1)=0,"",SUMIFS(Data!$S:$S,Data!$A:$A,$B33,Data!$C:$C,N$1))</f>
        <v/>
      </c>
      <c r="O33" s="58"/>
      <c r="P33" s="58"/>
      <c r="Q33" s="58"/>
      <c r="R33" s="58">
        <f>IF(SUMIFS(Data!X:X,Data!A:A,'#ligaSYR'!B33)=12,5,IF(SUMIFS(Data!X:X,Data!A:A,'#ligaSYR'!B33)&gt;9,3,IF(SUMIFS(Data!X:X,Data!A:A,'#ligaSYR'!B33)&gt;4,1,0)))</f>
        <v>1</v>
      </c>
      <c r="S33" s="58">
        <f t="shared" si="0"/>
        <v>0</v>
      </c>
      <c r="T33" s="58">
        <f t="shared" si="1"/>
        <v>27.957000000000001</v>
      </c>
      <c r="U33" s="58">
        <f>SUMIFS(Data!D:D,Data!A:A,'#ligaSYR'!B33)</f>
        <v>122.24</v>
      </c>
      <c r="V33" s="66">
        <f>SUMIFS(Data!V:V,Data!A:A,'#ligaSYR'!B33)/COUNT(C33:Q33)</f>
        <v>0.22825728954248264</v>
      </c>
      <c r="W33" s="59" t="str">
        <f>IF(VLOOKUP(B33,Participanti!A:D,4,0)=0," ","New")</f>
        <v>New</v>
      </c>
      <c r="Y33" s="59" t="str">
        <f>IF(X33=A33,"Stationare",IF(A33=X33-1,CONCATENATE("Urcare"&amp;" "&amp;X33-A33," "&amp;"loc"),IF(A33&lt;X33,CONCATENATE("Urcare"&amp;" "&amp;X33-A33," "&amp;"locuri"),IF(A33=X33+1,CONCATENATE("Coborare"&amp;" "&amp;A33-X33," "&amp;"loc"),CONCATENATE("Coborare"&amp;" "&amp;A33-X33," "&amp;"locuri")))))</f>
        <v>Coborare 32 locuri</v>
      </c>
    </row>
    <row r="34" spans="1:25" ht="12.75">
      <c r="A34" s="57">
        <v>33</v>
      </c>
      <c r="B34" s="57" t="s">
        <v>202</v>
      </c>
      <c r="C34" s="58">
        <f>IF(SUMIFS(Data!$S:$S,Data!$A:$A,$B34,Data!$C:$C,C$1)=0,"",SUMIFS(Data!$S:$S,Data!$A:$A,$B34,Data!$C:$C,C$1))</f>
        <v>3.2593333333333332</v>
      </c>
      <c r="D34" s="58">
        <f>IF(SUMIFS(Data!$S:$S,Data!$A:$A,$B34,Data!$C:$C,D$1)=0,"",SUMIFS(Data!$S:$S,Data!$A:$A,$B34,Data!$C:$C,D$1))</f>
        <v>3.9250000000000003</v>
      </c>
      <c r="E34" s="58">
        <f>IF(SUMIFS(Data!$S:$S,Data!$A:$A,$B34,Data!$C:$C,E$1)=0,"",SUMIFS(Data!$S:$S,Data!$A:$A,$B34,Data!$C:$C,E$1))</f>
        <v>2.375</v>
      </c>
      <c r="F34" s="58">
        <f>IF(SUMIFS(Data!$S:$S,Data!$A:$A,$B34,Data!$C:$C,F$1)=0,"",SUMIFS(Data!$S:$S,Data!$A:$A,$B34,Data!$C:$C,F$1))</f>
        <v>3.125</v>
      </c>
      <c r="G34" s="58">
        <f>IF(SUMIFS(Data!$S:$S,Data!$A:$A,$B34,Data!$C:$C,G$1)=0,"",SUMIFS(Data!$S:$S,Data!$A:$A,$B34,Data!$C:$C,G$1))</f>
        <v>3.4556666666666667</v>
      </c>
      <c r="H34" s="58" t="str">
        <f>IF(SUMIFS(Data!$S:$S,Data!$A:$A,$B34,Data!$C:$C,H$1)=0,"",SUMIFS(Data!$S:$S,Data!$A:$A,$B34,Data!$C:$C,H$1))</f>
        <v/>
      </c>
      <c r="I34" s="58">
        <f>IF(SUMIFS(Data!$S:$S,Data!$A:$A,$B34,Data!$C:$C,I$1)=0,"",SUMIFS(Data!$S:$S,Data!$A:$A,$B34,Data!$C:$C,I$1))</f>
        <v>3.158666666666667</v>
      </c>
      <c r="J34" s="58">
        <f>IF(SUMIFS(Data!$S:$S,Data!$A:$A,$B34,Data!$C:$C,J$1)=0,"",SUMIFS(Data!$S:$S,Data!$A:$A,$B34,Data!$C:$C,J$1))</f>
        <v>2.6943333333333332</v>
      </c>
      <c r="K34" s="58">
        <f>IF(SUMIFS(Data!$S:$S,Data!$A:$A,$B34,Data!$C:$C,K$1)=0,"",SUMIFS(Data!$S:$S,Data!$A:$A,$B34,Data!$C:$C,K$1))</f>
        <v>3.3513333333333333</v>
      </c>
      <c r="L34" s="58" t="str">
        <f>IF(SUMIFS(Data!$S:$S,Data!$A:$A,$B34,Data!$C:$C,L$1)=0,"",SUMIFS(Data!$S:$S,Data!$A:$A,$B34,Data!$C:$C,L$1))</f>
        <v/>
      </c>
      <c r="M34" s="58" t="str">
        <f>IF(SUMIFS(Data!$S:$S,Data!$A:$A,$B34,Data!$C:$C,M$1)=0,"",SUMIFS(Data!$S:$S,Data!$A:$A,$B34,Data!$C:$C,M$1))</f>
        <v/>
      </c>
      <c r="N34" s="58" t="str">
        <f>IF(SUMIFS(Data!$S:$S,Data!$A:$A,$B34,Data!$C:$C,N$1)=0,"",SUMIFS(Data!$S:$S,Data!$A:$A,$B34,Data!$C:$C,N$1))</f>
        <v/>
      </c>
      <c r="O34" s="58"/>
      <c r="P34" s="58"/>
      <c r="Q34" s="58"/>
      <c r="R34" s="58">
        <f>IF(SUMIFS(Data!X:X,Data!A:A,'#ligaSYR'!B34)=12,5,IF(SUMIFS(Data!X:X,Data!A:A,'#ligaSYR'!B34)&gt;9,3,IF(SUMIFS(Data!X:X,Data!A:A,'#ligaSYR'!B34)&gt;4,1,0)))</f>
        <v>1</v>
      </c>
      <c r="S34" s="58">
        <f t="shared" si="0"/>
        <v>0</v>
      </c>
      <c r="T34" s="58">
        <f t="shared" si="1"/>
        <v>26.344333333333335</v>
      </c>
      <c r="U34" s="58">
        <f>SUMIFS(Data!D:D,Data!A:A,'#ligaSYR'!B34)</f>
        <v>139.43</v>
      </c>
      <c r="V34" s="66">
        <f>SUMIFS(Data!V:V,Data!A:A,'#ligaSYR'!B34)/COUNT(C34:Q34)</f>
        <v>0.22707890905789535</v>
      </c>
      <c r="W34" s="59" t="str">
        <f>IF(VLOOKUP(B34,Participanti!A:D,4,0)=0," ","New")</f>
        <v>New</v>
      </c>
      <c r="Y34" s="59" t="str">
        <f>IF(X34=A34,"Stationare",IF(A34=X34-1,CONCATENATE("Urcare"&amp;" "&amp;X34-A34," "&amp;"loc"),IF(A34&lt;X34,CONCATENATE("Urcare"&amp;" "&amp;X34-A34," "&amp;"locuri"),IF(A34=X34+1,CONCATENATE("Coborare"&amp;" "&amp;A34-X34," "&amp;"loc"),CONCATENATE("Coborare"&amp;" "&amp;A34-X34," "&amp;"locuri")))))</f>
        <v>Coborare 33 locuri</v>
      </c>
    </row>
    <row r="35" spans="1:25" ht="12.75">
      <c r="A35" s="57">
        <v>34</v>
      </c>
      <c r="B35" s="57" t="s">
        <v>64</v>
      </c>
      <c r="C35" s="58">
        <f>IF(SUMIFS(Data!$S:$S,Data!$A:$A,$B35,Data!$C:$C,C$1)=0,"",SUMIFS(Data!$S:$S,Data!$A:$A,$B35,Data!$C:$C,C$1))</f>
        <v>2.875</v>
      </c>
      <c r="D35" s="58">
        <f>IF(SUMIFS(Data!$S:$S,Data!$A:$A,$B35,Data!$C:$C,D$1)=0,"",SUMIFS(Data!$S:$S,Data!$A:$A,$B35,Data!$C:$C,D$1))</f>
        <v>2.875</v>
      </c>
      <c r="E35" s="58">
        <f>IF(SUMIFS(Data!$S:$S,Data!$A:$A,$B35,Data!$C:$C,E$1)=0,"",SUMIFS(Data!$S:$S,Data!$A:$A,$B35,Data!$C:$C,E$1))</f>
        <v>2.625</v>
      </c>
      <c r="F35" s="58">
        <f>IF(SUMIFS(Data!$S:$S,Data!$A:$A,$B35,Data!$C:$C,F$1)=0,"",SUMIFS(Data!$S:$S,Data!$A:$A,$B35,Data!$C:$C,F$1))</f>
        <v>2.875</v>
      </c>
      <c r="G35" s="58">
        <f>IF(SUMIFS(Data!$S:$S,Data!$A:$A,$B35,Data!$C:$C,G$1)=0,"",SUMIFS(Data!$S:$S,Data!$A:$A,$B35,Data!$C:$C,G$1))</f>
        <v>2.25</v>
      </c>
      <c r="H35" s="58">
        <f>IF(SUMIFS(Data!$S:$S,Data!$A:$A,$B35,Data!$C:$C,H$1)=0,"",SUMIFS(Data!$S:$S,Data!$A:$A,$B35,Data!$C:$C,H$1))</f>
        <v>1.875</v>
      </c>
      <c r="I35" s="58">
        <f>IF(SUMIFS(Data!$S:$S,Data!$A:$A,$B35,Data!$C:$C,I$1)=0,"",SUMIFS(Data!$S:$S,Data!$A:$A,$B35,Data!$C:$C,I$1))</f>
        <v>2.625</v>
      </c>
      <c r="J35" s="58">
        <f>IF(SUMIFS(Data!$S:$S,Data!$A:$A,$B35,Data!$C:$C,J$1)=0,"",SUMIFS(Data!$S:$S,Data!$A:$A,$B35,Data!$C:$C,J$1))</f>
        <v>2.375</v>
      </c>
      <c r="K35" s="58">
        <f>IF(SUMIFS(Data!$S:$S,Data!$A:$A,$B35,Data!$C:$C,K$1)=0,"",SUMIFS(Data!$S:$S,Data!$A:$A,$B35,Data!$C:$C,K$1))</f>
        <v>1.875</v>
      </c>
      <c r="L35" s="58" t="str">
        <f>IF(SUMIFS(Data!$S:$S,Data!$A:$A,$B35,Data!$C:$C,L$1)=0,"",SUMIFS(Data!$S:$S,Data!$A:$A,$B35,Data!$C:$C,L$1))</f>
        <v/>
      </c>
      <c r="M35" s="58" t="str">
        <f>IF(SUMIFS(Data!$S:$S,Data!$A:$A,$B35,Data!$C:$C,M$1)=0,"",SUMIFS(Data!$S:$S,Data!$A:$A,$B35,Data!$C:$C,M$1))</f>
        <v/>
      </c>
      <c r="N35" s="58" t="str">
        <f>IF(SUMIFS(Data!$S:$S,Data!$A:$A,$B35,Data!$C:$C,N$1)=0,"",SUMIFS(Data!$S:$S,Data!$A:$A,$B35,Data!$C:$C,N$1))</f>
        <v/>
      </c>
      <c r="O35" s="58"/>
      <c r="P35" s="58"/>
      <c r="Q35" s="58"/>
      <c r="R35" s="58">
        <f>IF(SUMIFS(Data!X:X,Data!A:A,'#ligaSYR'!B35)=12,5,IF(SUMIFS(Data!X:X,Data!A:A,'#ligaSYR'!B35)&gt;9,3,IF(SUMIFS(Data!X:X,Data!A:A,'#ligaSYR'!B35)&gt;4,1,0)))</f>
        <v>1</v>
      </c>
      <c r="S35" s="58">
        <f t="shared" si="0"/>
        <v>0</v>
      </c>
      <c r="T35" s="58">
        <f t="shared" si="1"/>
        <v>23.25</v>
      </c>
      <c r="U35" s="58">
        <f>SUMIFS(Data!D:D,Data!A:A,'#ligaSYR'!B35)</f>
        <v>106.56</v>
      </c>
      <c r="V35" s="66">
        <f>SUMIFS(Data!V:V,Data!A:A,'#ligaSYR'!B35)/COUNT(C35:Q35)</f>
        <v>0.2127003050438209</v>
      </c>
      <c r="W35" s="59" t="str">
        <f>IF(VLOOKUP(B35,Participanti!A:D,4,0)=0," ","New")</f>
        <v xml:space="preserve"> </v>
      </c>
      <c r="Y35" s="59" t="str">
        <f>IF(X35=A35,"Stationare",IF(A35=X35-1,CONCATENATE("Urcare"&amp;" "&amp;X35-A35," "&amp;"loc"),IF(A35&lt;X35,CONCATENATE("Urcare"&amp;" "&amp;X35-A35," "&amp;"locuri"),IF(A35=X35+1,CONCATENATE("Coborare"&amp;" "&amp;A35-X35," "&amp;"loc"),CONCATENATE("Coborare"&amp;" "&amp;A35-X35," "&amp;"locuri")))))</f>
        <v>Coborare 34 locuri</v>
      </c>
    </row>
    <row r="36" spans="1:25" ht="12.75">
      <c r="A36" s="57">
        <v>35</v>
      </c>
      <c r="B36" s="57" t="s">
        <v>59</v>
      </c>
      <c r="C36" s="58">
        <f>IF(SUMIFS(Data!$S:$S,Data!$A:$A,$B36,Data!$C:$C,C$1)=0,"",SUMIFS(Data!$S:$S,Data!$A:$A,$B36,Data!$C:$C,C$1))</f>
        <v>2.5</v>
      </c>
      <c r="D36" s="58" t="str">
        <f>IF(SUMIFS(Data!$S:$S,Data!$A:$A,$B36,Data!$C:$C,D$1)=0,"",SUMIFS(Data!$S:$S,Data!$A:$A,$B36,Data!$C:$C,D$1))</f>
        <v/>
      </c>
      <c r="E36" s="58">
        <f>IF(SUMIFS(Data!$S:$S,Data!$A:$A,$B36,Data!$C:$C,E$1)=0,"",SUMIFS(Data!$S:$S,Data!$A:$A,$B36,Data!$C:$C,E$1))</f>
        <v>2</v>
      </c>
      <c r="F36" s="58" t="str">
        <f>IF(SUMIFS(Data!$S:$S,Data!$A:$A,$B36,Data!$C:$C,F$1)=0,"",SUMIFS(Data!$S:$S,Data!$A:$A,$B36,Data!$C:$C,F$1))</f>
        <v/>
      </c>
      <c r="G36" s="58" t="str">
        <f>IF(SUMIFS(Data!$S:$S,Data!$A:$A,$B36,Data!$C:$C,G$1)=0,"",SUMIFS(Data!$S:$S,Data!$A:$A,$B36,Data!$C:$C,G$1))</f>
        <v/>
      </c>
      <c r="H36" s="58" t="str">
        <f>IF(SUMIFS(Data!$S:$S,Data!$A:$A,$B36,Data!$C:$C,H$1)=0,"",SUMIFS(Data!$S:$S,Data!$A:$A,$B36,Data!$C:$C,H$1))</f>
        <v/>
      </c>
      <c r="I36" s="58">
        <f>IF(SUMIFS(Data!$S:$S,Data!$A:$A,$B36,Data!$C:$C,I$1)=0,"",SUMIFS(Data!$S:$S,Data!$A:$A,$B36,Data!$C:$C,I$1))</f>
        <v>2.9809999999999999</v>
      </c>
      <c r="J36" s="58" t="str">
        <f>IF(SUMIFS(Data!$S:$S,Data!$A:$A,$B36,Data!$C:$C,J$1)=0,"",SUMIFS(Data!$S:$S,Data!$A:$A,$B36,Data!$C:$C,J$1))</f>
        <v/>
      </c>
      <c r="K36" s="58">
        <f>IF(SUMIFS(Data!$S:$S,Data!$A:$A,$B36,Data!$C:$C,K$1)=0,"",SUMIFS(Data!$S:$S,Data!$A:$A,$B36,Data!$C:$C,K$1))</f>
        <v>2.25</v>
      </c>
      <c r="L36" s="58">
        <f>IF(SUMIFS(Data!$S:$S,Data!$A:$A,$B36,Data!$C:$C,L$1)=0,"",SUMIFS(Data!$S:$S,Data!$A:$A,$B36,Data!$C:$C,L$1))</f>
        <v>2.25</v>
      </c>
      <c r="M36" s="58">
        <f>IF(SUMIFS(Data!$S:$S,Data!$A:$A,$B36,Data!$C:$C,M$1)=0,"",SUMIFS(Data!$S:$S,Data!$A:$A,$B36,Data!$C:$C,M$1))</f>
        <v>3.625</v>
      </c>
      <c r="N36" s="58">
        <f>IF(SUMIFS(Data!$S:$S,Data!$A:$A,$B36,Data!$C:$C,N$1)=0,"",SUMIFS(Data!$S:$S,Data!$A:$A,$B36,Data!$C:$C,N$1))</f>
        <v>2.5</v>
      </c>
      <c r="O36" s="58"/>
      <c r="P36" s="58"/>
      <c r="Q36" s="58"/>
      <c r="R36" s="58">
        <f>IF(SUMIFS(Data!X:X,Data!A:A,'#ligaSYR'!B36)=12,5,IF(SUMIFS(Data!X:X,Data!A:A,'#ligaSYR'!B36)&gt;9,3,IF(SUMIFS(Data!X:X,Data!A:A,'#ligaSYR'!B36)&gt;4,1,0)))</f>
        <v>1</v>
      </c>
      <c r="S36" s="58">
        <f t="shared" si="0"/>
        <v>0</v>
      </c>
      <c r="T36" s="58">
        <f t="shared" si="1"/>
        <v>19.106000000000002</v>
      </c>
      <c r="U36" s="58">
        <f>SUMIFS(Data!D:D,Data!A:A,'#ligaSYR'!B36)</f>
        <v>120.18</v>
      </c>
      <c r="V36" s="66">
        <f>SUMIFS(Data!V:V,Data!A:A,'#ligaSYR'!B36)/COUNT(C36:Q36)</f>
        <v>0.20580861666493847</v>
      </c>
      <c r="W36" s="59" t="str">
        <f>IF(VLOOKUP(B36,Participanti!A:D,4,0)=0," ","New")</f>
        <v xml:space="preserve"> </v>
      </c>
      <c r="Y36" s="59" t="str">
        <f>IF(X36=A36,"Stationare",IF(A36=X36-1,CONCATENATE("Urcare"&amp;" "&amp;X36-A36," "&amp;"loc"),IF(A36&lt;X36,CONCATENATE("Urcare"&amp;" "&amp;X36-A36," "&amp;"locuri"),IF(A36=X36+1,CONCATENATE("Coborare"&amp;" "&amp;A36-X36," "&amp;"loc"),CONCATENATE("Coborare"&amp;" "&amp;A36-X36," "&amp;"locuri")))))</f>
        <v>Coborare 35 locuri</v>
      </c>
    </row>
    <row r="37" spans="1:25" ht="12.75">
      <c r="A37" s="57">
        <v>36</v>
      </c>
      <c r="B37" s="57" t="s">
        <v>67</v>
      </c>
      <c r="C37" s="58">
        <f>IF(SUMIFS(Data!$S:$S,Data!$A:$A,$B37,Data!$C:$C,C$1)=0,"",SUMIFS(Data!$S:$S,Data!$A:$A,$B37,Data!$C:$C,C$1))</f>
        <v>2.5</v>
      </c>
      <c r="D37" s="58">
        <f>IF(SUMIFS(Data!$S:$S,Data!$A:$A,$B37,Data!$C:$C,D$1)=0,"",SUMIFS(Data!$S:$S,Data!$A:$A,$B37,Data!$C:$C,D$1))</f>
        <v>2.75</v>
      </c>
      <c r="E37" s="58" t="str">
        <f>IF(SUMIFS(Data!$S:$S,Data!$A:$A,$B37,Data!$C:$C,E$1)=0,"",SUMIFS(Data!$S:$S,Data!$A:$A,$B37,Data!$C:$C,E$1))</f>
        <v/>
      </c>
      <c r="F37" s="58" t="str">
        <f>IF(SUMIFS(Data!$S:$S,Data!$A:$A,$B37,Data!$C:$C,F$1)=0,"",SUMIFS(Data!$S:$S,Data!$A:$A,$B37,Data!$C:$C,F$1))</f>
        <v/>
      </c>
      <c r="G37" s="58" t="str">
        <f>IF(SUMIFS(Data!$S:$S,Data!$A:$A,$B37,Data!$C:$C,G$1)=0,"",SUMIFS(Data!$S:$S,Data!$A:$A,$B37,Data!$C:$C,G$1))</f>
        <v/>
      </c>
      <c r="H37" s="58" t="str">
        <f>IF(SUMIFS(Data!$S:$S,Data!$A:$A,$B37,Data!$C:$C,H$1)=0,"",SUMIFS(Data!$S:$S,Data!$A:$A,$B37,Data!$C:$C,H$1))</f>
        <v/>
      </c>
      <c r="I37" s="58" t="str">
        <f>IF(SUMIFS(Data!$S:$S,Data!$A:$A,$B37,Data!$C:$C,I$1)=0,"",SUMIFS(Data!$S:$S,Data!$A:$A,$B37,Data!$C:$C,I$1))</f>
        <v/>
      </c>
      <c r="J37" s="58" t="str">
        <f>IF(SUMIFS(Data!$S:$S,Data!$A:$A,$B37,Data!$C:$C,J$1)=0,"",SUMIFS(Data!$S:$S,Data!$A:$A,$B37,Data!$C:$C,J$1))</f>
        <v/>
      </c>
      <c r="K37" s="58">
        <f>IF(SUMIFS(Data!$S:$S,Data!$A:$A,$B37,Data!$C:$C,K$1)=0,"",SUMIFS(Data!$S:$S,Data!$A:$A,$B37,Data!$C:$C,K$1))</f>
        <v>2.75</v>
      </c>
      <c r="L37" s="58">
        <f>IF(SUMIFS(Data!$S:$S,Data!$A:$A,$B37,Data!$C:$C,L$1)=0,"",SUMIFS(Data!$S:$S,Data!$A:$A,$B37,Data!$C:$C,L$1))</f>
        <v>3</v>
      </c>
      <c r="M37" s="58">
        <f>IF(SUMIFS(Data!$S:$S,Data!$A:$A,$B37,Data!$C:$C,M$1)=0,"",SUMIFS(Data!$S:$S,Data!$A:$A,$B37,Data!$C:$C,M$1))</f>
        <v>2.375</v>
      </c>
      <c r="N37" s="58">
        <f>IF(SUMIFS(Data!$S:$S,Data!$A:$A,$B37,Data!$C:$C,N$1)=0,"",SUMIFS(Data!$S:$S,Data!$A:$A,$B37,Data!$C:$C,N$1))</f>
        <v>3</v>
      </c>
      <c r="O37" s="58"/>
      <c r="P37" s="58"/>
      <c r="Q37" s="58"/>
      <c r="R37" s="58">
        <f>IF(SUMIFS(Data!X:X,Data!A:A,'#ligaSYR'!B37)=12,5,IF(SUMIFS(Data!X:X,Data!A:A,'#ligaSYR'!B37)&gt;9,3,IF(SUMIFS(Data!X:X,Data!A:A,'#ligaSYR'!B37)&gt;4,1,0)))</f>
        <v>1</v>
      </c>
      <c r="S37" s="58">
        <f t="shared" si="0"/>
        <v>0</v>
      </c>
      <c r="T37" s="58">
        <f t="shared" si="1"/>
        <v>17.375</v>
      </c>
      <c r="U37" s="58">
        <f>SUMIFS(Data!D:D,Data!A:A,'#ligaSYR'!B37)</f>
        <v>55.1</v>
      </c>
      <c r="V37" s="66">
        <f>SUMIFS(Data!V:V,Data!A:A,'#ligaSYR'!B37)/COUNT(C37:Q37)</f>
        <v>0.33680845350438521</v>
      </c>
      <c r="W37" s="59" t="str">
        <f>IF(VLOOKUP(B37,Participanti!A:D,4,0)=0," ","New")</f>
        <v xml:space="preserve"> </v>
      </c>
      <c r="Y37" s="59" t="str">
        <f>IF(X37=A37,"Stationare",IF(A37=X37-1,CONCATENATE("Urcare"&amp;" "&amp;X37-A37," "&amp;"loc"),IF(A37&lt;X37,CONCATENATE("Urcare"&amp;" "&amp;X37-A37," "&amp;"locuri"),IF(A37=X37+1,CONCATENATE("Coborare"&amp;" "&amp;A37-X37," "&amp;"loc"),CONCATENATE("Coborare"&amp;" "&amp;A37-X37," "&amp;"locuri")))))</f>
        <v>Coborare 36 locuri</v>
      </c>
    </row>
    <row r="38" spans="1:25" ht="12.75">
      <c r="A38" s="57">
        <v>37</v>
      </c>
      <c r="B38" s="57" t="s">
        <v>56</v>
      </c>
      <c r="C38" s="58">
        <f>IF(SUMIFS(Data!$S:$S,Data!$A:$A,$B38,Data!$C:$C,C$1)=0,"",SUMIFS(Data!$S:$S,Data!$A:$A,$B38,Data!$C:$C,C$1))</f>
        <v>2.5</v>
      </c>
      <c r="D38" s="58">
        <f>IF(SUMIFS(Data!$S:$S,Data!$A:$A,$B38,Data!$C:$C,D$1)=0,"",SUMIFS(Data!$S:$S,Data!$A:$A,$B38,Data!$C:$C,D$1))</f>
        <v>2.125</v>
      </c>
      <c r="E38" s="58">
        <f>IF(SUMIFS(Data!$S:$S,Data!$A:$A,$B38,Data!$C:$C,E$1)=0,"",SUMIFS(Data!$S:$S,Data!$A:$A,$B38,Data!$C:$C,E$1))</f>
        <v>1.5</v>
      </c>
      <c r="F38" s="58">
        <f>IF(SUMIFS(Data!$S:$S,Data!$A:$A,$B38,Data!$C:$C,F$1)=0,"",SUMIFS(Data!$S:$S,Data!$A:$A,$B38,Data!$C:$C,F$1))</f>
        <v>2.5</v>
      </c>
      <c r="G38" s="58" t="str">
        <f>IF(SUMIFS(Data!$S:$S,Data!$A:$A,$B38,Data!$C:$C,G$1)=0,"",SUMIFS(Data!$S:$S,Data!$A:$A,$B38,Data!$C:$C,G$1))</f>
        <v/>
      </c>
      <c r="H38" s="58">
        <f>IF(SUMIFS(Data!$S:$S,Data!$A:$A,$B38,Data!$C:$C,H$1)=0,"",SUMIFS(Data!$S:$S,Data!$A:$A,$B38,Data!$C:$C,H$1))</f>
        <v>2.375</v>
      </c>
      <c r="I38" s="58" t="str">
        <f>IF(SUMIFS(Data!$S:$S,Data!$A:$A,$B38,Data!$C:$C,I$1)=0,"",SUMIFS(Data!$S:$S,Data!$A:$A,$B38,Data!$C:$C,I$1))</f>
        <v/>
      </c>
      <c r="J38" s="58" t="str">
        <f>IF(SUMIFS(Data!$S:$S,Data!$A:$A,$B38,Data!$C:$C,J$1)=0,"",SUMIFS(Data!$S:$S,Data!$A:$A,$B38,Data!$C:$C,J$1))</f>
        <v/>
      </c>
      <c r="K38" s="58" t="str">
        <f>IF(SUMIFS(Data!$S:$S,Data!$A:$A,$B38,Data!$C:$C,K$1)=0,"",SUMIFS(Data!$S:$S,Data!$A:$A,$B38,Data!$C:$C,K$1))</f>
        <v/>
      </c>
      <c r="L38" s="58" t="str">
        <f>IF(SUMIFS(Data!$S:$S,Data!$A:$A,$B38,Data!$C:$C,L$1)=0,"",SUMIFS(Data!$S:$S,Data!$A:$A,$B38,Data!$C:$C,L$1))</f>
        <v/>
      </c>
      <c r="M38" s="58" t="str">
        <f>IF(SUMIFS(Data!$S:$S,Data!$A:$A,$B38,Data!$C:$C,M$1)=0,"",SUMIFS(Data!$S:$S,Data!$A:$A,$B38,Data!$C:$C,M$1))</f>
        <v/>
      </c>
      <c r="N38" s="58" t="str">
        <f>IF(SUMIFS(Data!$S:$S,Data!$A:$A,$B38,Data!$C:$C,N$1)=0,"",SUMIFS(Data!$S:$S,Data!$A:$A,$B38,Data!$C:$C,N$1))</f>
        <v/>
      </c>
      <c r="O38" s="58"/>
      <c r="P38" s="58"/>
      <c r="Q38" s="58"/>
      <c r="R38" s="58">
        <f>IF(SUMIFS(Data!X:X,Data!A:A,'#ligaSYR'!B38)=12,5,IF(SUMIFS(Data!X:X,Data!A:A,'#ligaSYR'!B38)&gt;9,3,IF(SUMIFS(Data!X:X,Data!A:A,'#ligaSYR'!B38)&gt;4,1,0)))</f>
        <v>1</v>
      </c>
      <c r="S38" s="58">
        <f t="shared" si="0"/>
        <v>0</v>
      </c>
      <c r="T38" s="58">
        <f t="shared" si="1"/>
        <v>12</v>
      </c>
      <c r="U38" s="58">
        <f>SUMIFS(Data!D:D,Data!A:A,'#ligaSYR'!B38)</f>
        <v>41.269999999999996</v>
      </c>
      <c r="V38" s="66">
        <f>SUMIFS(Data!V:V,Data!A:A,'#ligaSYR'!B38)/COUNT(C38:Q38)</f>
        <v>0.18438398925174515</v>
      </c>
      <c r="W38" s="59" t="str">
        <f>IF(VLOOKUP(B38,Participanti!A:D,4,0)=0," ","New")</f>
        <v xml:space="preserve"> </v>
      </c>
      <c r="Y38" s="59" t="str">
        <f>IF(X38=A38,"Stationare",IF(A38=X38-1,CONCATENATE("Urcare"&amp;" "&amp;X38-A38," "&amp;"loc"),IF(A38&lt;X38,CONCATENATE("Urcare"&amp;" "&amp;X38-A38," "&amp;"locuri"),IF(A38=X38+1,CONCATENATE("Coborare"&amp;" "&amp;A38-X38," "&amp;"loc"),CONCATENATE("Coborare"&amp;" "&amp;A38-X38," "&amp;"locuri")))))</f>
        <v>Coborare 37 locuri</v>
      </c>
    </row>
    <row r="39" spans="1:25" ht="12.75">
      <c r="A39" s="57">
        <v>38</v>
      </c>
      <c r="B39" s="57" t="s">
        <v>170</v>
      </c>
      <c r="C39" s="58" t="str">
        <f>IF(SUMIFS(Data!$S:$S,Data!$A:$A,$B39,Data!$C:$C,C$1)=0,"",SUMIFS(Data!$S:$S,Data!$A:$A,$B39,Data!$C:$C,C$1))</f>
        <v/>
      </c>
      <c r="D39" s="58" t="str">
        <f>IF(SUMIFS(Data!$S:$S,Data!$A:$A,$B39,Data!$C:$C,D$1)=0,"",SUMIFS(Data!$S:$S,Data!$A:$A,$B39,Data!$C:$C,D$1))</f>
        <v/>
      </c>
      <c r="E39" s="58" t="str">
        <f>IF(SUMIFS(Data!$S:$S,Data!$A:$A,$B39,Data!$C:$C,E$1)=0,"",SUMIFS(Data!$S:$S,Data!$A:$A,$B39,Data!$C:$C,E$1))</f>
        <v/>
      </c>
      <c r="F39" s="58" t="str">
        <f>IF(SUMIFS(Data!$S:$S,Data!$A:$A,$B39,Data!$C:$C,F$1)=0,"",SUMIFS(Data!$S:$S,Data!$A:$A,$B39,Data!$C:$C,F$1))</f>
        <v/>
      </c>
      <c r="G39" s="58">
        <f>IF(SUMIFS(Data!$S:$S,Data!$A:$A,$B39,Data!$C:$C,G$1)=0,"",SUMIFS(Data!$S:$S,Data!$A:$A,$B39,Data!$C:$C,G$1))</f>
        <v>2.125</v>
      </c>
      <c r="H39" s="58">
        <f>IF(SUMIFS(Data!$S:$S,Data!$A:$A,$B39,Data!$C:$C,H$1)=0,"",SUMIFS(Data!$S:$S,Data!$A:$A,$B39,Data!$C:$C,H$1))</f>
        <v>2.25</v>
      </c>
      <c r="I39" s="58">
        <f>IF(SUMIFS(Data!$S:$S,Data!$A:$A,$B39,Data!$C:$C,I$1)=0,"",SUMIFS(Data!$S:$S,Data!$A:$A,$B39,Data!$C:$C,I$1))</f>
        <v>1.625</v>
      </c>
      <c r="J39" s="58">
        <f>IF(SUMIFS(Data!$S:$S,Data!$A:$A,$B39,Data!$C:$C,J$1)=0,"",SUMIFS(Data!$S:$S,Data!$A:$A,$B39,Data!$C:$C,J$1))</f>
        <v>1.875</v>
      </c>
      <c r="K39" s="58" t="str">
        <f>IF(SUMIFS(Data!$S:$S,Data!$A:$A,$B39,Data!$C:$C,K$1)=0,"",SUMIFS(Data!$S:$S,Data!$A:$A,$B39,Data!$C:$C,K$1))</f>
        <v/>
      </c>
      <c r="L39" s="58" t="str">
        <f>IF(SUMIFS(Data!$S:$S,Data!$A:$A,$B39,Data!$C:$C,L$1)=0,"",SUMIFS(Data!$S:$S,Data!$A:$A,$B39,Data!$C:$C,L$1))</f>
        <v/>
      </c>
      <c r="M39" s="58" t="str">
        <f>IF(SUMIFS(Data!$S:$S,Data!$A:$A,$B39,Data!$C:$C,M$1)=0,"",SUMIFS(Data!$S:$S,Data!$A:$A,$B39,Data!$C:$C,M$1))</f>
        <v/>
      </c>
      <c r="N39" s="58" t="str">
        <f>IF(SUMIFS(Data!$S:$S,Data!$A:$A,$B39,Data!$C:$C,N$1)=0,"",SUMIFS(Data!$S:$S,Data!$A:$A,$B39,Data!$C:$C,N$1))</f>
        <v/>
      </c>
      <c r="O39" s="58"/>
      <c r="P39" s="58"/>
      <c r="Q39" s="58"/>
      <c r="R39" s="58">
        <f>IF(SUMIFS(Data!X:X,Data!A:A,'#ligaSYR'!B39)=12,5,IF(SUMIFS(Data!X:X,Data!A:A,'#ligaSYR'!B39)&gt;9,3,IF(SUMIFS(Data!X:X,Data!A:A,'#ligaSYR'!B39)&gt;4,1,0)))</f>
        <v>0</v>
      </c>
      <c r="S39" s="58">
        <f t="shared" si="0"/>
        <v>0</v>
      </c>
      <c r="T39" s="58">
        <f t="shared" si="1"/>
        <v>7.875</v>
      </c>
      <c r="U39" s="58">
        <f>SUMIFS(Data!D:D,Data!A:A,'#ligaSYR'!B39)</f>
        <v>28.43</v>
      </c>
      <c r="V39" s="66">
        <f>SUMIFS(Data!V:V,Data!A:A,'#ligaSYR'!B39)/COUNT(C39:Q39)</f>
        <v>0.2764609092857333</v>
      </c>
      <c r="W39" s="59" t="str">
        <f>IF(VLOOKUP(B39,Participanti!A:D,4,0)=0," ","New")</f>
        <v xml:space="preserve"> </v>
      </c>
      <c r="Y39" s="59" t="str">
        <f>IF(X39=A39,"Stationare",IF(A39=X39-1,CONCATENATE("Urcare"&amp;" "&amp;X39-A39," "&amp;"loc"),IF(A39&lt;X39,CONCATENATE("Urcare"&amp;" "&amp;X39-A39," "&amp;"locuri"),IF(A39=X39+1,CONCATENATE("Coborare"&amp;" "&amp;A39-X39," "&amp;"loc"),CONCATENATE("Coborare"&amp;" "&amp;A39-X39," "&amp;"locuri")))))</f>
        <v>Coborare 38 locuri</v>
      </c>
    </row>
    <row r="40" spans="1:25" ht="12.75">
      <c r="A40" s="57">
        <v>39</v>
      </c>
      <c r="B40" s="57" t="s">
        <v>51</v>
      </c>
      <c r="C40" s="58">
        <f>IF(SUMIFS(Data!$S:$S,Data!$A:$A,$B40,Data!$C:$C,C$1)=0,"",SUMIFS(Data!$S:$S,Data!$A:$A,$B40,Data!$C:$C,C$1))</f>
        <v>3</v>
      </c>
      <c r="D40" s="58" t="str">
        <f>IF(SUMIFS(Data!$S:$S,Data!$A:$A,$B40,Data!$C:$C,D$1)=0,"",SUMIFS(Data!$S:$S,Data!$A:$A,$B40,Data!$C:$C,D$1))</f>
        <v/>
      </c>
      <c r="E40" s="58">
        <f>IF(SUMIFS(Data!$S:$S,Data!$A:$A,$B40,Data!$C:$C,E$1)=0,"",SUMIFS(Data!$S:$S,Data!$A:$A,$B40,Data!$C:$C,E$1))</f>
        <v>1.875</v>
      </c>
      <c r="F40" s="58">
        <f>IF(SUMIFS(Data!$S:$S,Data!$A:$A,$B40,Data!$C:$C,F$1)=0,"",SUMIFS(Data!$S:$S,Data!$A:$A,$B40,Data!$C:$C,F$1))</f>
        <v>2</v>
      </c>
      <c r="G40" s="58" t="str">
        <f>IF(SUMIFS(Data!$S:$S,Data!$A:$A,$B40,Data!$C:$C,G$1)=0,"",SUMIFS(Data!$S:$S,Data!$A:$A,$B40,Data!$C:$C,G$1))</f>
        <v/>
      </c>
      <c r="H40" s="58" t="str">
        <f>IF(SUMIFS(Data!$S:$S,Data!$A:$A,$B40,Data!$C:$C,H$1)=0,"",SUMIFS(Data!$S:$S,Data!$A:$A,$B40,Data!$C:$C,H$1))</f>
        <v/>
      </c>
      <c r="I40" s="58" t="str">
        <f>IF(SUMIFS(Data!$S:$S,Data!$A:$A,$B40,Data!$C:$C,I$1)=0,"",SUMIFS(Data!$S:$S,Data!$A:$A,$B40,Data!$C:$C,I$1))</f>
        <v/>
      </c>
      <c r="J40" s="58" t="str">
        <f>IF(SUMIFS(Data!$S:$S,Data!$A:$A,$B40,Data!$C:$C,J$1)=0,"",SUMIFS(Data!$S:$S,Data!$A:$A,$B40,Data!$C:$C,J$1))</f>
        <v/>
      </c>
      <c r="K40" s="58" t="str">
        <f>IF(SUMIFS(Data!$S:$S,Data!$A:$A,$B40,Data!$C:$C,K$1)=0,"",SUMIFS(Data!$S:$S,Data!$A:$A,$B40,Data!$C:$C,K$1))</f>
        <v/>
      </c>
      <c r="L40" s="58" t="str">
        <f>IF(SUMIFS(Data!$S:$S,Data!$A:$A,$B40,Data!$C:$C,L$1)=0,"",SUMIFS(Data!$S:$S,Data!$A:$A,$B40,Data!$C:$C,L$1))</f>
        <v/>
      </c>
      <c r="M40" s="58" t="str">
        <f>IF(SUMIFS(Data!$S:$S,Data!$A:$A,$B40,Data!$C:$C,M$1)=0,"",SUMIFS(Data!$S:$S,Data!$A:$A,$B40,Data!$C:$C,M$1))</f>
        <v/>
      </c>
      <c r="N40" s="58" t="str">
        <f>IF(SUMIFS(Data!$S:$S,Data!$A:$A,$B40,Data!$C:$C,N$1)=0,"",SUMIFS(Data!$S:$S,Data!$A:$A,$B40,Data!$C:$C,N$1))</f>
        <v/>
      </c>
      <c r="O40" s="58"/>
      <c r="P40" s="58"/>
      <c r="Q40" s="58"/>
      <c r="R40" s="58">
        <f>IF(SUMIFS(Data!X:X,Data!A:A,'#ligaSYR'!B40)=12,5,IF(SUMIFS(Data!X:X,Data!A:A,'#ligaSYR'!B40)&gt;9,3,IF(SUMIFS(Data!X:X,Data!A:A,'#ligaSYR'!B40)&gt;4,1,0)))</f>
        <v>0</v>
      </c>
      <c r="S40" s="58">
        <f t="shared" si="0"/>
        <v>0</v>
      </c>
      <c r="T40" s="58">
        <f t="shared" si="1"/>
        <v>6.875</v>
      </c>
      <c r="U40" s="58">
        <f>SUMIFS(Data!D:D,Data!A:A,'#ligaSYR'!B40)</f>
        <v>19.57</v>
      </c>
      <c r="V40" s="66">
        <f>SUMIFS(Data!V:V,Data!A:A,'#ligaSYR'!B40)/COUNT(C40:Q40)</f>
        <v>0.34868890929496993</v>
      </c>
      <c r="W40" s="59" t="str">
        <f>IF(VLOOKUP(B40,Participanti!A:D,4,0)=0," ","New")</f>
        <v xml:space="preserve"> </v>
      </c>
      <c r="Y40" s="59" t="str">
        <f>IF(X40=A40,"Stationare",IF(A40=X40-1,CONCATENATE("Urcare"&amp;" "&amp;X40-A40," "&amp;"loc"),IF(A40&lt;X40,CONCATENATE("Urcare"&amp;" "&amp;X40-A40," "&amp;"locuri"),IF(A40=X40+1,CONCATENATE("Coborare"&amp;" "&amp;A40-X40," "&amp;"loc"),CONCATENATE("Coborare"&amp;" "&amp;A40-X40," "&amp;"locuri")))))</f>
        <v>Coborare 39 locuri</v>
      </c>
    </row>
    <row r="41" spans="1:25" ht="12.75">
      <c r="A41" s="57">
        <v>40</v>
      </c>
      <c r="B41" s="57" t="s">
        <v>173</v>
      </c>
      <c r="C41" s="58" t="str">
        <f>IF(SUMIFS(Data!$S:$S,Data!$A:$A,$B41,Data!$C:$C,C$1)=0,"",SUMIFS(Data!$S:$S,Data!$A:$A,$B41,Data!$C:$C,C$1))</f>
        <v/>
      </c>
      <c r="D41" s="58">
        <f>IF(SUMIFS(Data!$S:$S,Data!$A:$A,$B41,Data!$C:$C,D$1)=0,"",SUMIFS(Data!$S:$S,Data!$A:$A,$B41,Data!$C:$C,D$1))</f>
        <v>1.875</v>
      </c>
      <c r="E41" s="58" t="str">
        <f>IF(SUMIFS(Data!$S:$S,Data!$A:$A,$B41,Data!$C:$C,E$1)=0,"",SUMIFS(Data!$S:$S,Data!$A:$A,$B41,Data!$C:$C,E$1))</f>
        <v/>
      </c>
      <c r="F41" s="58" t="str">
        <f>IF(SUMIFS(Data!$S:$S,Data!$A:$A,$B41,Data!$C:$C,F$1)=0,"",SUMIFS(Data!$S:$S,Data!$A:$A,$B41,Data!$C:$C,F$1))</f>
        <v/>
      </c>
      <c r="G41" s="58" t="str">
        <f>IF(SUMIFS(Data!$S:$S,Data!$A:$A,$B41,Data!$C:$C,G$1)=0,"",SUMIFS(Data!$S:$S,Data!$A:$A,$B41,Data!$C:$C,G$1))</f>
        <v/>
      </c>
      <c r="H41" s="58" t="str">
        <f>IF(SUMIFS(Data!$S:$S,Data!$A:$A,$B41,Data!$C:$C,H$1)=0,"",SUMIFS(Data!$S:$S,Data!$A:$A,$B41,Data!$C:$C,H$1))</f>
        <v/>
      </c>
      <c r="I41" s="58" t="str">
        <f>IF(SUMIFS(Data!$S:$S,Data!$A:$A,$B41,Data!$C:$C,I$1)=0,"",SUMIFS(Data!$S:$S,Data!$A:$A,$B41,Data!$C:$C,I$1))</f>
        <v/>
      </c>
      <c r="J41" s="58" t="str">
        <f>IF(SUMIFS(Data!$S:$S,Data!$A:$A,$B41,Data!$C:$C,J$1)=0,"",SUMIFS(Data!$S:$S,Data!$A:$A,$B41,Data!$C:$C,J$1))</f>
        <v/>
      </c>
      <c r="K41" s="58" t="str">
        <f>IF(SUMIFS(Data!$S:$S,Data!$A:$A,$B41,Data!$C:$C,K$1)=0,"",SUMIFS(Data!$S:$S,Data!$A:$A,$B41,Data!$C:$C,K$1))</f>
        <v/>
      </c>
      <c r="L41" s="58" t="str">
        <f>IF(SUMIFS(Data!$S:$S,Data!$A:$A,$B41,Data!$C:$C,L$1)=0,"",SUMIFS(Data!$S:$S,Data!$A:$A,$B41,Data!$C:$C,L$1))</f>
        <v/>
      </c>
      <c r="M41" s="58" t="str">
        <f>IF(SUMIFS(Data!$S:$S,Data!$A:$A,$B41,Data!$C:$C,M$1)=0,"",SUMIFS(Data!$S:$S,Data!$A:$A,$B41,Data!$C:$C,M$1))</f>
        <v/>
      </c>
      <c r="N41" s="58" t="str">
        <f>IF(SUMIFS(Data!$S:$S,Data!$A:$A,$B41,Data!$C:$C,N$1)=0,"",SUMIFS(Data!$S:$S,Data!$A:$A,$B41,Data!$C:$C,N$1))</f>
        <v/>
      </c>
      <c r="O41" s="58"/>
      <c r="P41" s="58"/>
      <c r="Q41" s="58"/>
      <c r="R41" s="58">
        <f>IF(SUMIFS(Data!X:X,Data!A:A,'#ligaSYR'!B41)=12,5,IF(SUMIFS(Data!X:X,Data!A:A,'#ligaSYR'!B41)&gt;9,3,IF(SUMIFS(Data!X:X,Data!A:A,'#ligaSYR'!B41)&gt;4,1,0)))</f>
        <v>0</v>
      </c>
      <c r="S41" s="58">
        <f t="shared" si="0"/>
        <v>0</v>
      </c>
      <c r="T41" s="58">
        <f t="shared" si="1"/>
        <v>1.875</v>
      </c>
      <c r="U41" s="58">
        <f>SUMIFS(Data!D:D,Data!A:A,'#ligaSYR'!B41)</f>
        <v>10.11</v>
      </c>
      <c r="V41" s="66">
        <f>SUMIFS(Data!V:V,Data!A:A,'#ligaSYR'!B41)/COUNT(C41:Q41)</f>
        <v>0.18545994065281901</v>
      </c>
      <c r="W41" s="59" t="str">
        <f>IF(VLOOKUP(B41,Participanti!A:D,4,0)=0," ","New")</f>
        <v xml:space="preserve"> </v>
      </c>
      <c r="Y41" s="59" t="str">
        <f>IF(X41=A41,"Stationare",IF(A41=X41-1,CONCATENATE("Urcare"&amp;" "&amp;X41-A41," "&amp;"loc"),IF(A41&lt;X41,CONCATENATE("Urcare"&amp;" "&amp;X41-A41," "&amp;"locuri"),IF(A41=X41+1,CONCATENATE("Coborare"&amp;" "&amp;A41-X41," "&amp;"loc"),CONCATENATE("Coborare"&amp;" "&amp;A41-X41," "&amp;"locuri")))))</f>
        <v>Coborare 40 locuri</v>
      </c>
    </row>
  </sheetData>
  <autoFilter ref="A1:Y41">
    <filterColumn colId="17"/>
  </autoFilter>
  <sortState ref="B2:W41">
    <sortCondition descending="1" ref="T2:T41"/>
    <sortCondition descending="1" ref="U2:U41"/>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FF0000"/>
  </sheetPr>
  <dimension ref="A1:V13"/>
  <sheetViews>
    <sheetView workbookViewId="0">
      <selection activeCell="N19" sqref="N19"/>
    </sheetView>
  </sheetViews>
  <sheetFormatPr defaultRowHeight="12"/>
  <cols>
    <col min="1" max="1" width="7.85546875" style="31" bestFit="1" customWidth="1"/>
    <col min="2" max="2" width="18.7109375" style="31" bestFit="1" customWidth="1"/>
    <col min="3" max="11" width="6.28515625" style="31" bestFit="1" customWidth="1"/>
    <col min="12" max="14" width="7.28515625" style="31" bestFit="1" customWidth="1"/>
    <col min="15" max="17" width="7.28515625" style="31" hidden="1" customWidth="1"/>
    <col min="18" max="18" width="16.85546875" style="31" customWidth="1"/>
    <col min="19" max="19" width="12.140625" style="31" bestFit="1" customWidth="1"/>
    <col min="20" max="20" width="10.28515625" style="31" bestFit="1" customWidth="1"/>
    <col min="21" max="21" width="13" style="31" bestFit="1" customWidth="1"/>
    <col min="22" max="16384" width="9.140625" style="31"/>
  </cols>
  <sheetData>
    <row r="1" spans="1:22" ht="12.75">
      <c r="A1" s="62" t="s">
        <v>89</v>
      </c>
      <c r="B1" s="62" t="s">
        <v>36</v>
      </c>
      <c r="C1" s="62">
        <v>1</v>
      </c>
      <c r="D1" s="62">
        <v>2</v>
      </c>
      <c r="E1" s="62">
        <v>3</v>
      </c>
      <c r="F1" s="62">
        <v>4</v>
      </c>
      <c r="G1" s="62">
        <v>5</v>
      </c>
      <c r="H1" s="62">
        <v>6</v>
      </c>
      <c r="I1" s="62">
        <v>7</v>
      </c>
      <c r="J1" s="62">
        <v>8</v>
      </c>
      <c r="K1" s="62">
        <v>9</v>
      </c>
      <c r="L1" s="62">
        <v>10</v>
      </c>
      <c r="M1" s="62">
        <v>11</v>
      </c>
      <c r="N1" s="62">
        <v>12</v>
      </c>
      <c r="O1" s="62">
        <v>13</v>
      </c>
      <c r="P1" s="62">
        <v>14</v>
      </c>
      <c r="Q1" s="62">
        <v>15</v>
      </c>
      <c r="R1" s="69" t="s">
        <v>226</v>
      </c>
      <c r="S1" s="63" t="s">
        <v>178</v>
      </c>
      <c r="T1" s="62" t="s">
        <v>91</v>
      </c>
      <c r="U1" s="62" t="s">
        <v>90</v>
      </c>
    </row>
    <row r="2" spans="1:22" ht="12.75">
      <c r="A2" s="57">
        <v>1</v>
      </c>
      <c r="B2" s="57" t="s">
        <v>6</v>
      </c>
      <c r="C2" s="58">
        <f>IF(SUMIFS(Data!$S:$S,Data!$A:$A,$B2,Data!$C:$C,C$1)=0,"",SUMIFS(Data!$S:$S,Data!$A:$A,$B2,Data!$C:$C,C$1))</f>
        <v>3.75</v>
      </c>
      <c r="D2" s="58">
        <f>IF(SUMIFS(Data!$S:$S,Data!$A:$A,$B2,Data!$C:$C,D$1)=0,"",SUMIFS(Data!$S:$S,Data!$A:$A,$B2,Data!$C:$C,D$1))</f>
        <v>4.25</v>
      </c>
      <c r="E2" s="58">
        <f>IF(SUMIFS(Data!$S:$S,Data!$A:$A,$B2,Data!$C:$C,E$1)=0,"",SUMIFS(Data!$S:$S,Data!$A:$A,$B2,Data!$C:$C,E$1))</f>
        <v>3.625</v>
      </c>
      <c r="F2" s="58">
        <f>IF(SUMIFS(Data!$S:$S,Data!$A:$A,$B2,Data!$C:$C,F$1)=0,"",SUMIFS(Data!$S:$S,Data!$A:$A,$B2,Data!$C:$C,F$1))</f>
        <v>4.1026666666666669</v>
      </c>
      <c r="G2" s="58">
        <f>IF(SUMIFS(Data!$S:$S,Data!$A:$A,$B2,Data!$C:$C,G$1)=0,"",SUMIFS(Data!$S:$S,Data!$A:$A,$B2,Data!$C:$C,G$1))</f>
        <v>4.375</v>
      </c>
      <c r="H2" s="58">
        <f>IF(SUMIFS(Data!$S:$S,Data!$A:$A,$B2,Data!$C:$C,H$1)=0,"",SUMIFS(Data!$S:$S,Data!$A:$A,$B2,Data!$C:$C,H$1))</f>
        <v>3.125</v>
      </c>
      <c r="I2" s="58">
        <f>IF(SUMIFS(Data!$S:$S,Data!$A:$A,$B2,Data!$C:$C,I$1)=0,"",SUMIFS(Data!$S:$S,Data!$A:$A,$B2,Data!$C:$C,I$1))</f>
        <v>4</v>
      </c>
      <c r="J2" s="58">
        <f>IF(SUMIFS(Data!$S:$S,Data!$A:$A,$B2,Data!$C:$C,J$1)=0,"",SUMIFS(Data!$S:$S,Data!$A:$A,$B2,Data!$C:$C,J$1))</f>
        <v>4.1449999999999996</v>
      </c>
      <c r="K2" s="58">
        <f>IF(SUMIFS(Data!$S:$S,Data!$A:$A,$B2,Data!$C:$C,K$1)=0,"",SUMIFS(Data!$S:$S,Data!$A:$A,$B2,Data!$C:$C,K$1))</f>
        <v>4.25</v>
      </c>
      <c r="L2" s="58">
        <f>IF(SUMIFS(Data!$S:$S,Data!$A:$A,$B2,Data!$C:$C,L$1)=0,"",SUMIFS(Data!$S:$S,Data!$A:$A,$B2,Data!$C:$C,L$1))</f>
        <v>3.625</v>
      </c>
      <c r="M2" s="58">
        <f>IF(SUMIFS(Data!$S:$S,Data!$A:$A,$B2,Data!$C:$C,M$1)=0,"",SUMIFS(Data!$S:$S,Data!$A:$A,$B2,Data!$C:$C,M$1))</f>
        <v>3.9470000000000001</v>
      </c>
      <c r="N2" s="58">
        <f>IF(SUMIFS(Data!$S:$S,Data!$A:$A,$B2,Data!$C:$C,N$1)=0,"",SUMIFS(Data!$S:$S,Data!$A:$A,$B2,Data!$C:$C,N$1))</f>
        <v>3.25</v>
      </c>
      <c r="O2" s="58" t="str">
        <f>IF(SUMIFS(Data!$S:$S,Data!$A:$A,$B2,Data!$C:$C,O$1)=0,"",SUMIFS(Data!$S:$S,Data!$A:$A,$B2,Data!$C:$C,O$1))</f>
        <v/>
      </c>
      <c r="P2" s="58" t="str">
        <f>IF(SUMIFS(Data!$S:$S,Data!$A:$A,$B2,Data!$C:$C,P$1)=0,"",SUMIFS(Data!$S:$S,Data!$A:$A,$B2,Data!$C:$C,P$1))</f>
        <v/>
      </c>
      <c r="Q2" s="58" t="str">
        <f>IF(SUMIFS(Data!$S:$S,Data!$A:$A,$B2,Data!$C:$C,Q$1)=0,"",SUMIFS(Data!$S:$S,Data!$A:$A,$B2,Data!$C:$C,Q$1))</f>
        <v/>
      </c>
      <c r="R2" s="58">
        <f>IF(SUMIFS(Data!X:X,Data!A:A,B2)=12,5,IF(SUMIFS(Data!X:X,Data!A:A,B2)&gt;9,3,IF(SUMIFS(Data!X:X,Data!A:A,B2)&gt;4,1,0)))</f>
        <v>5</v>
      </c>
      <c r="S2" s="58">
        <f>IF(COUNT(C2:Q2)=12,5,IF(COUNT(C2:Q2)=11,3,IF(COUNT(C2:Q2)=10,1,0)))</f>
        <v>5</v>
      </c>
      <c r="T2" s="58">
        <f>SUM(C2:S2)</f>
        <v>56.44466666666667</v>
      </c>
      <c r="U2" s="58">
        <f>SUMIFS(Data!D:D,Data!A:A,B2)</f>
        <v>186.12999999999997</v>
      </c>
    </row>
    <row r="3" spans="1:22" ht="12.75">
      <c r="A3" s="57">
        <v>2</v>
      </c>
      <c r="B3" s="57" t="s">
        <v>172</v>
      </c>
      <c r="C3" s="58">
        <f>IF(SUMIFS(Data!$S:$S,Data!$A:$A,$B3,Data!$C:$C,C$1)=0,"",SUMIFS(Data!$S:$S,Data!$A:$A,$B3,Data!$C:$C,C$1))</f>
        <v>3.5</v>
      </c>
      <c r="D3" s="58">
        <f>IF(SUMIFS(Data!$S:$S,Data!$A:$A,$B3,Data!$C:$C,D$1)=0,"",SUMIFS(Data!$S:$S,Data!$A:$A,$B3,Data!$C:$C,D$1))</f>
        <v>3.6</v>
      </c>
      <c r="E3" s="58">
        <f>IF(SUMIFS(Data!$S:$S,Data!$A:$A,$B3,Data!$C:$C,E$1)=0,"",SUMIFS(Data!$S:$S,Data!$A:$A,$B3,Data!$C:$C,E$1))</f>
        <v>3.125</v>
      </c>
      <c r="F3" s="58">
        <f>IF(SUMIFS(Data!$S:$S,Data!$A:$A,$B3,Data!$C:$C,F$1)=0,"",SUMIFS(Data!$S:$S,Data!$A:$A,$B3,Data!$C:$C,F$1))</f>
        <v>3.35</v>
      </c>
      <c r="G3" s="58">
        <f>IF(SUMIFS(Data!$S:$S,Data!$A:$A,$B3,Data!$C:$C,G$1)=0,"",SUMIFS(Data!$S:$S,Data!$A:$A,$B3,Data!$C:$C,G$1))</f>
        <v>3.35</v>
      </c>
      <c r="H3" s="58">
        <f>IF(SUMIFS(Data!$S:$S,Data!$A:$A,$B3,Data!$C:$C,H$1)=0,"",SUMIFS(Data!$S:$S,Data!$A:$A,$B3,Data!$C:$C,H$1))</f>
        <v>3.5</v>
      </c>
      <c r="I3" s="58">
        <f>IF(SUMIFS(Data!$S:$S,Data!$A:$A,$B3,Data!$C:$C,I$1)=0,"",SUMIFS(Data!$S:$S,Data!$A:$A,$B3,Data!$C:$C,I$1))</f>
        <v>4.1500000000000004</v>
      </c>
      <c r="J3" s="58">
        <f>IF(SUMIFS(Data!$S:$S,Data!$A:$A,$B3,Data!$C:$C,J$1)=0,"",SUMIFS(Data!$S:$S,Data!$A:$A,$B3,Data!$C:$C,J$1))</f>
        <v>3.25</v>
      </c>
      <c r="K3" s="58">
        <f>IF(SUMIFS(Data!$S:$S,Data!$A:$A,$B3,Data!$C:$C,K$1)=0,"",SUMIFS(Data!$S:$S,Data!$A:$A,$B3,Data!$C:$C,K$1))</f>
        <v>3.125</v>
      </c>
      <c r="L3" s="58">
        <f>IF(SUMIFS(Data!$S:$S,Data!$A:$A,$B3,Data!$C:$C,L$1)=0,"",SUMIFS(Data!$S:$S,Data!$A:$A,$B3,Data!$C:$C,L$1))</f>
        <v>3.7250000000000001</v>
      </c>
      <c r="M3" s="58">
        <f>IF(SUMIFS(Data!$S:$S,Data!$A:$A,$B3,Data!$C:$C,M$1)=0,"",SUMIFS(Data!$S:$S,Data!$A:$A,$B3,Data!$C:$C,M$1))</f>
        <v>3.1916666666666669</v>
      </c>
      <c r="N3" s="58">
        <f>IF(SUMIFS(Data!$S:$S,Data!$A:$A,$B3,Data!$C:$C,N$1)=0,"",SUMIFS(Data!$S:$S,Data!$A:$A,$B3,Data!$C:$C,N$1))</f>
        <v>3.25</v>
      </c>
      <c r="O3" s="58" t="str">
        <f>IF(SUMIFS(Data!$S:$S,Data!$A:$A,$B3,Data!$C:$C,O$1)=0,"",SUMIFS(Data!$S:$S,Data!$A:$A,$B3,Data!$C:$C,O$1))</f>
        <v/>
      </c>
      <c r="P3" s="58" t="str">
        <f>IF(SUMIFS(Data!$S:$S,Data!$A:$A,$B3,Data!$C:$C,P$1)=0,"",SUMIFS(Data!$S:$S,Data!$A:$A,$B3,Data!$C:$C,P$1))</f>
        <v/>
      </c>
      <c r="Q3" s="58" t="str">
        <f>IF(SUMIFS(Data!$S:$S,Data!$A:$A,$B3,Data!$C:$C,Q$1)=0,"",SUMIFS(Data!$S:$S,Data!$A:$A,$B3,Data!$C:$C,Q$1))</f>
        <v/>
      </c>
      <c r="R3" s="58">
        <f>IF(SUMIFS(Data!X:X,Data!A:A,B3)=12,5,IF(SUMIFS(Data!X:X,Data!A:A,B3)&gt;9,3,IF(SUMIFS(Data!X:X,Data!A:A,B3)&gt;4,1,0)))</f>
        <v>5</v>
      </c>
      <c r="S3" s="58">
        <f t="shared" ref="S3:S10" si="0">IF(COUNT(C3:Q3)=12,5,IF(COUNT(C3:Q3)=11,3,IF(COUNT(C3:Q3)=10,1,0)))</f>
        <v>5</v>
      </c>
      <c r="T3" s="58">
        <f t="shared" ref="T3:T10" si="1">SUM(C3:S3)</f>
        <v>51.116666666666674</v>
      </c>
      <c r="U3" s="58">
        <f>SUMIFS(Data!D:D,Data!A:A,B3)</f>
        <v>255.53999999999994</v>
      </c>
    </row>
    <row r="4" spans="1:22" ht="12.75">
      <c r="A4" s="57">
        <v>3</v>
      </c>
      <c r="B4" s="57" t="s">
        <v>201</v>
      </c>
      <c r="C4" s="58">
        <f>IF(SUMIFS(Data!$S:$S,Data!$A:$A,$B4,Data!$C:$C,C$1)=0,"",SUMIFS(Data!$S:$S,Data!$A:$A,$B4,Data!$C:$C,C$1))</f>
        <v>3.2243333333333335</v>
      </c>
      <c r="D4" s="58">
        <f>IF(SUMIFS(Data!$S:$S,Data!$A:$A,$B4,Data!$C:$C,D$1)=0,"",SUMIFS(Data!$S:$S,Data!$A:$A,$B4,Data!$C:$C,D$1))</f>
        <v>3.9706666666666668</v>
      </c>
      <c r="E4" s="58">
        <f>IF(SUMIFS(Data!$S:$S,Data!$A:$A,$B4,Data!$C:$C,E$1)=0,"",SUMIFS(Data!$S:$S,Data!$A:$A,$B4,Data!$C:$C,E$1))</f>
        <v>2.7253333333333334</v>
      </c>
      <c r="F4" s="58">
        <f>IF(SUMIFS(Data!$S:$S,Data!$A:$A,$B4,Data!$C:$C,F$1)=0,"",SUMIFS(Data!$S:$S,Data!$A:$A,$B4,Data!$C:$C,F$1))</f>
        <v>3.383</v>
      </c>
      <c r="G4" s="58">
        <f>IF(SUMIFS(Data!$S:$S,Data!$A:$A,$B4,Data!$C:$C,G$1)=0,"",SUMIFS(Data!$S:$S,Data!$A:$A,$B4,Data!$C:$C,G$1))</f>
        <v>4.048</v>
      </c>
      <c r="H4" s="58">
        <f>IF(SUMIFS(Data!$S:$S,Data!$A:$A,$B4,Data!$C:$C,H$1)=0,"",SUMIFS(Data!$S:$S,Data!$A:$A,$B4,Data!$C:$C,H$1))</f>
        <v>2.125</v>
      </c>
      <c r="I4" s="58">
        <f>IF(SUMIFS(Data!$S:$S,Data!$A:$A,$B4,Data!$C:$C,I$1)=0,"",SUMIFS(Data!$S:$S,Data!$A:$A,$B4,Data!$C:$C,I$1))</f>
        <v>3.2313333333333332</v>
      </c>
      <c r="J4" s="58">
        <f>IF(SUMIFS(Data!$S:$S,Data!$A:$A,$B4,Data!$C:$C,J$1)=0,"",SUMIFS(Data!$S:$S,Data!$A:$A,$B4,Data!$C:$C,J$1))</f>
        <v>4.1580000000000004</v>
      </c>
      <c r="K4" s="58">
        <f>IF(SUMIFS(Data!$S:$S,Data!$A:$A,$B4,Data!$C:$C,K$1)=0,"",SUMIFS(Data!$S:$S,Data!$A:$A,$B4,Data!$C:$C,K$1))</f>
        <v>4.288666666666666</v>
      </c>
      <c r="L4" s="58">
        <f>IF(SUMIFS(Data!$S:$S,Data!$A:$A,$B4,Data!$C:$C,L$1)=0,"",SUMIFS(Data!$S:$S,Data!$A:$A,$B4,Data!$C:$C,L$1))</f>
        <v>3.3733333333333331</v>
      </c>
      <c r="M4" s="58">
        <f>IF(SUMIFS(Data!$S:$S,Data!$A:$A,$B4,Data!$C:$C,M$1)=0,"",SUMIFS(Data!$S:$S,Data!$A:$A,$B4,Data!$C:$C,M$1))</f>
        <v>2.262</v>
      </c>
      <c r="N4" s="58">
        <f>IF(SUMIFS(Data!$S:$S,Data!$A:$A,$B4,Data!$C:$C,N$1)=0,"",SUMIFS(Data!$S:$S,Data!$A:$A,$B4,Data!$C:$C,N$1))</f>
        <v>3.2143333333333333</v>
      </c>
      <c r="O4" s="58" t="str">
        <f>IF(SUMIFS(Data!$S:$S,Data!$A:$A,$B4,Data!$C:$C,O$1)=0,"",SUMIFS(Data!$S:$S,Data!$A:$A,$B4,Data!$C:$C,O$1))</f>
        <v/>
      </c>
      <c r="P4" s="58" t="str">
        <f>IF(SUMIFS(Data!$S:$S,Data!$A:$A,$B4,Data!$C:$C,P$1)=0,"",SUMIFS(Data!$S:$S,Data!$A:$A,$B4,Data!$C:$C,P$1))</f>
        <v/>
      </c>
      <c r="Q4" s="58" t="str">
        <f>IF(SUMIFS(Data!$S:$S,Data!$A:$A,$B4,Data!$C:$C,Q$1)=0,"",SUMIFS(Data!$S:$S,Data!$A:$A,$B4,Data!$C:$C,Q$1))</f>
        <v/>
      </c>
      <c r="R4" s="58">
        <f>IF(SUMIFS(Data!X:X,Data!A:A,B4)=12,5,IF(SUMIFS(Data!X:X,Data!A:A,B4)&gt;9,3,IF(SUMIFS(Data!X:X,Data!A:A,B4)&gt;4,1,0)))</f>
        <v>1</v>
      </c>
      <c r="S4" s="58">
        <f t="shared" si="0"/>
        <v>5</v>
      </c>
      <c r="T4" s="58">
        <f t="shared" si="1"/>
        <v>46.004000000000005</v>
      </c>
      <c r="U4" s="58">
        <f>SUMIFS(Data!D:D,Data!A:A,B4)</f>
        <v>218.70999999999998</v>
      </c>
    </row>
    <row r="5" spans="1:22" ht="12.75">
      <c r="A5" s="57">
        <v>4</v>
      </c>
      <c r="B5" s="57" t="s">
        <v>169</v>
      </c>
      <c r="C5" s="58">
        <f>IF(SUMIFS(Data!$S:$S,Data!$A:$A,$B5,Data!$C:$C,C$1)=0,"",SUMIFS(Data!$S:$S,Data!$A:$A,$B5,Data!$C:$C,C$1))</f>
        <v>2.625</v>
      </c>
      <c r="D5" s="58">
        <f>IF(SUMIFS(Data!$S:$S,Data!$A:$A,$B5,Data!$C:$C,D$1)=0,"",SUMIFS(Data!$S:$S,Data!$A:$A,$B5,Data!$C:$C,D$1))</f>
        <v>1.75</v>
      </c>
      <c r="E5" s="58">
        <f>IF(SUMIFS(Data!$S:$S,Data!$A:$A,$B5,Data!$C:$C,E$1)=0,"",SUMIFS(Data!$S:$S,Data!$A:$A,$B5,Data!$C:$C,E$1))</f>
        <v>2.25</v>
      </c>
      <c r="F5" s="58">
        <f>IF(SUMIFS(Data!$S:$S,Data!$A:$A,$B5,Data!$C:$C,F$1)=0,"",SUMIFS(Data!$S:$S,Data!$A:$A,$B5,Data!$C:$C,F$1))</f>
        <v>3.25</v>
      </c>
      <c r="G5" s="58">
        <f>IF(SUMIFS(Data!$S:$S,Data!$A:$A,$B5,Data!$C:$C,G$1)=0,"",SUMIFS(Data!$S:$S,Data!$A:$A,$B5,Data!$C:$C,G$1))</f>
        <v>1.625</v>
      </c>
      <c r="H5" s="58">
        <f>IF(SUMIFS(Data!$S:$S,Data!$A:$A,$B5,Data!$C:$C,H$1)=0,"",SUMIFS(Data!$S:$S,Data!$A:$A,$B5,Data!$C:$C,H$1))</f>
        <v>2.7406666666666668</v>
      </c>
      <c r="I5" s="58">
        <f>IF(SUMIFS(Data!$S:$S,Data!$A:$A,$B5,Data!$C:$C,I$1)=0,"",SUMIFS(Data!$S:$S,Data!$A:$A,$B5,Data!$C:$C,I$1))</f>
        <v>2.5</v>
      </c>
      <c r="J5" s="58">
        <f>IF(SUMIFS(Data!$S:$S,Data!$A:$A,$B5,Data!$C:$C,J$1)=0,"",SUMIFS(Data!$S:$S,Data!$A:$A,$B5,Data!$C:$C,J$1))</f>
        <v>2.8126666666666669</v>
      </c>
      <c r="K5" s="58">
        <f>IF(SUMIFS(Data!$S:$S,Data!$A:$A,$B5,Data!$C:$C,K$1)=0,"",SUMIFS(Data!$S:$S,Data!$A:$A,$B5,Data!$C:$C,K$1))</f>
        <v>2.375</v>
      </c>
      <c r="L5" s="58">
        <f>IF(SUMIFS(Data!$S:$S,Data!$A:$A,$B5,Data!$C:$C,L$1)=0,"",SUMIFS(Data!$S:$S,Data!$A:$A,$B5,Data!$C:$C,L$1))</f>
        <v>1.5</v>
      </c>
      <c r="M5" s="58">
        <f>IF(SUMIFS(Data!$S:$S,Data!$A:$A,$B5,Data!$C:$C,M$1)=0,"",SUMIFS(Data!$S:$S,Data!$A:$A,$B5,Data!$C:$C,M$1))</f>
        <v>3.5</v>
      </c>
      <c r="N5" s="58">
        <f>IF(SUMIFS(Data!$S:$S,Data!$A:$A,$B5,Data!$C:$C,N$1)=0,"",SUMIFS(Data!$S:$S,Data!$A:$A,$B5,Data!$C:$C,N$1))</f>
        <v>2</v>
      </c>
      <c r="O5" s="58" t="str">
        <f>IF(SUMIFS(Data!$S:$S,Data!$A:$A,$B5,Data!$C:$C,O$1)=0,"",SUMIFS(Data!$S:$S,Data!$A:$A,$B5,Data!$C:$C,O$1))</f>
        <v/>
      </c>
      <c r="P5" s="58" t="str">
        <f>IF(SUMIFS(Data!$S:$S,Data!$A:$A,$B5,Data!$C:$C,P$1)=0,"",SUMIFS(Data!$S:$S,Data!$A:$A,$B5,Data!$C:$C,P$1))</f>
        <v/>
      </c>
      <c r="Q5" s="58" t="str">
        <f>IF(SUMIFS(Data!$S:$S,Data!$A:$A,$B5,Data!$C:$C,Q$1)=0,"",SUMIFS(Data!$S:$S,Data!$A:$A,$B5,Data!$C:$C,Q$1))</f>
        <v/>
      </c>
      <c r="R5" s="58">
        <f>IF(SUMIFS(Data!X:X,Data!A:A,B5)=12,5,IF(SUMIFS(Data!X:X,Data!A:A,B5)&gt;9,3,IF(SUMIFS(Data!X:X,Data!A:A,B5)&gt;4,1,0)))</f>
        <v>1</v>
      </c>
      <c r="S5" s="58">
        <f t="shared" si="0"/>
        <v>5</v>
      </c>
      <c r="T5" s="58">
        <f t="shared" si="1"/>
        <v>34.928333333333335</v>
      </c>
      <c r="U5" s="58">
        <f>SUMIFS(Data!D:D,Data!A:A,B5)</f>
        <v>141.54000000000002</v>
      </c>
      <c r="V5" s="70"/>
    </row>
    <row r="6" spans="1:22" ht="12.75">
      <c r="A6" s="57">
        <v>5</v>
      </c>
      <c r="B6" s="57" t="s">
        <v>83</v>
      </c>
      <c r="C6" s="58">
        <f>IF(SUMIFS(Data!$S:$S,Data!$A:$A,$B6,Data!$C:$C,C$1)=0,"",SUMIFS(Data!$S:$S,Data!$A:$A,$B6,Data!$C:$C,C$1))</f>
        <v>3.25</v>
      </c>
      <c r="D6" s="58">
        <f>IF(SUMIFS(Data!$S:$S,Data!$A:$A,$B6,Data!$C:$C,D$1)=0,"",SUMIFS(Data!$S:$S,Data!$A:$A,$B6,Data!$C:$C,D$1))</f>
        <v>3</v>
      </c>
      <c r="E6" s="58">
        <f>IF(SUMIFS(Data!$S:$S,Data!$A:$A,$B6,Data!$C:$C,E$1)=0,"",SUMIFS(Data!$S:$S,Data!$A:$A,$B6,Data!$C:$C,E$1))</f>
        <v>2.375</v>
      </c>
      <c r="F6" s="58" t="str">
        <f>IF(SUMIFS(Data!$S:$S,Data!$A:$A,$B6,Data!$C:$C,F$1)=0,"",SUMIFS(Data!$S:$S,Data!$A:$A,$B6,Data!$C:$C,F$1))</f>
        <v/>
      </c>
      <c r="G6" s="58">
        <f>IF(SUMIFS(Data!$S:$S,Data!$A:$A,$B6,Data!$C:$C,G$1)=0,"",SUMIFS(Data!$S:$S,Data!$A:$A,$B6,Data!$C:$C,G$1))</f>
        <v>2.75</v>
      </c>
      <c r="H6" s="58">
        <f>IF(SUMIFS(Data!$S:$S,Data!$A:$A,$B6,Data!$C:$C,H$1)=0,"",SUMIFS(Data!$S:$S,Data!$A:$A,$B6,Data!$C:$C,H$1))</f>
        <v>2.625</v>
      </c>
      <c r="I6" s="58">
        <f>IF(SUMIFS(Data!$S:$S,Data!$A:$A,$B6,Data!$C:$C,I$1)=0,"",SUMIFS(Data!$S:$S,Data!$A:$A,$B6,Data!$C:$C,I$1))</f>
        <v>2.75</v>
      </c>
      <c r="J6" s="58">
        <f>IF(SUMIFS(Data!$S:$S,Data!$A:$A,$B6,Data!$C:$C,J$1)=0,"",SUMIFS(Data!$S:$S,Data!$A:$A,$B6,Data!$C:$C,J$1))</f>
        <v>2.625</v>
      </c>
      <c r="K6" s="58">
        <f>IF(SUMIFS(Data!$S:$S,Data!$A:$A,$B6,Data!$C:$C,K$1)=0,"",SUMIFS(Data!$S:$S,Data!$A:$A,$B6,Data!$C:$C,K$1))</f>
        <v>2.375</v>
      </c>
      <c r="L6" s="58">
        <f>IF(SUMIFS(Data!$S:$S,Data!$A:$A,$B6,Data!$C:$C,L$1)=0,"",SUMIFS(Data!$S:$S,Data!$A:$A,$B6,Data!$C:$C,L$1))</f>
        <v>2.75</v>
      </c>
      <c r="M6" s="58">
        <f>IF(SUMIFS(Data!$S:$S,Data!$A:$A,$B6,Data!$C:$C,M$1)=0,"",SUMIFS(Data!$S:$S,Data!$A:$A,$B6,Data!$C:$C,M$1))</f>
        <v>2.625</v>
      </c>
      <c r="N6" s="58">
        <f>IF(SUMIFS(Data!$S:$S,Data!$A:$A,$B6,Data!$C:$C,N$1)=0,"",SUMIFS(Data!$S:$S,Data!$A:$A,$B6,Data!$C:$C,N$1))</f>
        <v>2.5</v>
      </c>
      <c r="O6" s="58" t="str">
        <f>IF(SUMIFS(Data!$S:$S,Data!$A:$A,$B6,Data!$C:$C,O$1)=0,"",SUMIFS(Data!$S:$S,Data!$A:$A,$B6,Data!$C:$C,O$1))</f>
        <v/>
      </c>
      <c r="P6" s="58" t="str">
        <f>IF(SUMIFS(Data!$S:$S,Data!$A:$A,$B6,Data!$C:$C,P$1)=0,"",SUMIFS(Data!$S:$S,Data!$A:$A,$B6,Data!$C:$C,P$1))</f>
        <v/>
      </c>
      <c r="Q6" s="58" t="str">
        <f>IF(SUMIFS(Data!$S:$S,Data!$A:$A,$B6,Data!$C:$C,Q$1)=0,"",SUMIFS(Data!$S:$S,Data!$A:$A,$B6,Data!$C:$C,Q$1))</f>
        <v/>
      </c>
      <c r="R6" s="58">
        <f>IF(SUMIFS(Data!X:X,Data!A:A,B6)=12,5,IF(SUMIFS(Data!X:X,Data!A:A,B6)&gt;9,3,IF(SUMIFS(Data!X:X,Data!A:A,B6)&gt;4,1,0)))</f>
        <v>3</v>
      </c>
      <c r="S6" s="58">
        <f t="shared" si="0"/>
        <v>3</v>
      </c>
      <c r="T6" s="58">
        <f t="shared" si="1"/>
        <v>35.625</v>
      </c>
      <c r="U6" s="58">
        <f>SUMIFS(Data!D:D,Data!A:A,B6)</f>
        <v>89.26</v>
      </c>
    </row>
    <row r="7" spans="1:22" ht="12.75">
      <c r="A7" s="57">
        <v>6</v>
      </c>
      <c r="B7" s="57" t="s">
        <v>50</v>
      </c>
      <c r="C7" s="58">
        <f>IF(SUMIFS(Data!$S:$S,Data!$A:$A,$B7,Data!$C:$C,C$1)=0,"",SUMIFS(Data!$S:$S,Data!$A:$A,$B7,Data!$C:$C,C$1))</f>
        <v>2.25</v>
      </c>
      <c r="D7" s="58">
        <f>IF(SUMIFS(Data!$S:$S,Data!$A:$A,$B7,Data!$C:$C,D$1)=0,"",SUMIFS(Data!$S:$S,Data!$A:$A,$B7,Data!$C:$C,D$1))</f>
        <v>2.375</v>
      </c>
      <c r="E7" s="58">
        <f>IF(SUMIFS(Data!$S:$S,Data!$A:$A,$B7,Data!$C:$C,E$1)=0,"",SUMIFS(Data!$S:$S,Data!$A:$A,$B7,Data!$C:$C,E$1))</f>
        <v>2.625</v>
      </c>
      <c r="F7" s="58">
        <f>IF(SUMIFS(Data!$S:$S,Data!$A:$A,$B7,Data!$C:$C,F$1)=0,"",SUMIFS(Data!$S:$S,Data!$A:$A,$B7,Data!$C:$C,F$1))</f>
        <v>1.75</v>
      </c>
      <c r="G7" s="58">
        <f>IF(SUMIFS(Data!$S:$S,Data!$A:$A,$B7,Data!$C:$C,G$1)=0,"",SUMIFS(Data!$S:$S,Data!$A:$A,$B7,Data!$C:$C,G$1))</f>
        <v>2.25</v>
      </c>
      <c r="H7" s="58">
        <f>IF(SUMIFS(Data!$S:$S,Data!$A:$A,$B7,Data!$C:$C,H$1)=0,"",SUMIFS(Data!$S:$S,Data!$A:$A,$B7,Data!$C:$C,H$1))</f>
        <v>2.25</v>
      </c>
      <c r="I7" s="58">
        <f>IF(SUMIFS(Data!$S:$S,Data!$A:$A,$B7,Data!$C:$C,I$1)=0,"",SUMIFS(Data!$S:$S,Data!$A:$A,$B7,Data!$C:$C,I$1))</f>
        <v>2.625</v>
      </c>
      <c r="J7" s="58">
        <f>IF(SUMIFS(Data!$S:$S,Data!$A:$A,$B7,Data!$C:$C,J$1)=0,"",SUMIFS(Data!$S:$S,Data!$A:$A,$B7,Data!$C:$C,J$1))</f>
        <v>2.125</v>
      </c>
      <c r="K7" s="58">
        <f>IF(SUMIFS(Data!$S:$S,Data!$A:$A,$B7,Data!$C:$C,K$1)=0,"",SUMIFS(Data!$S:$S,Data!$A:$A,$B7,Data!$C:$C,K$1))</f>
        <v>1.25</v>
      </c>
      <c r="L7" s="58">
        <f>IF(SUMIFS(Data!$S:$S,Data!$A:$A,$B7,Data!$C:$C,L$1)=0,"",SUMIFS(Data!$S:$S,Data!$A:$A,$B7,Data!$C:$C,L$1))</f>
        <v>2.375</v>
      </c>
      <c r="M7" s="58">
        <f>IF(SUMIFS(Data!$S:$S,Data!$A:$A,$B7,Data!$C:$C,M$1)=0,"",SUMIFS(Data!$S:$S,Data!$A:$A,$B7,Data!$C:$C,M$1))</f>
        <v>2.25</v>
      </c>
      <c r="N7" s="58">
        <f>IF(SUMIFS(Data!$S:$S,Data!$A:$A,$B7,Data!$C:$C,N$1)=0,"",SUMIFS(Data!$S:$S,Data!$A:$A,$B7,Data!$C:$C,N$1))</f>
        <v>2.75</v>
      </c>
      <c r="O7" s="58" t="str">
        <f>IF(SUMIFS(Data!$S:$S,Data!$A:$A,$B7,Data!$C:$C,O$1)=0,"",SUMIFS(Data!$S:$S,Data!$A:$A,$B7,Data!$C:$C,O$1))</f>
        <v/>
      </c>
      <c r="P7" s="58" t="str">
        <f>IF(SUMIFS(Data!$S:$S,Data!$A:$A,$B7,Data!$C:$C,P$1)=0,"",SUMIFS(Data!$S:$S,Data!$A:$A,$B7,Data!$C:$C,P$1))</f>
        <v/>
      </c>
      <c r="Q7" s="58" t="str">
        <f>IF(SUMIFS(Data!$S:$S,Data!$A:$A,$B7,Data!$C:$C,Q$1)=0,"",SUMIFS(Data!$S:$S,Data!$A:$A,$B7,Data!$C:$C,Q$1))</f>
        <v/>
      </c>
      <c r="R7" s="58">
        <f>IF(SUMIFS(Data!X:X,Data!A:A,B7)=12,5,IF(SUMIFS(Data!X:X,Data!A:A,B7)&gt;9,3,IF(SUMIFS(Data!X:X,Data!A:A,B7)&gt;4,1,0)))</f>
        <v>5</v>
      </c>
      <c r="S7" s="58">
        <f t="shared" si="0"/>
        <v>5</v>
      </c>
      <c r="T7" s="58">
        <f t="shared" si="1"/>
        <v>36.875</v>
      </c>
      <c r="U7" s="58">
        <f>SUMIFS(Data!D:D,Data!A:A,B7)</f>
        <v>100.98</v>
      </c>
    </row>
    <row r="8" spans="1:22" ht="12.75">
      <c r="A8" s="57">
        <v>7</v>
      </c>
      <c r="B8" s="57" t="s">
        <v>210</v>
      </c>
      <c r="C8" s="58" t="str">
        <f>IF(SUMIFS(Data!$S:$S,Data!$A:$A,$B8,Data!$C:$C,C$1)=0,"",SUMIFS(Data!$S:$S,Data!$A:$A,$B8,Data!$C:$C,C$1))</f>
        <v/>
      </c>
      <c r="D8" s="58">
        <f>IF(SUMIFS(Data!$S:$S,Data!$A:$A,$B8,Data!$C:$C,D$1)=0,"",SUMIFS(Data!$S:$S,Data!$A:$A,$B8,Data!$C:$C,D$1))</f>
        <v>2.875</v>
      </c>
      <c r="E8" s="58">
        <f>IF(SUMIFS(Data!$S:$S,Data!$A:$A,$B8,Data!$C:$C,E$1)=0,"",SUMIFS(Data!$S:$S,Data!$A:$A,$B8,Data!$C:$C,E$1))</f>
        <v>2.625</v>
      </c>
      <c r="F8" s="58">
        <f>IF(SUMIFS(Data!$S:$S,Data!$A:$A,$B8,Data!$C:$C,F$1)=0,"",SUMIFS(Data!$S:$S,Data!$A:$A,$B8,Data!$C:$C,F$1))</f>
        <v>2.625</v>
      </c>
      <c r="G8" s="58">
        <f>IF(SUMIFS(Data!$S:$S,Data!$A:$A,$B8,Data!$C:$C,G$1)=0,"",SUMIFS(Data!$S:$S,Data!$A:$A,$B8,Data!$C:$C,G$1))</f>
        <v>2.5</v>
      </c>
      <c r="H8" s="58">
        <f>IF(SUMIFS(Data!$S:$S,Data!$A:$A,$B8,Data!$C:$C,H$1)=0,"",SUMIFS(Data!$S:$S,Data!$A:$A,$B8,Data!$C:$C,H$1))</f>
        <v>2.25</v>
      </c>
      <c r="I8" s="58">
        <f>IF(SUMIFS(Data!$S:$S,Data!$A:$A,$B8,Data!$C:$C,I$1)=0,"",SUMIFS(Data!$S:$S,Data!$A:$A,$B8,Data!$C:$C,I$1))</f>
        <v>2.25</v>
      </c>
      <c r="J8" s="58">
        <f>IF(SUMIFS(Data!$S:$S,Data!$A:$A,$B8,Data!$C:$C,J$1)=0,"",SUMIFS(Data!$S:$S,Data!$A:$A,$B8,Data!$C:$C,J$1))</f>
        <v>2.875</v>
      </c>
      <c r="K8" s="58">
        <f>IF(SUMIFS(Data!$S:$S,Data!$A:$A,$B8,Data!$C:$C,K$1)=0,"",SUMIFS(Data!$S:$S,Data!$A:$A,$B8,Data!$C:$C,K$1))</f>
        <v>1.875</v>
      </c>
      <c r="L8" s="58">
        <f>IF(SUMIFS(Data!$S:$S,Data!$A:$A,$B8,Data!$C:$C,L$1)=0,"",SUMIFS(Data!$S:$S,Data!$A:$A,$B8,Data!$C:$C,L$1))</f>
        <v>2</v>
      </c>
      <c r="M8" s="58">
        <f>IF(SUMIFS(Data!$S:$S,Data!$A:$A,$B8,Data!$C:$C,M$1)=0,"",SUMIFS(Data!$S:$S,Data!$A:$A,$B8,Data!$C:$C,M$1))</f>
        <v>2.125</v>
      </c>
      <c r="N8" s="58">
        <f>IF(SUMIFS(Data!$S:$S,Data!$A:$A,$B8,Data!$C:$C,N$1)=0,"",SUMIFS(Data!$S:$S,Data!$A:$A,$B8,Data!$C:$C,N$1))</f>
        <v>2.25</v>
      </c>
      <c r="O8" s="58" t="str">
        <f>IF(SUMIFS(Data!$S:$S,Data!$A:$A,$B8,Data!$C:$C,O$1)=0,"",SUMIFS(Data!$S:$S,Data!$A:$A,$B8,Data!$C:$C,O$1))</f>
        <v/>
      </c>
      <c r="P8" s="58" t="str">
        <f>IF(SUMIFS(Data!$S:$S,Data!$A:$A,$B8,Data!$C:$C,P$1)=0,"",SUMIFS(Data!$S:$S,Data!$A:$A,$B8,Data!$C:$C,P$1))</f>
        <v/>
      </c>
      <c r="Q8" s="58" t="str">
        <f>IF(SUMIFS(Data!$S:$S,Data!$A:$A,$B8,Data!$C:$C,Q$1)=0,"",SUMIFS(Data!$S:$S,Data!$A:$A,$B8,Data!$C:$C,Q$1))</f>
        <v/>
      </c>
      <c r="R8" s="58">
        <f>IF(SUMIFS(Data!X:X,Data!A:A,B8)=12,5,IF(SUMIFS(Data!X:X,Data!A:A,B8)&gt;9,3,IF(SUMIFS(Data!X:X,Data!A:A,B8)&gt;4,1,0)))</f>
        <v>3</v>
      </c>
      <c r="S8" s="58">
        <f t="shared" si="0"/>
        <v>3</v>
      </c>
      <c r="T8" s="58">
        <f t="shared" si="1"/>
        <v>32.25</v>
      </c>
      <c r="U8" s="58">
        <f>SUMIFS(Data!D:D,Data!A:A,B8)</f>
        <v>63.55</v>
      </c>
    </row>
    <row r="9" spans="1:22" ht="12.75">
      <c r="A9" s="57">
        <v>8</v>
      </c>
      <c r="B9" s="57" t="s">
        <v>67</v>
      </c>
      <c r="C9" s="58">
        <f>IF(SUMIFS(Data!$S:$S,Data!$A:$A,$B9,Data!$C:$C,C$1)=0,"",SUMIFS(Data!$S:$S,Data!$A:$A,$B9,Data!$C:$C,C$1))</f>
        <v>2.5</v>
      </c>
      <c r="D9" s="58">
        <f>IF(SUMIFS(Data!$S:$S,Data!$A:$A,$B9,Data!$C:$C,D$1)=0,"",SUMIFS(Data!$S:$S,Data!$A:$A,$B9,Data!$C:$C,D$1))</f>
        <v>2.75</v>
      </c>
      <c r="E9" s="58" t="str">
        <f>IF(SUMIFS(Data!$S:$S,Data!$A:$A,$B9,Data!$C:$C,E$1)=0,"",SUMIFS(Data!$S:$S,Data!$A:$A,$B9,Data!$C:$C,E$1))</f>
        <v/>
      </c>
      <c r="F9" s="58" t="str">
        <f>IF(SUMIFS(Data!$S:$S,Data!$A:$A,$B9,Data!$C:$C,F$1)=0,"",SUMIFS(Data!$S:$S,Data!$A:$A,$B9,Data!$C:$C,F$1))</f>
        <v/>
      </c>
      <c r="G9" s="58" t="str">
        <f>IF(SUMIFS(Data!$S:$S,Data!$A:$A,$B9,Data!$C:$C,G$1)=0,"",SUMIFS(Data!$S:$S,Data!$A:$A,$B9,Data!$C:$C,G$1))</f>
        <v/>
      </c>
      <c r="H9" s="58" t="str">
        <f>IF(SUMIFS(Data!$S:$S,Data!$A:$A,$B9,Data!$C:$C,H$1)=0,"",SUMIFS(Data!$S:$S,Data!$A:$A,$B9,Data!$C:$C,H$1))</f>
        <v/>
      </c>
      <c r="I9" s="58" t="str">
        <f>IF(SUMIFS(Data!$S:$S,Data!$A:$A,$B9,Data!$C:$C,I$1)=0,"",SUMIFS(Data!$S:$S,Data!$A:$A,$B9,Data!$C:$C,I$1))</f>
        <v/>
      </c>
      <c r="J9" s="58" t="str">
        <f>IF(SUMIFS(Data!$S:$S,Data!$A:$A,$B9,Data!$C:$C,J$1)=0,"",SUMIFS(Data!$S:$S,Data!$A:$A,$B9,Data!$C:$C,J$1))</f>
        <v/>
      </c>
      <c r="K9" s="58">
        <f>IF(SUMIFS(Data!$S:$S,Data!$A:$A,$B9,Data!$C:$C,K$1)=0,"",SUMIFS(Data!$S:$S,Data!$A:$A,$B9,Data!$C:$C,K$1))</f>
        <v>2.75</v>
      </c>
      <c r="L9" s="58">
        <f>IF(SUMIFS(Data!$S:$S,Data!$A:$A,$B9,Data!$C:$C,L$1)=0,"",SUMIFS(Data!$S:$S,Data!$A:$A,$B9,Data!$C:$C,L$1))</f>
        <v>3</v>
      </c>
      <c r="M9" s="58">
        <f>IF(SUMIFS(Data!$S:$S,Data!$A:$A,$B9,Data!$C:$C,M$1)=0,"",SUMIFS(Data!$S:$S,Data!$A:$A,$B9,Data!$C:$C,M$1))</f>
        <v>2.375</v>
      </c>
      <c r="N9" s="58">
        <f>IF(SUMIFS(Data!$S:$S,Data!$A:$A,$B9,Data!$C:$C,N$1)=0,"",SUMIFS(Data!$S:$S,Data!$A:$A,$B9,Data!$C:$C,N$1))</f>
        <v>3</v>
      </c>
      <c r="O9" s="58" t="str">
        <f>IF(SUMIFS(Data!$S:$S,Data!$A:$A,$B9,Data!$C:$C,O$1)=0,"",SUMIFS(Data!$S:$S,Data!$A:$A,$B9,Data!$C:$C,O$1))</f>
        <v/>
      </c>
      <c r="P9" s="58" t="str">
        <f>IF(SUMIFS(Data!$S:$S,Data!$A:$A,$B9,Data!$C:$C,P$1)=0,"",SUMIFS(Data!$S:$S,Data!$A:$A,$B9,Data!$C:$C,P$1))</f>
        <v/>
      </c>
      <c r="Q9" s="58" t="str">
        <f>IF(SUMIFS(Data!$S:$S,Data!$A:$A,$B9,Data!$C:$C,Q$1)=0,"",SUMIFS(Data!$S:$S,Data!$A:$A,$B9,Data!$C:$C,Q$1))</f>
        <v/>
      </c>
      <c r="R9" s="58">
        <f>IF(SUMIFS(Data!X:X,Data!A:A,B9)=12,5,IF(SUMIFS(Data!X:X,Data!A:A,B9)&gt;9,3,IF(SUMIFS(Data!X:X,Data!A:A,B9)&gt;4,1,0)))</f>
        <v>1</v>
      </c>
      <c r="S9" s="58">
        <f t="shared" si="0"/>
        <v>0</v>
      </c>
      <c r="T9" s="58">
        <f t="shared" si="1"/>
        <v>17.375</v>
      </c>
      <c r="U9" s="58">
        <f>SUMIFS(Data!D:D,Data!A:A,B9)</f>
        <v>55.1</v>
      </c>
    </row>
    <row r="10" spans="1:22" ht="12.75">
      <c r="A10" s="57">
        <v>9</v>
      </c>
      <c r="B10" s="57" t="s">
        <v>51</v>
      </c>
      <c r="C10" s="58">
        <f>IF(SUMIFS(Data!$S:$S,Data!$A:$A,$B10,Data!$C:$C,C$1)=0,"",SUMIFS(Data!$S:$S,Data!$A:$A,$B10,Data!$C:$C,C$1))</f>
        <v>3</v>
      </c>
      <c r="D10" s="58" t="str">
        <f>IF(SUMIFS(Data!$S:$S,Data!$A:$A,$B10,Data!$C:$C,D$1)=0,"",SUMIFS(Data!$S:$S,Data!$A:$A,$B10,Data!$C:$C,D$1))</f>
        <v/>
      </c>
      <c r="E10" s="58">
        <f>IF(SUMIFS(Data!$S:$S,Data!$A:$A,$B10,Data!$C:$C,E$1)=0,"",SUMIFS(Data!$S:$S,Data!$A:$A,$B10,Data!$C:$C,E$1))</f>
        <v>1.875</v>
      </c>
      <c r="F10" s="58">
        <f>IF(SUMIFS(Data!$S:$S,Data!$A:$A,$B10,Data!$C:$C,F$1)=0,"",SUMIFS(Data!$S:$S,Data!$A:$A,$B10,Data!$C:$C,F$1))</f>
        <v>2</v>
      </c>
      <c r="G10" s="58" t="str">
        <f>IF(SUMIFS(Data!$S:$S,Data!$A:$A,$B10,Data!$C:$C,G$1)=0,"",SUMIFS(Data!$S:$S,Data!$A:$A,$B10,Data!$C:$C,G$1))</f>
        <v/>
      </c>
      <c r="H10" s="58" t="str">
        <f>IF(SUMIFS(Data!$S:$S,Data!$A:$A,$B10,Data!$C:$C,H$1)=0,"",SUMIFS(Data!$S:$S,Data!$A:$A,$B10,Data!$C:$C,H$1))</f>
        <v/>
      </c>
      <c r="I10" s="58" t="str">
        <f>IF(SUMIFS(Data!$S:$S,Data!$A:$A,$B10,Data!$C:$C,I$1)=0,"",SUMIFS(Data!$S:$S,Data!$A:$A,$B10,Data!$C:$C,I$1))</f>
        <v/>
      </c>
      <c r="J10" s="58" t="str">
        <f>IF(SUMIFS(Data!$S:$S,Data!$A:$A,$B10,Data!$C:$C,J$1)=0,"",SUMIFS(Data!$S:$S,Data!$A:$A,$B10,Data!$C:$C,J$1))</f>
        <v/>
      </c>
      <c r="K10" s="58" t="str">
        <f>IF(SUMIFS(Data!$S:$S,Data!$A:$A,$B10,Data!$C:$C,K$1)=0,"",SUMIFS(Data!$S:$S,Data!$A:$A,$B10,Data!$C:$C,K$1))</f>
        <v/>
      </c>
      <c r="L10" s="58" t="str">
        <f>IF(SUMIFS(Data!$S:$S,Data!$A:$A,$B10,Data!$C:$C,L$1)=0,"",SUMIFS(Data!$S:$S,Data!$A:$A,$B10,Data!$C:$C,L$1))</f>
        <v/>
      </c>
      <c r="M10" s="58" t="str">
        <f>IF(SUMIFS(Data!$S:$S,Data!$A:$A,$B10,Data!$C:$C,M$1)=0,"",SUMIFS(Data!$S:$S,Data!$A:$A,$B10,Data!$C:$C,M$1))</f>
        <v/>
      </c>
      <c r="N10" s="58" t="str">
        <f>IF(SUMIFS(Data!$S:$S,Data!$A:$A,$B10,Data!$C:$C,N$1)=0,"",SUMIFS(Data!$S:$S,Data!$A:$A,$B10,Data!$C:$C,N$1))</f>
        <v/>
      </c>
      <c r="O10" s="58" t="str">
        <f>IF(SUMIFS(Data!$S:$S,Data!$A:$A,$B10,Data!$C:$C,O$1)=0,"",SUMIFS(Data!$S:$S,Data!$A:$A,$B10,Data!$C:$C,O$1))</f>
        <v/>
      </c>
      <c r="P10" s="58" t="str">
        <f>IF(SUMIFS(Data!$S:$S,Data!$A:$A,$B10,Data!$C:$C,P$1)=0,"",SUMIFS(Data!$S:$S,Data!$A:$A,$B10,Data!$C:$C,P$1))</f>
        <v/>
      </c>
      <c r="Q10" s="58" t="str">
        <f>IF(SUMIFS(Data!$S:$S,Data!$A:$A,$B10,Data!$C:$C,Q$1)=0,"",SUMIFS(Data!$S:$S,Data!$A:$A,$B10,Data!$C:$C,Q$1))</f>
        <v/>
      </c>
      <c r="R10" s="58">
        <f>IF(SUMIFS(Data!X:X,Data!A:A,B10)=12,5,IF(SUMIFS(Data!X:X,Data!A:A,B10)&gt;9,3,IF(SUMIFS(Data!X:X,Data!A:A,B10)&gt;4,1,0)))</f>
        <v>0</v>
      </c>
      <c r="S10" s="58">
        <f t="shared" si="0"/>
        <v>0</v>
      </c>
      <c r="T10" s="58">
        <f t="shared" si="1"/>
        <v>6.875</v>
      </c>
      <c r="U10" s="58">
        <f>SUMIFS(Data!D:D,Data!A:A,B10)</f>
        <v>19.57</v>
      </c>
    </row>
    <row r="11" spans="1:22" ht="12.75">
      <c r="A11" s="57">
        <v>10</v>
      </c>
      <c r="B11" s="57"/>
      <c r="C11" s="58" t="str">
        <f>IF(SUMIFS(Data!$S:$S,Data!$A:$A,$B11,Data!$C:$C,C$1)=0,"",SUMIFS(Data!$S:$S,Data!$A:$A,$B11,Data!$C:$C,C$1))</f>
        <v/>
      </c>
      <c r="D11" s="58" t="str">
        <f>IF(SUMIFS(Data!$S:$S,Data!$A:$A,$B11,Data!$C:$C,D$1)=0,"",SUMIFS(Data!$S:$S,Data!$A:$A,$B11,Data!$C:$C,D$1))</f>
        <v/>
      </c>
      <c r="E11" s="58" t="str">
        <f>IF(SUMIFS(Data!$S:$S,Data!$A:$A,$B11,Data!$C:$C,E$1)=0,"",SUMIFS(Data!$S:$S,Data!$A:$A,$B11,Data!$C:$C,E$1))</f>
        <v/>
      </c>
      <c r="F11" s="58" t="str">
        <f>IF(SUMIFS(Data!$S:$S,Data!$A:$A,$B11,Data!$C:$C,F$1)=0,"",SUMIFS(Data!$S:$S,Data!$A:$A,$B11,Data!$C:$C,F$1))</f>
        <v/>
      </c>
      <c r="G11" s="58" t="str">
        <f>IF(SUMIFS(Data!$S:$S,Data!$A:$A,$B11,Data!$C:$C,G$1)=0,"",SUMIFS(Data!$S:$S,Data!$A:$A,$B11,Data!$C:$C,G$1))</f>
        <v/>
      </c>
      <c r="H11" s="58" t="str">
        <f>IF(SUMIFS(Data!$S:$S,Data!$A:$A,$B11,Data!$C:$C,H$1)=0,"",SUMIFS(Data!$S:$S,Data!$A:$A,$B11,Data!$C:$C,H$1))</f>
        <v/>
      </c>
      <c r="I11" s="58" t="str">
        <f>IF(SUMIFS(Data!$S:$S,Data!$A:$A,$B11,Data!$C:$C,I$1)=0,"",SUMIFS(Data!$S:$S,Data!$A:$A,$B11,Data!$C:$C,I$1))</f>
        <v/>
      </c>
      <c r="J11" s="58" t="str">
        <f>IF(SUMIFS(Data!$S:$S,Data!$A:$A,$B11,Data!$C:$C,J$1)=0,"",SUMIFS(Data!$S:$S,Data!$A:$A,$B11,Data!$C:$C,J$1))</f>
        <v/>
      </c>
      <c r="K11" s="58" t="str">
        <f>IF(SUMIFS(Data!$S:$S,Data!$A:$A,$B11,Data!$C:$C,K$1)=0,"",SUMIFS(Data!$S:$S,Data!$A:$A,$B11,Data!$C:$C,K$1))</f>
        <v/>
      </c>
      <c r="L11" s="58" t="str">
        <f>IF(SUMIFS(Data!$S:$S,Data!$A:$A,$B11,Data!$C:$C,L$1)=0,"",SUMIFS(Data!$S:$S,Data!$A:$A,$B11,Data!$C:$C,L$1))</f>
        <v/>
      </c>
      <c r="M11" s="58" t="str">
        <f>IF(SUMIFS(Data!$S:$S,Data!$A:$A,$B11,Data!$C:$C,M$1)=0,"",SUMIFS(Data!$S:$S,Data!$A:$A,$B11,Data!$C:$C,M$1))</f>
        <v/>
      </c>
      <c r="N11" s="58" t="str">
        <f>IF(SUMIFS(Data!$S:$S,Data!$A:$A,$B11,Data!$C:$C,N$1)=0,"",SUMIFS(Data!$S:$S,Data!$A:$A,$B11,Data!$C:$C,N$1))</f>
        <v/>
      </c>
      <c r="O11" s="58" t="str">
        <f>IF(SUMIFS(Data!$S:$S,Data!$A:$A,$B11,Data!$C:$C,O$1)=0,"",SUMIFS(Data!$S:$S,Data!$A:$A,$B11,Data!$C:$C,O$1))</f>
        <v/>
      </c>
      <c r="P11" s="58" t="str">
        <f>IF(SUMIFS(Data!$S:$S,Data!$A:$A,$B11,Data!$C:$C,P$1)=0,"",SUMIFS(Data!$S:$S,Data!$A:$A,$B11,Data!$C:$C,P$1))</f>
        <v/>
      </c>
      <c r="Q11" s="58" t="str">
        <f>IF(SUMIFS(Data!$S:$S,Data!$A:$A,$B11,Data!$C:$C,Q$1)=0,"",SUMIFS(Data!$S:$S,Data!$A:$A,$B11,Data!$C:$C,Q$1))</f>
        <v/>
      </c>
      <c r="R11" s="58"/>
      <c r="S11" s="58"/>
      <c r="T11" s="58"/>
      <c r="U11" s="58"/>
    </row>
    <row r="13" spans="1:22">
      <c r="J13" s="70"/>
      <c r="K13" s="70"/>
      <c r="L13" s="70"/>
    </row>
  </sheetData>
  <autoFilter ref="A1:U10">
    <filterColumn colId="17"/>
    <sortState ref="A2:U10">
      <sortCondition descending="1" ref="T1:T10"/>
    </sortState>
  </autoFilter>
  <sortState ref="B2:U10">
    <sortCondition descending="1" ref="T2:T10"/>
    <sortCondition descending="1" ref="U2:U10"/>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tabColor rgb="FF00B0F0"/>
  </sheetPr>
  <dimension ref="A1:U32"/>
  <sheetViews>
    <sheetView workbookViewId="0">
      <pane ySplit="1" topLeftCell="A2" activePane="bottomLeft" state="frozen"/>
      <selection pane="bottomLeft" activeCell="T15" sqref="T15:T16"/>
    </sheetView>
  </sheetViews>
  <sheetFormatPr defaultRowHeight="12"/>
  <cols>
    <col min="1" max="1" width="8.140625" style="65" bestFit="1" customWidth="1"/>
    <col min="2" max="2" width="22.7109375" style="64" bestFit="1" customWidth="1"/>
    <col min="3" max="11" width="6.5703125" style="64" bestFit="1" customWidth="1"/>
    <col min="12" max="14" width="7.5703125" style="64" bestFit="1" customWidth="1"/>
    <col min="15" max="17" width="7.5703125" style="64" hidden="1" customWidth="1"/>
    <col min="18" max="18" width="16.42578125" style="64" customWidth="1"/>
    <col min="19" max="19" width="12.140625" style="64" bestFit="1" customWidth="1"/>
    <col min="20" max="20" width="10.5703125" style="64" bestFit="1" customWidth="1"/>
    <col min="21" max="21" width="13.28515625" style="64" bestFit="1" customWidth="1"/>
    <col min="22" max="16384" width="9.140625" style="64"/>
  </cols>
  <sheetData>
    <row r="1" spans="1:21" ht="12.75">
      <c r="A1" s="62" t="s">
        <v>89</v>
      </c>
      <c r="B1" s="62" t="s">
        <v>36</v>
      </c>
      <c r="C1" s="62">
        <v>1</v>
      </c>
      <c r="D1" s="62">
        <v>2</v>
      </c>
      <c r="E1" s="62">
        <v>3</v>
      </c>
      <c r="F1" s="62">
        <v>4</v>
      </c>
      <c r="G1" s="62">
        <v>5</v>
      </c>
      <c r="H1" s="62">
        <v>6</v>
      </c>
      <c r="I1" s="62">
        <v>7</v>
      </c>
      <c r="J1" s="62">
        <v>8</v>
      </c>
      <c r="K1" s="62">
        <v>9</v>
      </c>
      <c r="L1" s="62">
        <v>10</v>
      </c>
      <c r="M1" s="62">
        <v>11</v>
      </c>
      <c r="N1" s="62">
        <v>12</v>
      </c>
      <c r="O1" s="62">
        <v>13</v>
      </c>
      <c r="P1" s="62">
        <v>14</v>
      </c>
      <c r="Q1" s="62">
        <v>15</v>
      </c>
      <c r="R1" s="69" t="s">
        <v>226</v>
      </c>
      <c r="S1" s="63" t="s">
        <v>178</v>
      </c>
      <c r="T1" s="62" t="s">
        <v>91</v>
      </c>
      <c r="U1" s="62" t="s">
        <v>90</v>
      </c>
    </row>
    <row r="2" spans="1:21" ht="12.75">
      <c r="A2" s="57">
        <v>1</v>
      </c>
      <c r="B2" s="57" t="s">
        <v>57</v>
      </c>
      <c r="C2" s="58">
        <f>IF(SUMIFS(Data!$S:$S,Data!$A:$A,$B2,Data!$C:$C,C$1)=0,"",SUMIFS(Data!$S:$S,Data!$A:$A,$B2,Data!$C:$C,C$1))</f>
        <v>4.7633333333333336</v>
      </c>
      <c r="D2" s="58">
        <f>IF(SUMIFS(Data!$S:$S,Data!$A:$A,$B2,Data!$C:$C,D$1)=0,"",SUMIFS(Data!$S:$S,Data!$A:$A,$B2,Data!$C:$C,D$1))</f>
        <v>5.2366666666666672</v>
      </c>
      <c r="E2" s="58">
        <f>IF(SUMIFS(Data!$S:$S,Data!$A:$A,$B2,Data!$C:$C,E$1)=0,"",SUMIFS(Data!$S:$S,Data!$A:$A,$B2,Data!$C:$C,E$1))</f>
        <v>3.7250000000000001</v>
      </c>
      <c r="F2" s="58">
        <f>IF(SUMIFS(Data!$S:$S,Data!$A:$A,$B2,Data!$C:$C,F$1)=0,"",SUMIFS(Data!$S:$S,Data!$A:$A,$B2,Data!$C:$C,F$1))</f>
        <v>4.1473333333333331</v>
      </c>
      <c r="G2" s="58">
        <f>IF(SUMIFS(Data!$S:$S,Data!$A:$A,$B2,Data!$C:$C,G$1)=0,"",SUMIFS(Data!$S:$S,Data!$A:$A,$B2,Data!$C:$C,G$1))</f>
        <v>4.9046666666666665</v>
      </c>
      <c r="H2" s="58">
        <f>IF(SUMIFS(Data!$S:$S,Data!$A:$A,$B2,Data!$C:$C,H$1)=0,"",SUMIFS(Data!$S:$S,Data!$A:$A,$B2,Data!$C:$C,H$1))</f>
        <v>5.25</v>
      </c>
      <c r="I2" s="58">
        <f>IF(SUMIFS(Data!$S:$S,Data!$A:$A,$B2,Data!$C:$C,I$1)=0,"",SUMIFS(Data!$S:$S,Data!$A:$A,$B2,Data!$C:$C,I$1))</f>
        <v>4.4466666666666663</v>
      </c>
      <c r="J2" s="58">
        <f>IF(SUMIFS(Data!$S:$S,Data!$A:$A,$B2,Data!$C:$C,J$1)=0,"",SUMIFS(Data!$S:$S,Data!$A:$A,$B2,Data!$C:$C,J$1))</f>
        <v>5.2839999999999998</v>
      </c>
      <c r="K2" s="58">
        <f>IF(SUMIFS(Data!$S:$S,Data!$A:$A,$B2,Data!$C:$C,K$1)=0,"",SUMIFS(Data!$S:$S,Data!$A:$A,$B2,Data!$C:$C,K$1))</f>
        <v>3.7396666666666665</v>
      </c>
      <c r="L2" s="58">
        <f>IF(SUMIFS(Data!$S:$S,Data!$A:$A,$B2,Data!$C:$C,L$1)=0,"",SUMIFS(Data!$S:$S,Data!$A:$A,$B2,Data!$C:$C,L$1))</f>
        <v>3.7256666666666667</v>
      </c>
      <c r="M2" s="58">
        <f>IF(SUMIFS(Data!$S:$S,Data!$A:$A,$B2,Data!$C:$C,M$1)=0,"",SUMIFS(Data!$S:$S,Data!$A:$A,$B2,Data!$C:$C,M$1))</f>
        <v>5.5403333333333338</v>
      </c>
      <c r="N2" s="58">
        <f>IF(SUMIFS(Data!$S:$S,Data!$A:$A,$B2,Data!$C:$C,N$1)=0,"",SUMIFS(Data!$S:$S,Data!$A:$A,$B2,Data!$C:$C,N$1))</f>
        <v>8</v>
      </c>
      <c r="O2" s="58" t="str">
        <f>IF(SUMIFS(Data!$S:$S,Data!$A:$A,$B2,Data!$C:$C,O$1)=0,"",SUMIFS(Data!$S:$S,Data!$A:$A,$B2,Data!$C:$C,O$1))</f>
        <v/>
      </c>
      <c r="P2" s="58" t="str">
        <f>IF(SUMIFS(Data!$S:$S,Data!$A:$A,$B2,Data!$C:$C,P$1)=0,"",SUMIFS(Data!$S:$S,Data!$A:$A,$B2,Data!$C:$C,P$1))</f>
        <v/>
      </c>
      <c r="Q2" s="58" t="str">
        <f>IF(SUMIFS(Data!$S:$S,Data!$A:$A,$B2,Data!$C:$C,Q$1)=0,"",SUMIFS(Data!$S:$S,Data!$A:$A,$B2,Data!$C:$C,Q$1))</f>
        <v/>
      </c>
      <c r="R2" s="58">
        <f>IF(SUMIFS(Data!X:X,Data!A:A,B2)=12,5,IF(SUMIFS(Data!X:X,Data!A:A,B2)&gt;9,3,IF(SUMIFS(Data!X:X,Data!A:A,B2)&gt;4,1,0)))</f>
        <v>5</v>
      </c>
      <c r="S2" s="58">
        <f>IF(COUNT(C2:Q2)=12,5,IF(COUNT(C2:Q2)=11,3,IF(COUNT(C2:Q2)=10,1,0)))</f>
        <v>5</v>
      </c>
      <c r="T2" s="58">
        <f>SUM(C2:S2)</f>
        <v>68.763333333333335</v>
      </c>
      <c r="U2" s="58">
        <f>SUMIFS(Data!D:D,Data!A:A,B2)</f>
        <v>304.36</v>
      </c>
    </row>
    <row r="3" spans="1:21" ht="12.75">
      <c r="A3" s="57">
        <v>2</v>
      </c>
      <c r="B3" s="57" t="s">
        <v>55</v>
      </c>
      <c r="C3" s="58">
        <f>IF(SUMIFS(Data!$S:$S,Data!$A:$A,$B3,Data!$C:$C,C$1)=0,"",SUMIFS(Data!$S:$S,Data!$A:$A,$B3,Data!$C:$C,C$1))</f>
        <v>5.4479999999999995</v>
      </c>
      <c r="D3" s="58">
        <f>IF(SUMIFS(Data!$S:$S,Data!$A:$A,$B3,Data!$C:$C,D$1)=0,"",SUMIFS(Data!$S:$S,Data!$A:$A,$B3,Data!$C:$C,D$1))</f>
        <v>3.75</v>
      </c>
      <c r="E3" s="58">
        <f>IF(SUMIFS(Data!$S:$S,Data!$A:$A,$B3,Data!$C:$C,E$1)=0,"",SUMIFS(Data!$S:$S,Data!$A:$A,$B3,Data!$C:$C,E$1))</f>
        <v>5.7360000000000007</v>
      </c>
      <c r="F3" s="58">
        <f>IF(SUMIFS(Data!$S:$S,Data!$A:$A,$B3,Data!$C:$C,F$1)=0,"",SUMIFS(Data!$S:$S,Data!$A:$A,$B3,Data!$C:$C,F$1))</f>
        <v>5.222666666666667</v>
      </c>
      <c r="G3" s="58">
        <f>IF(SUMIFS(Data!$S:$S,Data!$A:$A,$B3,Data!$C:$C,G$1)=0,"",SUMIFS(Data!$S:$S,Data!$A:$A,$B3,Data!$C:$C,G$1))</f>
        <v>4</v>
      </c>
      <c r="H3" s="58">
        <f>IF(SUMIFS(Data!$S:$S,Data!$A:$A,$B3,Data!$C:$C,H$1)=0,"",SUMIFS(Data!$S:$S,Data!$A:$A,$B3,Data!$C:$C,H$1))</f>
        <v>5.2213333333333338</v>
      </c>
      <c r="I3" s="58">
        <f>IF(SUMIFS(Data!$S:$S,Data!$A:$A,$B3,Data!$C:$C,I$1)=0,"",SUMIFS(Data!$S:$S,Data!$A:$A,$B3,Data!$C:$C,I$1))</f>
        <v>3.6</v>
      </c>
      <c r="J3" s="58">
        <f>IF(SUMIFS(Data!$S:$S,Data!$A:$A,$B3,Data!$C:$C,J$1)=0,"",SUMIFS(Data!$S:$S,Data!$A:$A,$B3,Data!$C:$C,J$1))</f>
        <v>6.4249999999999998</v>
      </c>
      <c r="K3" s="58">
        <f>IF(SUMIFS(Data!$S:$S,Data!$A:$A,$B3,Data!$C:$C,K$1)=0,"",SUMIFS(Data!$S:$S,Data!$A:$A,$B3,Data!$C:$C,K$1))</f>
        <v>4.5186666666666664</v>
      </c>
      <c r="L3" s="58">
        <f>IF(SUMIFS(Data!$S:$S,Data!$A:$A,$B3,Data!$C:$C,L$1)=0,"",SUMIFS(Data!$S:$S,Data!$A:$A,$B3,Data!$C:$C,L$1))</f>
        <v>4.2123333333333335</v>
      </c>
      <c r="M3" s="58">
        <f>IF(SUMIFS(Data!$S:$S,Data!$A:$A,$B3,Data!$C:$C,M$1)=0,"",SUMIFS(Data!$S:$S,Data!$A:$A,$B3,Data!$C:$C,M$1))</f>
        <v>5.7249999999999996</v>
      </c>
      <c r="N3" s="58">
        <f>IF(SUMIFS(Data!$S:$S,Data!$A:$A,$B3,Data!$C:$C,N$1)=0,"",SUMIFS(Data!$S:$S,Data!$A:$A,$B3,Data!$C:$C,N$1))</f>
        <v>3.6656666666666666</v>
      </c>
      <c r="O3" s="58" t="str">
        <f>IF(SUMIFS(Data!$S:$S,Data!$A:$A,$B3,Data!$C:$C,O$1)=0,"",SUMIFS(Data!$S:$S,Data!$A:$A,$B3,Data!$C:$C,O$1))</f>
        <v/>
      </c>
      <c r="P3" s="58" t="str">
        <f>IF(SUMIFS(Data!$S:$S,Data!$A:$A,$B3,Data!$C:$C,P$1)=0,"",SUMIFS(Data!$S:$S,Data!$A:$A,$B3,Data!$C:$C,P$1))</f>
        <v/>
      </c>
      <c r="Q3" s="58" t="str">
        <f>IF(SUMIFS(Data!$S:$S,Data!$A:$A,$B3,Data!$C:$C,Q$1)=0,"",SUMIFS(Data!$S:$S,Data!$A:$A,$B3,Data!$C:$C,Q$1))</f>
        <v/>
      </c>
      <c r="R3" s="58">
        <f>IF(SUMIFS(Data!X:X,Data!A:A,B3)=12,5,IF(SUMIFS(Data!X:X,Data!A:A,B3)&gt;9,3,IF(SUMIFS(Data!X:X,Data!A:A,B3)&gt;4,1,0)))</f>
        <v>1</v>
      </c>
      <c r="S3" s="58">
        <f t="shared" ref="S3:S32" si="0">IF(COUNT(C3:Q3)=12,5,IF(COUNT(C3:Q3)=11,3,IF(COUNT(C3:Q3)=10,1,0)))</f>
        <v>5</v>
      </c>
      <c r="T3" s="58">
        <f t="shared" ref="T3:T32" si="1">SUM(C3:S3)</f>
        <v>63.524666666666668</v>
      </c>
      <c r="U3" s="58">
        <f>SUMIFS(Data!D:D,Data!A:A,B3)</f>
        <v>307.84999999999997</v>
      </c>
    </row>
    <row r="4" spans="1:21" ht="12.75">
      <c r="A4" s="57">
        <v>3</v>
      </c>
      <c r="B4" s="57" t="s">
        <v>82</v>
      </c>
      <c r="C4" s="58">
        <f>IF(SUMIFS(Data!$S:$S,Data!$A:$A,$B4,Data!$C:$C,C$1)=0,"",SUMIFS(Data!$S:$S,Data!$A:$A,$B4,Data!$C:$C,C$1))</f>
        <v>3.5</v>
      </c>
      <c r="D4" s="58">
        <f>IF(SUMIFS(Data!$S:$S,Data!$A:$A,$B4,Data!$C:$C,D$1)=0,"",SUMIFS(Data!$S:$S,Data!$A:$A,$B4,Data!$C:$C,D$1))</f>
        <v>3.125</v>
      </c>
      <c r="E4" s="58">
        <f>IF(SUMIFS(Data!$S:$S,Data!$A:$A,$B4,Data!$C:$C,E$1)=0,"",SUMIFS(Data!$S:$S,Data!$A:$A,$B4,Data!$C:$C,E$1))</f>
        <v>3.375</v>
      </c>
      <c r="F4" s="58">
        <f>IF(SUMIFS(Data!$S:$S,Data!$A:$A,$B4,Data!$C:$C,F$1)=0,"",SUMIFS(Data!$S:$S,Data!$A:$A,$B4,Data!$C:$C,F$1))</f>
        <v>3.125</v>
      </c>
      <c r="G4" s="58">
        <f>IF(SUMIFS(Data!$S:$S,Data!$A:$A,$B4,Data!$C:$C,G$1)=0,"",SUMIFS(Data!$S:$S,Data!$A:$A,$B4,Data!$C:$C,G$1))</f>
        <v>3</v>
      </c>
      <c r="H4" s="58">
        <f>IF(SUMIFS(Data!$S:$S,Data!$A:$A,$B4,Data!$C:$C,H$1)=0,"",SUMIFS(Data!$S:$S,Data!$A:$A,$B4,Data!$C:$C,H$1))</f>
        <v>4.0463333333333331</v>
      </c>
      <c r="I4" s="58">
        <f>IF(SUMIFS(Data!$S:$S,Data!$A:$A,$B4,Data!$C:$C,I$1)=0,"",SUMIFS(Data!$S:$S,Data!$A:$A,$B4,Data!$C:$C,I$1))</f>
        <v>5.1013333333333337</v>
      </c>
      <c r="J4" s="58">
        <f>IF(SUMIFS(Data!$S:$S,Data!$A:$A,$B4,Data!$C:$C,J$1)=0,"",SUMIFS(Data!$S:$S,Data!$A:$A,$B4,Data!$C:$C,J$1))</f>
        <v>4.4740000000000002</v>
      </c>
      <c r="K4" s="58">
        <f>IF(SUMIFS(Data!$S:$S,Data!$A:$A,$B4,Data!$C:$C,K$1)=0,"",SUMIFS(Data!$S:$S,Data!$A:$A,$B4,Data!$C:$C,K$1))</f>
        <v>4.4393333333333338</v>
      </c>
      <c r="L4" s="58">
        <f>IF(SUMIFS(Data!$S:$S,Data!$A:$A,$B4,Data!$C:$C,L$1)=0,"",SUMIFS(Data!$S:$S,Data!$A:$A,$B4,Data!$C:$C,L$1))</f>
        <v>8.6606666666666676</v>
      </c>
      <c r="M4" s="58">
        <f>IF(SUMIFS(Data!$S:$S,Data!$A:$A,$B4,Data!$C:$C,M$1)=0,"",SUMIFS(Data!$S:$S,Data!$A:$A,$B4,Data!$C:$C,M$1))</f>
        <v>2.875</v>
      </c>
      <c r="N4" s="58">
        <f>IF(SUMIFS(Data!$S:$S,Data!$A:$A,$B4,Data!$C:$C,N$1)=0,"",SUMIFS(Data!$S:$S,Data!$A:$A,$B4,Data!$C:$C,N$1))</f>
        <v>4.4523333333333337</v>
      </c>
      <c r="O4" s="58" t="str">
        <f>IF(SUMIFS(Data!$S:$S,Data!$A:$A,$B4,Data!$C:$C,O$1)=0,"",SUMIFS(Data!$S:$S,Data!$A:$A,$B4,Data!$C:$C,O$1))</f>
        <v/>
      </c>
      <c r="P4" s="58" t="str">
        <f>IF(SUMIFS(Data!$S:$S,Data!$A:$A,$B4,Data!$C:$C,P$1)=0,"",SUMIFS(Data!$S:$S,Data!$A:$A,$B4,Data!$C:$C,P$1))</f>
        <v/>
      </c>
      <c r="Q4" s="58" t="str">
        <f>IF(SUMIFS(Data!$S:$S,Data!$A:$A,$B4,Data!$C:$C,Q$1)=0,"",SUMIFS(Data!$S:$S,Data!$A:$A,$B4,Data!$C:$C,Q$1))</f>
        <v/>
      </c>
      <c r="R4" s="58">
        <f>IF(SUMIFS(Data!X:X,Data!A:A,B4)=12,5,IF(SUMIFS(Data!X:X,Data!A:A,B4)&gt;9,3,IF(SUMIFS(Data!X:X,Data!A:A,B4)&gt;4,1,0)))</f>
        <v>1</v>
      </c>
      <c r="S4" s="58">
        <f t="shared" si="0"/>
        <v>5</v>
      </c>
      <c r="T4" s="58">
        <f t="shared" si="1"/>
        <v>56.173999999999999</v>
      </c>
      <c r="U4" s="58">
        <f>SUMIFS(Data!D:D,Data!A:A,B4)</f>
        <v>329.49</v>
      </c>
    </row>
    <row r="5" spans="1:21" ht="12.75">
      <c r="A5" s="57">
        <v>4</v>
      </c>
      <c r="B5" s="57" t="s">
        <v>200</v>
      </c>
      <c r="C5" s="58">
        <f>IF(SUMIFS(Data!$S:$S,Data!$A:$A,$B5,Data!$C:$C,C$1)=0,"",SUMIFS(Data!$S:$S,Data!$A:$A,$B5,Data!$C:$C,C$1))</f>
        <v>3.2986666666666666</v>
      </c>
      <c r="D5" s="58">
        <f>IF(SUMIFS(Data!$S:$S,Data!$A:$A,$B5,Data!$C:$C,D$1)=0,"",SUMIFS(Data!$S:$S,Data!$A:$A,$B5,Data!$C:$C,D$1))</f>
        <v>4.375</v>
      </c>
      <c r="E5" s="58">
        <f>IF(SUMIFS(Data!$S:$S,Data!$A:$A,$B5,Data!$C:$C,E$1)=0,"",SUMIFS(Data!$S:$S,Data!$A:$A,$B5,Data!$C:$C,E$1))</f>
        <v>3.125</v>
      </c>
      <c r="F5" s="58">
        <f>IF(SUMIFS(Data!$S:$S,Data!$A:$A,$B5,Data!$C:$C,F$1)=0,"",SUMIFS(Data!$S:$S,Data!$A:$A,$B5,Data!$C:$C,F$1))</f>
        <v>3.75</v>
      </c>
      <c r="G5" s="58">
        <f>IF(SUMIFS(Data!$S:$S,Data!$A:$A,$B5,Data!$C:$C,G$1)=0,"",SUMIFS(Data!$S:$S,Data!$A:$A,$B5,Data!$C:$C,G$1))</f>
        <v>4.0999999999999996</v>
      </c>
      <c r="H5" s="58">
        <f>IF(SUMIFS(Data!$S:$S,Data!$A:$A,$B5,Data!$C:$C,H$1)=0,"",SUMIFS(Data!$S:$S,Data!$A:$A,$B5,Data!$C:$C,H$1))</f>
        <v>3.5</v>
      </c>
      <c r="I5" s="58">
        <f>IF(SUMIFS(Data!$S:$S,Data!$A:$A,$B5,Data!$C:$C,I$1)=0,"",SUMIFS(Data!$S:$S,Data!$A:$A,$B5,Data!$C:$C,I$1))</f>
        <v>3.875</v>
      </c>
      <c r="J5" s="58">
        <f>IF(SUMIFS(Data!$S:$S,Data!$A:$A,$B5,Data!$C:$C,J$1)=0,"",SUMIFS(Data!$S:$S,Data!$A:$A,$B5,Data!$C:$C,J$1))</f>
        <v>4.0473333333333334</v>
      </c>
      <c r="K5" s="58">
        <f>IF(SUMIFS(Data!$S:$S,Data!$A:$A,$B5,Data!$C:$C,K$1)=0,"",SUMIFS(Data!$S:$S,Data!$A:$A,$B5,Data!$C:$C,K$1))</f>
        <v>3.375</v>
      </c>
      <c r="L5" s="58">
        <f>IF(SUMIFS(Data!$S:$S,Data!$A:$A,$B5,Data!$C:$C,L$1)=0,"",SUMIFS(Data!$S:$S,Data!$A:$A,$B5,Data!$C:$C,L$1))</f>
        <v>4.1406666666666663</v>
      </c>
      <c r="M5" s="58">
        <f>IF(SUMIFS(Data!$S:$S,Data!$A:$A,$B5,Data!$C:$C,M$1)=0,"",SUMIFS(Data!$S:$S,Data!$A:$A,$B5,Data!$C:$C,M$1))</f>
        <v>4.5750000000000002</v>
      </c>
      <c r="N5" s="58">
        <f>IF(SUMIFS(Data!$S:$S,Data!$A:$A,$B5,Data!$C:$C,N$1)=0,"",SUMIFS(Data!$S:$S,Data!$A:$A,$B5,Data!$C:$C,N$1))</f>
        <v>3.85</v>
      </c>
      <c r="O5" s="58" t="str">
        <f>IF(SUMIFS(Data!$S:$S,Data!$A:$A,$B5,Data!$C:$C,O$1)=0,"",SUMIFS(Data!$S:$S,Data!$A:$A,$B5,Data!$C:$C,O$1))</f>
        <v/>
      </c>
      <c r="P5" s="58" t="str">
        <f>IF(SUMIFS(Data!$S:$S,Data!$A:$A,$B5,Data!$C:$C,P$1)=0,"",SUMIFS(Data!$S:$S,Data!$A:$A,$B5,Data!$C:$C,P$1))</f>
        <v/>
      </c>
      <c r="Q5" s="58" t="str">
        <f>IF(SUMIFS(Data!$S:$S,Data!$A:$A,$B5,Data!$C:$C,Q$1)=0,"",SUMIFS(Data!$S:$S,Data!$A:$A,$B5,Data!$C:$C,Q$1))</f>
        <v/>
      </c>
      <c r="R5" s="58">
        <f>IF(SUMIFS(Data!X:X,Data!A:A,B5)=12,5,IF(SUMIFS(Data!X:X,Data!A:A,B5)&gt;9,3,IF(SUMIFS(Data!X:X,Data!A:A,B5)&gt;4,1,0)))</f>
        <v>5</v>
      </c>
      <c r="S5" s="58">
        <f t="shared" si="0"/>
        <v>5</v>
      </c>
      <c r="T5" s="58">
        <f t="shared" si="1"/>
        <v>56.01166666666667</v>
      </c>
      <c r="U5" s="58">
        <f>SUMIFS(Data!D:D,Data!A:A,B5)</f>
        <v>250.85999999999996</v>
      </c>
    </row>
    <row r="6" spans="1:21" ht="12.75">
      <c r="A6" s="57">
        <v>5</v>
      </c>
      <c r="B6" s="57" t="s">
        <v>171</v>
      </c>
      <c r="C6" s="58">
        <f>IF(SUMIFS(Data!$S:$S,Data!$A:$A,$B6,Data!$C:$C,C$1)=0,"",SUMIFS(Data!$S:$S,Data!$A:$A,$B6,Data!$C:$C,C$1))</f>
        <v>3.75</v>
      </c>
      <c r="D6" s="58">
        <f>IF(SUMIFS(Data!$S:$S,Data!$A:$A,$B6,Data!$C:$C,D$1)=0,"",SUMIFS(Data!$S:$S,Data!$A:$A,$B6,Data!$C:$C,D$1))</f>
        <v>3.6923333333333335</v>
      </c>
      <c r="E6" s="58">
        <f>IF(SUMIFS(Data!$S:$S,Data!$A:$A,$B6,Data!$C:$C,E$1)=0,"",SUMIFS(Data!$S:$S,Data!$A:$A,$B6,Data!$C:$C,E$1))</f>
        <v>3.375</v>
      </c>
      <c r="F6" s="58">
        <f>IF(SUMIFS(Data!$S:$S,Data!$A:$A,$B6,Data!$C:$C,F$1)=0,"",SUMIFS(Data!$S:$S,Data!$A:$A,$B6,Data!$C:$C,F$1))</f>
        <v>2.875</v>
      </c>
      <c r="G6" s="58">
        <f>IF(SUMIFS(Data!$S:$S,Data!$A:$A,$B6,Data!$C:$C,G$1)=0,"",SUMIFS(Data!$S:$S,Data!$A:$A,$B6,Data!$C:$C,G$1))</f>
        <v>4</v>
      </c>
      <c r="H6" s="58">
        <f>IF(SUMIFS(Data!$S:$S,Data!$A:$A,$B6,Data!$C:$C,H$1)=0,"",SUMIFS(Data!$S:$S,Data!$A:$A,$B6,Data!$C:$C,H$1))</f>
        <v>4.0060000000000002</v>
      </c>
      <c r="I6" s="58">
        <f>IF(SUMIFS(Data!$S:$S,Data!$A:$A,$B6,Data!$C:$C,I$1)=0,"",SUMIFS(Data!$S:$S,Data!$A:$A,$B6,Data!$C:$C,I$1))</f>
        <v>4</v>
      </c>
      <c r="J6" s="58">
        <f>IF(SUMIFS(Data!$S:$S,Data!$A:$A,$B6,Data!$C:$C,J$1)=0,"",SUMIFS(Data!$S:$S,Data!$A:$A,$B6,Data!$C:$C,J$1))</f>
        <v>4.254666666666667</v>
      </c>
      <c r="K6" s="58">
        <f>IF(SUMIFS(Data!$S:$S,Data!$A:$A,$B6,Data!$C:$C,K$1)=0,"",SUMIFS(Data!$S:$S,Data!$A:$A,$B6,Data!$C:$C,K$1))</f>
        <v>3.75</v>
      </c>
      <c r="L6" s="58">
        <f>IF(SUMIFS(Data!$S:$S,Data!$A:$A,$B6,Data!$C:$C,L$1)=0,"",SUMIFS(Data!$S:$S,Data!$A:$A,$B6,Data!$C:$C,L$1))</f>
        <v>3.375</v>
      </c>
      <c r="M6" s="58">
        <f>IF(SUMIFS(Data!$S:$S,Data!$A:$A,$B6,Data!$C:$C,M$1)=0,"",SUMIFS(Data!$S:$S,Data!$A:$A,$B6,Data!$C:$C,M$1))</f>
        <v>4</v>
      </c>
      <c r="N6" s="58">
        <f>IF(SUMIFS(Data!$S:$S,Data!$A:$A,$B6,Data!$C:$C,N$1)=0,"",SUMIFS(Data!$S:$S,Data!$A:$A,$B6,Data!$C:$C,N$1))</f>
        <v>3.875</v>
      </c>
      <c r="O6" s="58" t="str">
        <f>IF(SUMIFS(Data!$S:$S,Data!$A:$A,$B6,Data!$C:$C,O$1)=0,"",SUMIFS(Data!$S:$S,Data!$A:$A,$B6,Data!$C:$C,O$1))</f>
        <v/>
      </c>
      <c r="P6" s="58" t="str">
        <f>IF(SUMIFS(Data!$S:$S,Data!$A:$A,$B6,Data!$C:$C,P$1)=0,"",SUMIFS(Data!$S:$S,Data!$A:$A,$B6,Data!$C:$C,P$1))</f>
        <v/>
      </c>
      <c r="Q6" s="58" t="str">
        <f>IF(SUMIFS(Data!$S:$S,Data!$A:$A,$B6,Data!$C:$C,Q$1)=0,"",SUMIFS(Data!$S:$S,Data!$A:$A,$B6,Data!$C:$C,Q$1))</f>
        <v/>
      </c>
      <c r="R6" s="58">
        <f>IF(SUMIFS(Data!X:X,Data!A:A,B6)=12,5,IF(SUMIFS(Data!X:X,Data!A:A,B6)&gt;9,3,IF(SUMIFS(Data!X:X,Data!A:A,B6)&gt;4,1,0)))</f>
        <v>5</v>
      </c>
      <c r="S6" s="58">
        <f t="shared" si="0"/>
        <v>5</v>
      </c>
      <c r="T6" s="58">
        <f t="shared" si="1"/>
        <v>54.953000000000003</v>
      </c>
      <c r="U6" s="58">
        <f>SUMIFS(Data!D:D,Data!A:A,B6)</f>
        <v>206.47000000000006</v>
      </c>
    </row>
    <row r="7" spans="1:21" ht="12.75">
      <c r="A7" s="57">
        <v>6</v>
      </c>
      <c r="B7" s="57" t="s">
        <v>60</v>
      </c>
      <c r="C7" s="58">
        <f>IF(SUMIFS(Data!$S:$S,Data!$A:$A,$B7,Data!$C:$C,C$1)=0,"",SUMIFS(Data!$S:$S,Data!$A:$A,$B7,Data!$C:$C,C$1))</f>
        <v>3.75</v>
      </c>
      <c r="D7" s="58">
        <f>IF(SUMIFS(Data!$S:$S,Data!$A:$A,$B7,Data!$C:$C,D$1)=0,"",SUMIFS(Data!$S:$S,Data!$A:$A,$B7,Data!$C:$C,D$1))</f>
        <v>3.875</v>
      </c>
      <c r="E7" s="58">
        <f>IF(SUMIFS(Data!$S:$S,Data!$A:$A,$B7,Data!$C:$C,E$1)=0,"",SUMIFS(Data!$S:$S,Data!$A:$A,$B7,Data!$C:$C,E$1))</f>
        <v>3.375</v>
      </c>
      <c r="F7" s="58">
        <f>IF(SUMIFS(Data!$S:$S,Data!$A:$A,$B7,Data!$C:$C,F$1)=0,"",SUMIFS(Data!$S:$S,Data!$A:$A,$B7,Data!$C:$C,F$1))</f>
        <v>4</v>
      </c>
      <c r="G7" s="58">
        <f>IF(SUMIFS(Data!$S:$S,Data!$A:$A,$B7,Data!$C:$C,G$1)=0,"",SUMIFS(Data!$S:$S,Data!$A:$A,$B7,Data!$C:$C,G$1))</f>
        <v>3.875</v>
      </c>
      <c r="H7" s="58">
        <f>IF(SUMIFS(Data!$S:$S,Data!$A:$A,$B7,Data!$C:$C,H$1)=0,"",SUMIFS(Data!$S:$S,Data!$A:$A,$B7,Data!$C:$C,H$1))</f>
        <v>3.25</v>
      </c>
      <c r="I7" s="58">
        <f>IF(SUMIFS(Data!$S:$S,Data!$A:$A,$B7,Data!$C:$C,I$1)=0,"",SUMIFS(Data!$S:$S,Data!$A:$A,$B7,Data!$C:$C,I$1))</f>
        <v>4</v>
      </c>
      <c r="J7" s="58">
        <f>IF(SUMIFS(Data!$S:$S,Data!$A:$A,$B7,Data!$C:$C,J$1)=0,"",SUMIFS(Data!$S:$S,Data!$A:$A,$B7,Data!$C:$C,J$1))</f>
        <v>3.875</v>
      </c>
      <c r="K7" s="58">
        <f>IF(SUMIFS(Data!$S:$S,Data!$A:$A,$B7,Data!$C:$C,K$1)=0,"",SUMIFS(Data!$S:$S,Data!$A:$A,$B7,Data!$C:$C,K$1))</f>
        <v>3.25</v>
      </c>
      <c r="L7" s="58">
        <f>IF(SUMIFS(Data!$S:$S,Data!$A:$A,$B7,Data!$C:$C,L$1)=0,"",SUMIFS(Data!$S:$S,Data!$A:$A,$B7,Data!$C:$C,L$1))</f>
        <v>3.6996666666666669</v>
      </c>
      <c r="M7" s="58">
        <f>IF(SUMIFS(Data!$S:$S,Data!$A:$A,$B7,Data!$C:$C,M$1)=0,"",SUMIFS(Data!$S:$S,Data!$A:$A,$B7,Data!$C:$C,M$1))</f>
        <v>3.875</v>
      </c>
      <c r="N7" s="58">
        <f>IF(SUMIFS(Data!$S:$S,Data!$A:$A,$B7,Data!$C:$C,N$1)=0,"",SUMIFS(Data!$S:$S,Data!$A:$A,$B7,Data!$C:$C,N$1))</f>
        <v>3.375</v>
      </c>
      <c r="O7" s="58" t="str">
        <f>IF(SUMIFS(Data!$S:$S,Data!$A:$A,$B7,Data!$C:$C,O$1)=0,"",SUMIFS(Data!$S:$S,Data!$A:$A,$B7,Data!$C:$C,O$1))</f>
        <v/>
      </c>
      <c r="P7" s="58" t="str">
        <f>IF(SUMIFS(Data!$S:$S,Data!$A:$A,$B7,Data!$C:$C,P$1)=0,"",SUMIFS(Data!$S:$S,Data!$A:$A,$B7,Data!$C:$C,P$1))</f>
        <v/>
      </c>
      <c r="Q7" s="58" t="str">
        <f>IF(SUMIFS(Data!$S:$S,Data!$A:$A,$B7,Data!$C:$C,Q$1)=0,"",SUMIFS(Data!$S:$S,Data!$A:$A,$B7,Data!$C:$C,Q$1))</f>
        <v/>
      </c>
      <c r="R7" s="58">
        <f>IF(SUMIFS(Data!X:X,Data!A:A,B7)=12,5,IF(SUMIFS(Data!X:X,Data!A:A,B7)&gt;9,3,IF(SUMIFS(Data!X:X,Data!A:A,B7)&gt;4,1,0)))</f>
        <v>5</v>
      </c>
      <c r="S7" s="58">
        <f t="shared" si="0"/>
        <v>5</v>
      </c>
      <c r="T7" s="58">
        <f t="shared" si="1"/>
        <v>54.199666666666666</v>
      </c>
      <c r="U7" s="58">
        <f>SUMIFS(Data!D:D,Data!A:A,B7)</f>
        <v>286.89</v>
      </c>
    </row>
    <row r="8" spans="1:21" ht="12.75">
      <c r="A8" s="57">
        <v>7</v>
      </c>
      <c r="B8" s="57" t="s">
        <v>47</v>
      </c>
      <c r="C8" s="58">
        <f>IF(SUMIFS(Data!$S:$S,Data!$A:$A,$B8,Data!$C:$C,C$1)=0,"",SUMIFS(Data!$S:$S,Data!$A:$A,$B8,Data!$C:$C,C$1))</f>
        <v>4.125</v>
      </c>
      <c r="D8" s="58">
        <f>IF(SUMIFS(Data!$S:$S,Data!$A:$A,$B8,Data!$C:$C,D$1)=0,"",SUMIFS(Data!$S:$S,Data!$A:$A,$B8,Data!$C:$C,D$1))</f>
        <v>4.125</v>
      </c>
      <c r="E8" s="58">
        <f>IF(SUMIFS(Data!$S:$S,Data!$A:$A,$B8,Data!$C:$C,E$1)=0,"",SUMIFS(Data!$S:$S,Data!$A:$A,$B8,Data!$C:$C,E$1))</f>
        <v>3.125</v>
      </c>
      <c r="F8" s="58">
        <f>IF(SUMIFS(Data!$S:$S,Data!$A:$A,$B8,Data!$C:$C,F$1)=0,"",SUMIFS(Data!$S:$S,Data!$A:$A,$B8,Data!$C:$C,F$1))</f>
        <v>3.375</v>
      </c>
      <c r="G8" s="58">
        <f>IF(SUMIFS(Data!$S:$S,Data!$A:$A,$B8,Data!$C:$C,G$1)=0,"",SUMIFS(Data!$S:$S,Data!$A:$A,$B8,Data!$C:$C,G$1))</f>
        <v>3.375</v>
      </c>
      <c r="H8" s="58">
        <f>IF(SUMIFS(Data!$S:$S,Data!$A:$A,$B8,Data!$C:$C,H$1)=0,"",SUMIFS(Data!$S:$S,Data!$A:$A,$B8,Data!$C:$C,H$1))</f>
        <v>4</v>
      </c>
      <c r="I8" s="58">
        <f>IF(SUMIFS(Data!$S:$S,Data!$A:$A,$B8,Data!$C:$C,I$1)=0,"",SUMIFS(Data!$S:$S,Data!$A:$A,$B8,Data!$C:$C,I$1))</f>
        <v>4</v>
      </c>
      <c r="J8" s="58">
        <f>IF(SUMIFS(Data!$S:$S,Data!$A:$A,$B8,Data!$C:$C,J$1)=0,"",SUMIFS(Data!$S:$S,Data!$A:$A,$B8,Data!$C:$C,J$1))</f>
        <v>3</v>
      </c>
      <c r="K8" s="58">
        <f>IF(SUMIFS(Data!$S:$S,Data!$A:$A,$B8,Data!$C:$C,K$1)=0,"",SUMIFS(Data!$S:$S,Data!$A:$A,$B8,Data!$C:$C,K$1))</f>
        <v>3.125</v>
      </c>
      <c r="L8" s="58">
        <f>IF(SUMIFS(Data!$S:$S,Data!$A:$A,$B8,Data!$C:$C,L$1)=0,"",SUMIFS(Data!$S:$S,Data!$A:$A,$B8,Data!$C:$C,L$1))</f>
        <v>3.25</v>
      </c>
      <c r="M8" s="58">
        <f>IF(SUMIFS(Data!$S:$S,Data!$A:$A,$B8,Data!$C:$C,M$1)=0,"",SUMIFS(Data!$S:$S,Data!$A:$A,$B8,Data!$C:$C,M$1))</f>
        <v>4.3753333333333329</v>
      </c>
      <c r="N8" s="58">
        <f>IF(SUMIFS(Data!$S:$S,Data!$A:$A,$B8,Data!$C:$C,N$1)=0,"",SUMIFS(Data!$S:$S,Data!$A:$A,$B8,Data!$C:$C,N$1))</f>
        <v>2.75</v>
      </c>
      <c r="O8" s="58" t="str">
        <f>IF(SUMIFS(Data!$S:$S,Data!$A:$A,$B8,Data!$C:$C,O$1)=0,"",SUMIFS(Data!$S:$S,Data!$A:$A,$B8,Data!$C:$C,O$1))</f>
        <v/>
      </c>
      <c r="P8" s="58" t="str">
        <f>IF(SUMIFS(Data!$S:$S,Data!$A:$A,$B8,Data!$C:$C,P$1)=0,"",SUMIFS(Data!$S:$S,Data!$A:$A,$B8,Data!$C:$C,P$1))</f>
        <v/>
      </c>
      <c r="Q8" s="58" t="str">
        <f>IF(SUMIFS(Data!$S:$S,Data!$A:$A,$B8,Data!$C:$C,Q$1)=0,"",SUMIFS(Data!$S:$S,Data!$A:$A,$B8,Data!$C:$C,Q$1))</f>
        <v/>
      </c>
      <c r="R8" s="58">
        <f>IF(SUMIFS(Data!X:X,Data!A:A,B8)=12,5,IF(SUMIFS(Data!X:X,Data!A:A,B8)&gt;9,3,IF(SUMIFS(Data!X:X,Data!A:A,B8)&gt;4,1,0)))</f>
        <v>5</v>
      </c>
      <c r="S8" s="58">
        <f t="shared" si="0"/>
        <v>5</v>
      </c>
      <c r="T8" s="58">
        <f t="shared" si="1"/>
        <v>52.62533333333333</v>
      </c>
      <c r="U8" s="58">
        <f>SUMIFS(Data!D:D,Data!A:A,B8)</f>
        <v>210.38000000000002</v>
      </c>
    </row>
    <row r="9" spans="1:21" ht="12.75">
      <c r="A9" s="57">
        <v>8</v>
      </c>
      <c r="B9" s="57" t="s">
        <v>115</v>
      </c>
      <c r="C9" s="58">
        <f>IF(SUMIFS(Data!$S:$S,Data!$A:$A,$B9,Data!$C:$C,C$1)=0,"",SUMIFS(Data!$S:$S,Data!$A:$A,$B9,Data!$C:$C,C$1))</f>
        <v>4.0419999999999998</v>
      </c>
      <c r="D9" s="58">
        <f>IF(SUMIFS(Data!$S:$S,Data!$A:$A,$B9,Data!$C:$C,D$1)=0,"",SUMIFS(Data!$S:$S,Data!$A:$A,$B9,Data!$C:$C,D$1))</f>
        <v>3.0116666666666667</v>
      </c>
      <c r="E9" s="58">
        <f>IF(SUMIFS(Data!$S:$S,Data!$A:$A,$B9,Data!$C:$C,E$1)=0,"",SUMIFS(Data!$S:$S,Data!$A:$A,$B9,Data!$C:$C,E$1))</f>
        <v>2.4673333333333334</v>
      </c>
      <c r="F9" s="58">
        <f>IF(SUMIFS(Data!$S:$S,Data!$A:$A,$B9,Data!$C:$C,F$1)=0,"",SUMIFS(Data!$S:$S,Data!$A:$A,$B9,Data!$C:$C,F$1))</f>
        <v>3.5833333333333335</v>
      </c>
      <c r="G9" s="58">
        <f>IF(SUMIFS(Data!$S:$S,Data!$A:$A,$B9,Data!$C:$C,G$1)=0,"",SUMIFS(Data!$S:$S,Data!$A:$A,$B9,Data!$C:$C,G$1))</f>
        <v>4.0969999999999995</v>
      </c>
      <c r="H9" s="58">
        <f>IF(SUMIFS(Data!$S:$S,Data!$A:$A,$B9,Data!$C:$C,H$1)=0,"",SUMIFS(Data!$S:$S,Data!$A:$A,$B9,Data!$C:$C,H$1))</f>
        <v>6.9909999999999997</v>
      </c>
      <c r="I9" s="58">
        <f>IF(SUMIFS(Data!$S:$S,Data!$A:$A,$B9,Data!$C:$C,I$1)=0,"",SUMIFS(Data!$S:$S,Data!$A:$A,$B9,Data!$C:$C,I$1))</f>
        <v>2.625</v>
      </c>
      <c r="J9" s="58">
        <f>IF(SUMIFS(Data!$S:$S,Data!$A:$A,$B9,Data!$C:$C,J$1)=0,"",SUMIFS(Data!$S:$S,Data!$A:$A,$B9,Data!$C:$C,J$1))</f>
        <v>3.125</v>
      </c>
      <c r="K9" s="58">
        <f>IF(SUMIFS(Data!$S:$S,Data!$A:$A,$B9,Data!$C:$C,K$1)=0,"",SUMIFS(Data!$S:$S,Data!$A:$A,$B9,Data!$C:$C,K$1))</f>
        <v>2.875</v>
      </c>
      <c r="L9" s="58">
        <f>IF(SUMIFS(Data!$S:$S,Data!$A:$A,$B9,Data!$C:$C,L$1)=0,"",SUMIFS(Data!$S:$S,Data!$A:$A,$B9,Data!$C:$C,L$1))</f>
        <v>4.0066666666666659</v>
      </c>
      <c r="M9" s="58">
        <f>IF(SUMIFS(Data!$S:$S,Data!$A:$A,$B9,Data!$C:$C,M$1)=0,"",SUMIFS(Data!$S:$S,Data!$A:$A,$B9,Data!$C:$C,M$1))</f>
        <v>4.7053333333333338</v>
      </c>
      <c r="N9" s="58">
        <f>IF(SUMIFS(Data!$S:$S,Data!$A:$A,$B9,Data!$C:$C,N$1)=0,"",SUMIFS(Data!$S:$S,Data!$A:$A,$B9,Data!$C:$C,N$1))</f>
        <v>4.9959999999999996</v>
      </c>
      <c r="O9" s="58" t="str">
        <f>IF(SUMIFS(Data!$S:$S,Data!$A:$A,$B9,Data!$C:$C,O$1)=0,"",SUMIFS(Data!$S:$S,Data!$A:$A,$B9,Data!$C:$C,O$1))</f>
        <v/>
      </c>
      <c r="P9" s="58" t="str">
        <f>IF(SUMIFS(Data!$S:$S,Data!$A:$A,$B9,Data!$C:$C,P$1)=0,"",SUMIFS(Data!$S:$S,Data!$A:$A,$B9,Data!$C:$C,P$1))</f>
        <v/>
      </c>
      <c r="Q9" s="58" t="str">
        <f>IF(SUMIFS(Data!$S:$S,Data!$A:$A,$B9,Data!$C:$C,Q$1)=0,"",SUMIFS(Data!$S:$S,Data!$A:$A,$B9,Data!$C:$C,Q$1))</f>
        <v/>
      </c>
      <c r="R9" s="58">
        <f>IF(SUMIFS(Data!X:X,Data!A:A,B9)=12,5,IF(SUMIFS(Data!X:X,Data!A:A,B9)&gt;9,3,IF(SUMIFS(Data!X:X,Data!A:A,B9)&gt;4,1,0)))</f>
        <v>0</v>
      </c>
      <c r="S9" s="58">
        <f t="shared" si="0"/>
        <v>5</v>
      </c>
      <c r="T9" s="58">
        <f t="shared" si="1"/>
        <v>51.525333333333343</v>
      </c>
      <c r="U9" s="58">
        <f>SUMIFS(Data!D:D,Data!A:A,B9)</f>
        <v>360.09</v>
      </c>
    </row>
    <row r="10" spans="1:21" ht="12.75">
      <c r="A10" s="57">
        <v>9</v>
      </c>
      <c r="B10" s="57" t="s">
        <v>68</v>
      </c>
      <c r="C10" s="58">
        <f>IF(SUMIFS(Data!$S:$S,Data!$A:$A,$B10,Data!$C:$C,C$1)=0,"",SUMIFS(Data!$S:$S,Data!$A:$A,$B10,Data!$C:$C,C$1))</f>
        <v>2.625</v>
      </c>
      <c r="D10" s="58">
        <f>IF(SUMIFS(Data!$S:$S,Data!$A:$A,$B10,Data!$C:$C,D$1)=0,"",SUMIFS(Data!$S:$S,Data!$A:$A,$B10,Data!$C:$C,D$1))</f>
        <v>3.6</v>
      </c>
      <c r="E10" s="58">
        <f>IF(SUMIFS(Data!$S:$S,Data!$A:$A,$B10,Data!$C:$C,E$1)=0,"",SUMIFS(Data!$S:$S,Data!$A:$A,$B10,Data!$C:$C,E$1))</f>
        <v>3.375</v>
      </c>
      <c r="F10" s="58">
        <f>IF(SUMIFS(Data!$S:$S,Data!$A:$A,$B10,Data!$C:$C,F$1)=0,"",SUMIFS(Data!$S:$S,Data!$A:$A,$B10,Data!$C:$C,F$1))</f>
        <v>3.4636666666666667</v>
      </c>
      <c r="G10" s="58">
        <f>IF(SUMIFS(Data!$S:$S,Data!$A:$A,$B10,Data!$C:$C,G$1)=0,"",SUMIFS(Data!$S:$S,Data!$A:$A,$B10,Data!$C:$C,G$1))</f>
        <v>3.375</v>
      </c>
      <c r="H10" s="58">
        <f>IF(SUMIFS(Data!$S:$S,Data!$A:$A,$B10,Data!$C:$C,H$1)=0,"",SUMIFS(Data!$S:$S,Data!$A:$A,$B10,Data!$C:$C,H$1))</f>
        <v>3.125</v>
      </c>
      <c r="I10" s="58">
        <f>IF(SUMIFS(Data!$S:$S,Data!$A:$A,$B10,Data!$C:$C,I$1)=0,"",SUMIFS(Data!$S:$S,Data!$A:$A,$B10,Data!$C:$C,I$1))</f>
        <v>4.0860000000000003</v>
      </c>
      <c r="J10" s="58">
        <f>IF(SUMIFS(Data!$S:$S,Data!$A:$A,$B10,Data!$C:$C,J$1)=0,"",SUMIFS(Data!$S:$S,Data!$A:$A,$B10,Data!$C:$C,J$1))</f>
        <v>2.5720000000000001</v>
      </c>
      <c r="K10" s="58">
        <f>IF(SUMIFS(Data!$S:$S,Data!$A:$A,$B10,Data!$C:$C,K$1)=0,"",SUMIFS(Data!$S:$S,Data!$A:$A,$B10,Data!$C:$C,K$1))</f>
        <v>4.7043333333333326</v>
      </c>
      <c r="L10" s="58">
        <f>IF(SUMIFS(Data!$S:$S,Data!$A:$A,$B10,Data!$C:$C,L$1)=0,"",SUMIFS(Data!$S:$S,Data!$A:$A,$B10,Data!$C:$C,L$1))</f>
        <v>2.625</v>
      </c>
      <c r="M10" s="58">
        <f>IF(SUMIFS(Data!$S:$S,Data!$A:$A,$B10,Data!$C:$C,M$1)=0,"",SUMIFS(Data!$S:$S,Data!$A:$A,$B10,Data!$C:$C,M$1))</f>
        <v>4</v>
      </c>
      <c r="N10" s="58">
        <f>IF(SUMIFS(Data!$S:$S,Data!$A:$A,$B10,Data!$C:$C,N$1)=0,"",SUMIFS(Data!$S:$S,Data!$A:$A,$B10,Data!$C:$C,N$1))</f>
        <v>3</v>
      </c>
      <c r="O10" s="58" t="str">
        <f>IF(SUMIFS(Data!$S:$S,Data!$A:$A,$B10,Data!$C:$C,O$1)=0,"",SUMIFS(Data!$S:$S,Data!$A:$A,$B10,Data!$C:$C,O$1))</f>
        <v/>
      </c>
      <c r="P10" s="58" t="str">
        <f>IF(SUMIFS(Data!$S:$S,Data!$A:$A,$B10,Data!$C:$C,P$1)=0,"",SUMIFS(Data!$S:$S,Data!$A:$A,$B10,Data!$C:$C,P$1))</f>
        <v/>
      </c>
      <c r="Q10" s="58" t="str">
        <f>IF(SUMIFS(Data!$S:$S,Data!$A:$A,$B10,Data!$C:$C,Q$1)=0,"",SUMIFS(Data!$S:$S,Data!$A:$A,$B10,Data!$C:$C,Q$1))</f>
        <v/>
      </c>
      <c r="R10" s="58">
        <f>IF(SUMIFS(Data!X:X,Data!A:A,B10)=12,5,IF(SUMIFS(Data!X:X,Data!A:A,B10)&gt;9,3,IF(SUMIFS(Data!X:X,Data!A:A,B10)&gt;4,1,0)))</f>
        <v>3</v>
      </c>
      <c r="S10" s="58">
        <f t="shared" si="0"/>
        <v>5</v>
      </c>
      <c r="T10" s="58">
        <f t="shared" si="1"/>
        <v>48.551000000000002</v>
      </c>
      <c r="U10" s="58">
        <f>SUMIFS(Data!D:D,Data!A:A,B10)</f>
        <v>185.70999999999998</v>
      </c>
    </row>
    <row r="11" spans="1:21" ht="12.75">
      <c r="A11" s="57">
        <v>10</v>
      </c>
      <c r="B11" s="57" t="s">
        <v>86</v>
      </c>
      <c r="C11" s="58">
        <f>IF(SUMIFS(Data!$S:$S,Data!$A:$A,$B11,Data!$C:$C,C$1)=0,"",SUMIFS(Data!$S:$S,Data!$A:$A,$B11,Data!$C:$C,C$1))</f>
        <v>2.75</v>
      </c>
      <c r="D11" s="58">
        <f>IF(SUMIFS(Data!$S:$S,Data!$A:$A,$B11,Data!$C:$C,D$1)=0,"",SUMIFS(Data!$S:$S,Data!$A:$A,$B11,Data!$C:$C,D$1))</f>
        <v>3.5</v>
      </c>
      <c r="E11" s="58">
        <f>IF(SUMIFS(Data!$S:$S,Data!$A:$A,$B11,Data!$C:$C,E$1)=0,"",SUMIFS(Data!$S:$S,Data!$A:$A,$B11,Data!$C:$C,E$1))</f>
        <v>2.5</v>
      </c>
      <c r="F11" s="58">
        <f>IF(SUMIFS(Data!$S:$S,Data!$A:$A,$B11,Data!$C:$C,F$1)=0,"",SUMIFS(Data!$S:$S,Data!$A:$A,$B11,Data!$C:$C,F$1))</f>
        <v>5.7830000000000004</v>
      </c>
      <c r="G11" s="58">
        <f>IF(SUMIFS(Data!$S:$S,Data!$A:$A,$B11,Data!$C:$C,G$1)=0,"",SUMIFS(Data!$S:$S,Data!$A:$A,$B11,Data!$C:$C,G$1))</f>
        <v>2.875</v>
      </c>
      <c r="H11" s="58">
        <f>IF(SUMIFS(Data!$S:$S,Data!$A:$A,$B11,Data!$C:$C,H$1)=0,"",SUMIFS(Data!$S:$S,Data!$A:$A,$B11,Data!$C:$C,H$1))</f>
        <v>2.625</v>
      </c>
      <c r="I11" s="58">
        <f>IF(SUMIFS(Data!$S:$S,Data!$A:$A,$B11,Data!$C:$C,I$1)=0,"",SUMIFS(Data!$S:$S,Data!$A:$A,$B11,Data!$C:$C,I$1))</f>
        <v>3.9750000000000001</v>
      </c>
      <c r="J11" s="58">
        <f>IF(SUMIFS(Data!$S:$S,Data!$A:$A,$B11,Data!$C:$C,J$1)=0,"",SUMIFS(Data!$S:$S,Data!$A:$A,$B11,Data!$C:$C,J$1))</f>
        <v>5.0393333333333334</v>
      </c>
      <c r="K11" s="58">
        <f>IF(SUMIFS(Data!$S:$S,Data!$A:$A,$B11,Data!$C:$C,K$1)=0,"",SUMIFS(Data!$S:$S,Data!$A:$A,$B11,Data!$C:$C,K$1))</f>
        <v>2.625</v>
      </c>
      <c r="L11" s="58">
        <f>IF(SUMIFS(Data!$S:$S,Data!$A:$A,$B11,Data!$C:$C,L$1)=0,"",SUMIFS(Data!$S:$S,Data!$A:$A,$B11,Data!$C:$C,L$1))</f>
        <v>4.6073333333333331</v>
      </c>
      <c r="M11" s="58">
        <f>IF(SUMIFS(Data!$S:$S,Data!$A:$A,$B11,Data!$C:$C,M$1)=0,"",SUMIFS(Data!$S:$S,Data!$A:$A,$B11,Data!$C:$C,M$1))</f>
        <v>3.125</v>
      </c>
      <c r="N11" s="58">
        <f>IF(SUMIFS(Data!$S:$S,Data!$A:$A,$B11,Data!$C:$C,N$1)=0,"",SUMIFS(Data!$S:$S,Data!$A:$A,$B11,Data!$C:$C,N$1))</f>
        <v>2.875</v>
      </c>
      <c r="O11" s="58" t="str">
        <f>IF(SUMIFS(Data!$S:$S,Data!$A:$A,$B11,Data!$C:$C,O$1)=0,"",SUMIFS(Data!$S:$S,Data!$A:$A,$B11,Data!$C:$C,O$1))</f>
        <v/>
      </c>
      <c r="P11" s="58" t="str">
        <f>IF(SUMIFS(Data!$S:$S,Data!$A:$A,$B11,Data!$C:$C,P$1)=0,"",SUMIFS(Data!$S:$S,Data!$A:$A,$B11,Data!$C:$C,P$1))</f>
        <v/>
      </c>
      <c r="Q11" s="58" t="str">
        <f>IF(SUMIFS(Data!$S:$S,Data!$A:$A,$B11,Data!$C:$C,Q$1)=0,"",SUMIFS(Data!$S:$S,Data!$A:$A,$B11,Data!$C:$C,Q$1))</f>
        <v/>
      </c>
      <c r="R11" s="58">
        <f>IF(SUMIFS(Data!X:X,Data!A:A,B11)=12,5,IF(SUMIFS(Data!X:X,Data!A:A,B11)&gt;9,3,IF(SUMIFS(Data!X:X,Data!A:A,B11)&gt;4,1,0)))</f>
        <v>1</v>
      </c>
      <c r="S11" s="58">
        <f t="shared" si="0"/>
        <v>5</v>
      </c>
      <c r="T11" s="58">
        <f t="shared" si="1"/>
        <v>48.279666666666671</v>
      </c>
      <c r="U11" s="58">
        <f>SUMIFS(Data!D:D,Data!A:A,B11)</f>
        <v>289.54000000000002</v>
      </c>
    </row>
    <row r="12" spans="1:21" ht="12.75">
      <c r="A12" s="57">
        <v>11</v>
      </c>
      <c r="B12" s="57" t="s">
        <v>52</v>
      </c>
      <c r="C12" s="58">
        <f>IF(SUMIFS(Data!$S:$S,Data!$A:$A,$B12,Data!$C:$C,C$1)=0,"",SUMIFS(Data!$S:$S,Data!$A:$A,$B12,Data!$C:$C,C$1))</f>
        <v>3</v>
      </c>
      <c r="D12" s="58">
        <f>IF(SUMIFS(Data!$S:$S,Data!$A:$A,$B12,Data!$C:$C,D$1)=0,"",SUMIFS(Data!$S:$S,Data!$A:$A,$B12,Data!$C:$C,D$1))</f>
        <v>2.5576666666666665</v>
      </c>
      <c r="E12" s="58">
        <f>IF(SUMIFS(Data!$S:$S,Data!$A:$A,$B12,Data!$C:$C,E$1)=0,"",SUMIFS(Data!$S:$S,Data!$A:$A,$B12,Data!$C:$C,E$1))</f>
        <v>3.6873333333333331</v>
      </c>
      <c r="F12" s="58">
        <f>IF(SUMIFS(Data!$S:$S,Data!$A:$A,$B12,Data!$C:$C,F$1)=0,"",SUMIFS(Data!$S:$S,Data!$A:$A,$B12,Data!$C:$C,F$1))</f>
        <v>3.85</v>
      </c>
      <c r="G12" s="58">
        <f>IF(SUMIFS(Data!$S:$S,Data!$A:$A,$B12,Data!$C:$C,G$1)=0,"",SUMIFS(Data!$S:$S,Data!$A:$A,$B12,Data!$C:$C,G$1))</f>
        <v>3.8876666666666666</v>
      </c>
      <c r="H12" s="58">
        <f>IF(SUMIFS(Data!$S:$S,Data!$A:$A,$B12,Data!$C:$C,H$1)=0,"",SUMIFS(Data!$S:$S,Data!$A:$A,$B12,Data!$C:$C,H$1))</f>
        <v>4.25</v>
      </c>
      <c r="I12" s="58">
        <f>IF(SUMIFS(Data!$S:$S,Data!$A:$A,$B12,Data!$C:$C,I$1)=0,"",SUMIFS(Data!$S:$S,Data!$A:$A,$B12,Data!$C:$C,I$1))</f>
        <v>2.75</v>
      </c>
      <c r="J12" s="58">
        <f>IF(SUMIFS(Data!$S:$S,Data!$A:$A,$B12,Data!$C:$C,J$1)=0,"",SUMIFS(Data!$S:$S,Data!$A:$A,$B12,Data!$C:$C,J$1))</f>
        <v>2.875</v>
      </c>
      <c r="K12" s="58">
        <f>IF(SUMIFS(Data!$S:$S,Data!$A:$A,$B12,Data!$C:$C,K$1)=0,"",SUMIFS(Data!$S:$S,Data!$A:$A,$B12,Data!$C:$C,K$1))</f>
        <v>2.2423333333333333</v>
      </c>
      <c r="L12" s="58">
        <f>IF(SUMIFS(Data!$S:$S,Data!$A:$A,$B12,Data!$C:$C,L$1)=0,"",SUMIFS(Data!$S:$S,Data!$A:$A,$B12,Data!$C:$C,L$1))</f>
        <v>2.6576666666666666</v>
      </c>
      <c r="M12" s="58">
        <f>IF(SUMIFS(Data!$S:$S,Data!$A:$A,$B12,Data!$C:$C,M$1)=0,"",SUMIFS(Data!$S:$S,Data!$A:$A,$B12,Data!$C:$C,M$1))</f>
        <v>2.956</v>
      </c>
      <c r="N12" s="58">
        <f>IF(SUMIFS(Data!$S:$S,Data!$A:$A,$B12,Data!$C:$C,N$1)=0,"",SUMIFS(Data!$S:$S,Data!$A:$A,$B12,Data!$C:$C,N$1))</f>
        <v>3.375</v>
      </c>
      <c r="O12" s="58" t="str">
        <f>IF(SUMIFS(Data!$S:$S,Data!$A:$A,$B12,Data!$C:$C,O$1)=0,"",SUMIFS(Data!$S:$S,Data!$A:$A,$B12,Data!$C:$C,O$1))</f>
        <v/>
      </c>
      <c r="P12" s="58" t="str">
        <f>IF(SUMIFS(Data!$S:$S,Data!$A:$A,$B12,Data!$C:$C,P$1)=0,"",SUMIFS(Data!$S:$S,Data!$A:$A,$B12,Data!$C:$C,P$1))</f>
        <v/>
      </c>
      <c r="Q12" s="58" t="str">
        <f>IF(SUMIFS(Data!$S:$S,Data!$A:$A,$B12,Data!$C:$C,Q$1)=0,"",SUMIFS(Data!$S:$S,Data!$A:$A,$B12,Data!$C:$C,Q$1))</f>
        <v/>
      </c>
      <c r="R12" s="58">
        <f>IF(SUMIFS(Data!X:X,Data!A:A,B12)=12,5,IF(SUMIFS(Data!X:X,Data!A:A,B12)&gt;9,3,IF(SUMIFS(Data!X:X,Data!A:A,B12)&gt;4,1,0)))</f>
        <v>5</v>
      </c>
      <c r="S12" s="58">
        <f t="shared" si="0"/>
        <v>5</v>
      </c>
      <c r="T12" s="58">
        <f t="shared" si="1"/>
        <v>48.088666666666668</v>
      </c>
      <c r="U12" s="58">
        <f>SUMIFS(Data!D:D,Data!A:A,B12)</f>
        <v>205.95000000000005</v>
      </c>
    </row>
    <row r="13" spans="1:21" ht="12.75">
      <c r="A13" s="57">
        <v>12</v>
      </c>
      <c r="B13" s="57" t="s">
        <v>208</v>
      </c>
      <c r="C13" s="58" t="str">
        <f>IF(SUMIFS(Data!$S:$S,Data!$A:$A,$B13,Data!$C:$C,C$1)=0,"",SUMIFS(Data!$S:$S,Data!$A:$A,$B13,Data!$C:$C,C$1))</f>
        <v/>
      </c>
      <c r="D13" s="58">
        <f>IF(SUMIFS(Data!$S:$S,Data!$A:$A,$B13,Data!$C:$C,D$1)=0,"",SUMIFS(Data!$S:$S,Data!$A:$A,$B13,Data!$C:$C,D$1))</f>
        <v>3.95</v>
      </c>
      <c r="E13" s="58">
        <f>IF(SUMIFS(Data!$S:$S,Data!$A:$A,$B13,Data!$C:$C,E$1)=0,"",SUMIFS(Data!$S:$S,Data!$A:$A,$B13,Data!$C:$C,E$1))</f>
        <v>3.875</v>
      </c>
      <c r="F13" s="58">
        <f>IF(SUMIFS(Data!$S:$S,Data!$A:$A,$B13,Data!$C:$C,F$1)=0,"",SUMIFS(Data!$S:$S,Data!$A:$A,$B13,Data!$C:$C,F$1))</f>
        <v>4.1749999999999998</v>
      </c>
      <c r="G13" s="58">
        <f>IF(SUMIFS(Data!$S:$S,Data!$A:$A,$B13,Data!$C:$C,G$1)=0,"",SUMIFS(Data!$S:$S,Data!$A:$A,$B13,Data!$C:$C,G$1))</f>
        <v>3.625</v>
      </c>
      <c r="H13" s="58">
        <f>IF(SUMIFS(Data!$S:$S,Data!$A:$A,$B13,Data!$C:$C,H$1)=0,"",SUMIFS(Data!$S:$S,Data!$A:$A,$B13,Data!$C:$C,H$1))</f>
        <v>3.9750000000000001</v>
      </c>
      <c r="I13" s="58">
        <f>IF(SUMIFS(Data!$S:$S,Data!$A:$A,$B13,Data!$C:$C,I$1)=0,"",SUMIFS(Data!$S:$S,Data!$A:$A,$B13,Data!$C:$C,I$1))</f>
        <v>3</v>
      </c>
      <c r="J13" s="58">
        <f>IF(SUMIFS(Data!$S:$S,Data!$A:$A,$B13,Data!$C:$C,J$1)=0,"",SUMIFS(Data!$S:$S,Data!$A:$A,$B13,Data!$C:$C,J$1))</f>
        <v>3.875</v>
      </c>
      <c r="K13" s="58">
        <f>IF(SUMIFS(Data!$S:$S,Data!$A:$A,$B13,Data!$C:$C,K$1)=0,"",SUMIFS(Data!$S:$S,Data!$A:$A,$B13,Data!$C:$C,K$1))</f>
        <v>3.85</v>
      </c>
      <c r="L13" s="58">
        <f>IF(SUMIFS(Data!$S:$S,Data!$A:$A,$B13,Data!$C:$C,L$1)=0,"",SUMIFS(Data!$S:$S,Data!$A:$A,$B13,Data!$C:$C,L$1))</f>
        <v>3.75</v>
      </c>
      <c r="M13" s="58">
        <f>IF(SUMIFS(Data!$S:$S,Data!$A:$A,$B13,Data!$C:$C,M$1)=0,"",SUMIFS(Data!$S:$S,Data!$A:$A,$B13,Data!$C:$C,M$1))</f>
        <v>3.375</v>
      </c>
      <c r="N13" s="58">
        <f>IF(SUMIFS(Data!$S:$S,Data!$A:$A,$B13,Data!$C:$C,N$1)=0,"",SUMIFS(Data!$S:$S,Data!$A:$A,$B13,Data!$C:$C,N$1))</f>
        <v>2.9816666666666665</v>
      </c>
      <c r="O13" s="58" t="str">
        <f>IF(SUMIFS(Data!$S:$S,Data!$A:$A,$B13,Data!$C:$C,O$1)=0,"",SUMIFS(Data!$S:$S,Data!$A:$A,$B13,Data!$C:$C,O$1))</f>
        <v/>
      </c>
      <c r="P13" s="58" t="str">
        <f>IF(SUMIFS(Data!$S:$S,Data!$A:$A,$B13,Data!$C:$C,P$1)=0,"",SUMIFS(Data!$S:$S,Data!$A:$A,$B13,Data!$C:$C,P$1))</f>
        <v/>
      </c>
      <c r="Q13" s="58" t="str">
        <f>IF(SUMIFS(Data!$S:$S,Data!$A:$A,$B13,Data!$C:$C,Q$1)=0,"",SUMIFS(Data!$S:$S,Data!$A:$A,$B13,Data!$C:$C,Q$1))</f>
        <v/>
      </c>
      <c r="R13" s="58">
        <f>IF(SUMIFS(Data!X:X,Data!A:A,B13)=12,5,IF(SUMIFS(Data!X:X,Data!A:A,B13)&gt;9,3,IF(SUMIFS(Data!X:X,Data!A:A,B13)&gt;4,1,0)))</f>
        <v>3</v>
      </c>
      <c r="S13" s="58">
        <f t="shared" si="0"/>
        <v>3</v>
      </c>
      <c r="T13" s="58">
        <f t="shared" si="1"/>
        <v>46.431666666666672</v>
      </c>
      <c r="U13" s="58">
        <f>SUMIFS(Data!D:D,Data!A:A,B13)</f>
        <v>259.72999999999996</v>
      </c>
    </row>
    <row r="14" spans="1:21" ht="12.75">
      <c r="A14" s="57">
        <v>13</v>
      </c>
      <c r="B14" s="57" t="s">
        <v>209</v>
      </c>
      <c r="C14" s="58" t="str">
        <f>IF(SUMIFS(Data!$S:$S,Data!$A:$A,$B14,Data!$C:$C,C$1)=0,"",SUMIFS(Data!$S:$S,Data!$A:$A,$B14,Data!$C:$C,C$1))</f>
        <v/>
      </c>
      <c r="D14" s="58">
        <f>IF(SUMIFS(Data!$S:$S,Data!$A:$A,$B14,Data!$C:$C,D$1)=0,"",SUMIFS(Data!$S:$S,Data!$A:$A,$B14,Data!$C:$C,D$1))</f>
        <v>2.875</v>
      </c>
      <c r="E14" s="58">
        <f>IF(SUMIFS(Data!$S:$S,Data!$A:$A,$B14,Data!$C:$C,E$1)=0,"",SUMIFS(Data!$S:$S,Data!$A:$A,$B14,Data!$C:$C,E$1))</f>
        <v>3.9</v>
      </c>
      <c r="F14" s="58">
        <f>IF(SUMIFS(Data!$S:$S,Data!$A:$A,$B14,Data!$C:$C,F$1)=0,"",SUMIFS(Data!$S:$S,Data!$A:$A,$B14,Data!$C:$C,F$1))</f>
        <v>2.5</v>
      </c>
      <c r="G14" s="58">
        <f>IF(SUMIFS(Data!$S:$S,Data!$A:$A,$B14,Data!$C:$C,G$1)=0,"",SUMIFS(Data!$S:$S,Data!$A:$A,$B14,Data!$C:$C,G$1))</f>
        <v>2.625</v>
      </c>
      <c r="H14" s="58">
        <f>IF(SUMIFS(Data!$S:$S,Data!$A:$A,$B14,Data!$C:$C,H$1)=0,"",SUMIFS(Data!$S:$S,Data!$A:$A,$B14,Data!$C:$C,H$1))</f>
        <v>3.875</v>
      </c>
      <c r="I14" s="58">
        <f>IF(SUMIFS(Data!$S:$S,Data!$A:$A,$B14,Data!$C:$C,I$1)=0,"",SUMIFS(Data!$S:$S,Data!$A:$A,$B14,Data!$C:$C,I$1))</f>
        <v>3.5</v>
      </c>
      <c r="J14" s="58">
        <f>IF(SUMIFS(Data!$S:$S,Data!$A:$A,$B14,Data!$C:$C,J$1)=0,"",SUMIFS(Data!$S:$S,Data!$A:$A,$B14,Data!$C:$C,J$1))</f>
        <v>4.125</v>
      </c>
      <c r="K14" s="58">
        <f>IF(SUMIFS(Data!$S:$S,Data!$A:$A,$B14,Data!$C:$C,K$1)=0,"",SUMIFS(Data!$S:$S,Data!$A:$A,$B14,Data!$C:$C,K$1))</f>
        <v>3.7250000000000001</v>
      </c>
      <c r="L14" s="58">
        <f>IF(SUMIFS(Data!$S:$S,Data!$A:$A,$B14,Data!$C:$C,L$1)=0,"",SUMIFS(Data!$S:$S,Data!$A:$A,$B14,Data!$C:$C,L$1))</f>
        <v>3.875</v>
      </c>
      <c r="M14" s="58">
        <f>IF(SUMIFS(Data!$S:$S,Data!$A:$A,$B14,Data!$C:$C,M$1)=0,"",SUMIFS(Data!$S:$S,Data!$A:$A,$B14,Data!$C:$C,M$1))</f>
        <v>3.4423333333333335</v>
      </c>
      <c r="N14" s="58">
        <f>IF(SUMIFS(Data!$S:$S,Data!$A:$A,$B14,Data!$C:$C,N$1)=0,"",SUMIFS(Data!$S:$S,Data!$A:$A,$B14,Data!$C:$C,N$1))</f>
        <v>4.1749999999999998</v>
      </c>
      <c r="O14" s="58" t="str">
        <f>IF(SUMIFS(Data!$S:$S,Data!$A:$A,$B14,Data!$C:$C,O$1)=0,"",SUMIFS(Data!$S:$S,Data!$A:$A,$B14,Data!$C:$C,O$1))</f>
        <v/>
      </c>
      <c r="P14" s="58" t="str">
        <f>IF(SUMIFS(Data!$S:$S,Data!$A:$A,$B14,Data!$C:$C,P$1)=0,"",SUMIFS(Data!$S:$S,Data!$A:$A,$B14,Data!$C:$C,P$1))</f>
        <v/>
      </c>
      <c r="Q14" s="58" t="str">
        <f>IF(SUMIFS(Data!$S:$S,Data!$A:$A,$B14,Data!$C:$C,Q$1)=0,"",SUMIFS(Data!$S:$S,Data!$A:$A,$B14,Data!$C:$C,Q$1))</f>
        <v/>
      </c>
      <c r="R14" s="58">
        <f>IF(SUMIFS(Data!X:X,Data!A:A,B14)=12,5,IF(SUMIFS(Data!X:X,Data!A:A,B14)&gt;9,3,IF(SUMIFS(Data!X:X,Data!A:A,B14)&gt;4,1,0)))</f>
        <v>3</v>
      </c>
      <c r="S14" s="58">
        <f t="shared" si="0"/>
        <v>3</v>
      </c>
      <c r="T14" s="58">
        <f t="shared" si="1"/>
        <v>44.617333333333328</v>
      </c>
      <c r="U14" s="58">
        <f>SUMIFS(Data!D:D,Data!A:A,B14)</f>
        <v>201.96999999999997</v>
      </c>
    </row>
    <row r="15" spans="1:21" ht="12.75">
      <c r="A15" s="57">
        <v>14</v>
      </c>
      <c r="B15" s="57" t="s">
        <v>203</v>
      </c>
      <c r="C15" s="58">
        <f>IF(SUMIFS(Data!$S:$S,Data!$A:$A,$B15,Data!$C:$C,C$1)=0,"",SUMIFS(Data!$S:$S,Data!$A:$A,$B15,Data!$C:$C,C$1))</f>
        <v>3.8610000000000002</v>
      </c>
      <c r="D15" s="58">
        <f>IF(SUMIFS(Data!$S:$S,Data!$A:$A,$B15,Data!$C:$C,D$1)=0,"",SUMIFS(Data!$S:$S,Data!$A:$A,$B15,Data!$C:$C,D$1))</f>
        <v>4.8073333333333341</v>
      </c>
      <c r="E15" s="58">
        <f>IF(SUMIFS(Data!$S:$S,Data!$A:$A,$B15,Data!$C:$C,E$1)=0,"",SUMIFS(Data!$S:$S,Data!$A:$A,$B15,Data!$C:$C,E$1))</f>
        <v>3.6</v>
      </c>
      <c r="F15" s="58">
        <f>IF(SUMIFS(Data!$S:$S,Data!$A:$A,$B15,Data!$C:$C,F$1)=0,"",SUMIFS(Data!$S:$S,Data!$A:$A,$B15,Data!$C:$C,F$1))</f>
        <v>2.125</v>
      </c>
      <c r="G15" s="58">
        <f>IF(SUMIFS(Data!$S:$S,Data!$A:$A,$B15,Data!$C:$C,G$1)=0,"",SUMIFS(Data!$S:$S,Data!$A:$A,$B15,Data!$C:$C,G$1))</f>
        <v>4.0436666666666667</v>
      </c>
      <c r="H15" s="58">
        <f>IF(SUMIFS(Data!$S:$S,Data!$A:$A,$B15,Data!$C:$C,H$1)=0,"",SUMIFS(Data!$S:$S,Data!$A:$A,$B15,Data!$C:$C,H$1))</f>
        <v>3.25</v>
      </c>
      <c r="I15" s="58">
        <f>IF(SUMIFS(Data!$S:$S,Data!$A:$A,$B15,Data!$C:$C,I$1)=0,"",SUMIFS(Data!$S:$S,Data!$A:$A,$B15,Data!$C:$C,I$1))</f>
        <v>3.25</v>
      </c>
      <c r="J15" s="58" t="str">
        <f>IF(SUMIFS(Data!$S:$S,Data!$A:$A,$B15,Data!$C:$C,J$1)=0,"",SUMIFS(Data!$S:$S,Data!$A:$A,$B15,Data!$C:$C,J$1))</f>
        <v/>
      </c>
      <c r="K15" s="58">
        <f>IF(SUMIFS(Data!$S:$S,Data!$A:$A,$B15,Data!$C:$C,K$1)=0,"",SUMIFS(Data!$S:$S,Data!$A:$A,$B15,Data!$C:$C,K$1))</f>
        <v>2.625</v>
      </c>
      <c r="L15" s="58">
        <f>IF(SUMIFS(Data!$S:$S,Data!$A:$A,$B15,Data!$C:$C,L$1)=0,"",SUMIFS(Data!$S:$S,Data!$A:$A,$B15,Data!$C:$C,L$1))</f>
        <v>3.1749999999999998</v>
      </c>
      <c r="M15" s="58">
        <f>IF(SUMIFS(Data!$S:$S,Data!$A:$A,$B15,Data!$C:$C,M$1)=0,"",SUMIFS(Data!$S:$S,Data!$A:$A,$B15,Data!$C:$C,M$1))</f>
        <v>2.75</v>
      </c>
      <c r="N15" s="58">
        <f>IF(SUMIFS(Data!$S:$S,Data!$A:$A,$B15,Data!$C:$C,N$1)=0,"",SUMIFS(Data!$S:$S,Data!$A:$A,$B15,Data!$C:$C,N$1))</f>
        <v>4.0170000000000003</v>
      </c>
      <c r="O15" s="58" t="str">
        <f>IF(SUMIFS(Data!$S:$S,Data!$A:$A,$B15,Data!$C:$C,O$1)=0,"",SUMIFS(Data!$S:$S,Data!$A:$A,$B15,Data!$C:$C,O$1))</f>
        <v/>
      </c>
      <c r="P15" s="58" t="str">
        <f>IF(SUMIFS(Data!$S:$S,Data!$A:$A,$B15,Data!$C:$C,P$1)=0,"",SUMIFS(Data!$S:$S,Data!$A:$A,$B15,Data!$C:$C,P$1))</f>
        <v/>
      </c>
      <c r="Q15" s="58" t="str">
        <f>IF(SUMIFS(Data!$S:$S,Data!$A:$A,$B15,Data!$C:$C,Q$1)=0,"",SUMIFS(Data!$S:$S,Data!$A:$A,$B15,Data!$C:$C,Q$1))</f>
        <v/>
      </c>
      <c r="R15" s="58">
        <f>IF(SUMIFS(Data!X:X,Data!A:A,B15)=12,5,IF(SUMIFS(Data!X:X,Data!A:A,B15)&gt;9,3,IF(SUMIFS(Data!X:X,Data!A:A,B15)&gt;4,1,0)))</f>
        <v>3</v>
      </c>
      <c r="S15" s="58">
        <f t="shared" si="0"/>
        <v>3</v>
      </c>
      <c r="T15" s="58">
        <f t="shared" si="1"/>
        <v>43.504000000000005</v>
      </c>
      <c r="U15" s="58">
        <f>SUMIFS(Data!D:D,Data!A:A,B15)</f>
        <v>204.59</v>
      </c>
    </row>
    <row r="16" spans="1:21" ht="12.75">
      <c r="A16" s="57">
        <v>15</v>
      </c>
      <c r="B16" s="57" t="s">
        <v>62</v>
      </c>
      <c r="C16" s="58">
        <f>IF(SUMIFS(Data!$S:$S,Data!$A:$A,$B16,Data!$C:$C,C$1)=0,"",SUMIFS(Data!$S:$S,Data!$A:$A,$B16,Data!$C:$C,C$1))</f>
        <v>2.125</v>
      </c>
      <c r="D16" s="58">
        <f>IF(SUMIFS(Data!$S:$S,Data!$A:$A,$B16,Data!$C:$C,D$1)=0,"",SUMIFS(Data!$S:$S,Data!$A:$A,$B16,Data!$C:$C,D$1))</f>
        <v>3.09</v>
      </c>
      <c r="E16" s="58">
        <f>IF(SUMIFS(Data!$S:$S,Data!$A:$A,$B16,Data!$C:$C,E$1)=0,"",SUMIFS(Data!$S:$S,Data!$A:$A,$B16,Data!$C:$C,E$1))</f>
        <v>4.3423333333333334</v>
      </c>
      <c r="F16" s="58">
        <f>IF(SUMIFS(Data!$S:$S,Data!$A:$A,$B16,Data!$C:$C,F$1)=0,"",SUMIFS(Data!$S:$S,Data!$A:$A,$B16,Data!$C:$C,F$1))</f>
        <v>2.5</v>
      </c>
      <c r="G16" s="58">
        <f>IF(SUMIFS(Data!$S:$S,Data!$A:$A,$B16,Data!$C:$C,G$1)=0,"",SUMIFS(Data!$S:$S,Data!$A:$A,$B16,Data!$C:$C,G$1))</f>
        <v>2.625</v>
      </c>
      <c r="H16" s="58">
        <f>IF(SUMIFS(Data!$S:$S,Data!$A:$A,$B16,Data!$C:$C,H$1)=0,"",SUMIFS(Data!$S:$S,Data!$A:$A,$B16,Data!$C:$C,H$1))</f>
        <v>3.3046666666666669</v>
      </c>
      <c r="I16" s="58">
        <f>IF(SUMIFS(Data!$S:$S,Data!$A:$A,$B16,Data!$C:$C,I$1)=0,"",SUMIFS(Data!$S:$S,Data!$A:$A,$B16,Data!$C:$C,I$1))</f>
        <v>2.4769999999999999</v>
      </c>
      <c r="J16" s="58">
        <f>IF(SUMIFS(Data!$S:$S,Data!$A:$A,$B16,Data!$C:$C,J$1)=0,"",SUMIFS(Data!$S:$S,Data!$A:$A,$B16,Data!$C:$C,J$1))</f>
        <v>1.5356666666666667</v>
      </c>
      <c r="K16" s="58">
        <f>IF(SUMIFS(Data!$S:$S,Data!$A:$A,$B16,Data!$C:$C,K$1)=0,"",SUMIFS(Data!$S:$S,Data!$A:$A,$B16,Data!$C:$C,K$1))</f>
        <v>3.25</v>
      </c>
      <c r="L16" s="58">
        <f>IF(SUMIFS(Data!$S:$S,Data!$A:$A,$B16,Data!$C:$C,L$1)=0,"",SUMIFS(Data!$S:$S,Data!$A:$A,$B16,Data!$C:$C,L$1))</f>
        <v>3.15</v>
      </c>
      <c r="M16" s="58">
        <f>IF(SUMIFS(Data!$S:$S,Data!$A:$A,$B16,Data!$C:$C,M$1)=0,"",SUMIFS(Data!$S:$S,Data!$A:$A,$B16,Data!$C:$C,M$1))</f>
        <v>3.25</v>
      </c>
      <c r="N16" s="58">
        <f>IF(SUMIFS(Data!$S:$S,Data!$A:$A,$B16,Data!$C:$C,N$1)=0,"",SUMIFS(Data!$S:$S,Data!$A:$A,$B16,Data!$C:$C,N$1))</f>
        <v>3.25</v>
      </c>
      <c r="O16" s="58" t="str">
        <f>IF(SUMIFS(Data!$S:$S,Data!$A:$A,$B16,Data!$C:$C,O$1)=0,"",SUMIFS(Data!$S:$S,Data!$A:$A,$B16,Data!$C:$C,O$1))</f>
        <v/>
      </c>
      <c r="P16" s="58" t="str">
        <f>IF(SUMIFS(Data!$S:$S,Data!$A:$A,$B16,Data!$C:$C,P$1)=0,"",SUMIFS(Data!$S:$S,Data!$A:$A,$B16,Data!$C:$C,P$1))</f>
        <v/>
      </c>
      <c r="Q16" s="58" t="str">
        <f>IF(SUMIFS(Data!$S:$S,Data!$A:$A,$B16,Data!$C:$C,Q$1)=0,"",SUMIFS(Data!$S:$S,Data!$A:$A,$B16,Data!$C:$C,Q$1))</f>
        <v/>
      </c>
      <c r="R16" s="58">
        <f>IF(SUMIFS(Data!X:X,Data!A:A,B16)=12,5,IF(SUMIFS(Data!X:X,Data!A:A,B16)&gt;9,3,IF(SUMIFS(Data!X:X,Data!A:A,B16)&gt;4,1,0)))</f>
        <v>3</v>
      </c>
      <c r="S16" s="58">
        <f t="shared" si="0"/>
        <v>5</v>
      </c>
      <c r="T16" s="58">
        <f t="shared" si="1"/>
        <v>42.899666666666661</v>
      </c>
      <c r="U16" s="58">
        <f>SUMIFS(Data!D:D,Data!A:A,B16)</f>
        <v>112.05000000000001</v>
      </c>
    </row>
    <row r="17" spans="1:21" ht="12.75">
      <c r="A17" s="57">
        <v>16</v>
      </c>
      <c r="B17" s="57" t="s">
        <v>54</v>
      </c>
      <c r="C17" s="58">
        <f>IF(SUMIFS(Data!$S:$S,Data!$A:$A,$B17,Data!$C:$C,C$1)=0,"",SUMIFS(Data!$S:$S,Data!$A:$A,$B17,Data!$C:$C,C$1))</f>
        <v>4.4649999999999999</v>
      </c>
      <c r="D17" s="58">
        <f>IF(SUMIFS(Data!$S:$S,Data!$A:$A,$B17,Data!$C:$C,D$1)=0,"",SUMIFS(Data!$S:$S,Data!$A:$A,$B17,Data!$C:$C,D$1))</f>
        <v>2.9516666666666667</v>
      </c>
      <c r="E17" s="58">
        <f>IF(SUMIFS(Data!$S:$S,Data!$A:$A,$B17,Data!$C:$C,E$1)=0,"",SUMIFS(Data!$S:$S,Data!$A:$A,$B17,Data!$C:$C,E$1))</f>
        <v>3.2196666666666665</v>
      </c>
      <c r="F17" s="58">
        <f>IF(SUMIFS(Data!$S:$S,Data!$A:$A,$B17,Data!$C:$C,F$1)=0,"",SUMIFS(Data!$S:$S,Data!$A:$A,$B17,Data!$C:$C,F$1))</f>
        <v>2.9870000000000001</v>
      </c>
      <c r="G17" s="58">
        <f>IF(SUMIFS(Data!$S:$S,Data!$A:$A,$B17,Data!$C:$C,G$1)=0,"",SUMIFS(Data!$S:$S,Data!$A:$A,$B17,Data!$C:$C,G$1))</f>
        <v>4.2313333333333336</v>
      </c>
      <c r="H17" s="58">
        <f>IF(SUMIFS(Data!$S:$S,Data!$A:$A,$B17,Data!$C:$C,H$1)=0,"",SUMIFS(Data!$S:$S,Data!$A:$A,$B17,Data!$C:$C,H$1))</f>
        <v>2.875</v>
      </c>
      <c r="I17" s="58">
        <f>IF(SUMIFS(Data!$S:$S,Data!$A:$A,$B17,Data!$C:$C,I$1)=0,"",SUMIFS(Data!$S:$S,Data!$A:$A,$B17,Data!$C:$C,I$1))</f>
        <v>4.2323333333333331</v>
      </c>
      <c r="J17" s="58" t="str">
        <f>IF(SUMIFS(Data!$S:$S,Data!$A:$A,$B17,Data!$C:$C,J$1)=0,"",SUMIFS(Data!$S:$S,Data!$A:$A,$B17,Data!$C:$C,J$1))</f>
        <v/>
      </c>
      <c r="K17" s="58">
        <f>IF(SUMIFS(Data!$S:$S,Data!$A:$A,$B17,Data!$C:$C,K$1)=0,"",SUMIFS(Data!$S:$S,Data!$A:$A,$B17,Data!$C:$C,K$1))</f>
        <v>2.2976666666666667</v>
      </c>
      <c r="L17" s="58">
        <f>IF(SUMIFS(Data!$S:$S,Data!$A:$A,$B17,Data!$C:$C,L$1)=0,"",SUMIFS(Data!$S:$S,Data!$A:$A,$B17,Data!$C:$C,L$1))</f>
        <v>3.1406666666666667</v>
      </c>
      <c r="M17" s="58">
        <f>IF(SUMIFS(Data!$S:$S,Data!$A:$A,$B17,Data!$C:$C,M$1)=0,"",SUMIFS(Data!$S:$S,Data!$A:$A,$B17,Data!$C:$C,M$1))</f>
        <v>3.472</v>
      </c>
      <c r="N17" s="58">
        <f>IF(SUMIFS(Data!$S:$S,Data!$A:$A,$B17,Data!$C:$C,N$1)=0,"",SUMIFS(Data!$S:$S,Data!$A:$A,$B17,Data!$C:$C,N$1))</f>
        <v>2.625</v>
      </c>
      <c r="O17" s="58" t="str">
        <f>IF(SUMIFS(Data!$S:$S,Data!$A:$A,$B17,Data!$C:$C,O$1)=0,"",SUMIFS(Data!$S:$S,Data!$A:$A,$B17,Data!$C:$C,O$1))</f>
        <v/>
      </c>
      <c r="P17" s="58" t="str">
        <f>IF(SUMIFS(Data!$S:$S,Data!$A:$A,$B17,Data!$C:$C,P$1)=0,"",SUMIFS(Data!$S:$S,Data!$A:$A,$B17,Data!$C:$C,P$1))</f>
        <v/>
      </c>
      <c r="Q17" s="58" t="str">
        <f>IF(SUMIFS(Data!$S:$S,Data!$A:$A,$B17,Data!$C:$C,Q$1)=0,"",SUMIFS(Data!$S:$S,Data!$A:$A,$B17,Data!$C:$C,Q$1))</f>
        <v/>
      </c>
      <c r="R17" s="58">
        <f>IF(SUMIFS(Data!X:X,Data!A:A,B17)=12,5,IF(SUMIFS(Data!X:X,Data!A:A,B17)&gt;9,3,IF(SUMIFS(Data!X:X,Data!A:A,B17)&gt;4,1,0)))</f>
        <v>3</v>
      </c>
      <c r="S17" s="58">
        <f t="shared" si="0"/>
        <v>3</v>
      </c>
      <c r="T17" s="58">
        <f t="shared" si="1"/>
        <v>42.497333333333337</v>
      </c>
      <c r="U17" s="58">
        <f>SUMIFS(Data!D:D,Data!A:A,B17)</f>
        <v>165.23000000000002</v>
      </c>
    </row>
    <row r="18" spans="1:21" ht="12.75">
      <c r="A18" s="57">
        <v>17</v>
      </c>
      <c r="B18" s="57" t="s">
        <v>204</v>
      </c>
      <c r="C18" s="58">
        <f>IF(SUMIFS(Data!$S:$S,Data!$A:$A,$B18,Data!$C:$C,C$1)=0,"",SUMIFS(Data!$S:$S,Data!$A:$A,$B18,Data!$C:$C,C$1))</f>
        <v>5.1390000000000002</v>
      </c>
      <c r="D18" s="58">
        <f>IF(SUMIFS(Data!$S:$S,Data!$A:$A,$B18,Data!$C:$C,D$1)=0,"",SUMIFS(Data!$S:$S,Data!$A:$A,$B18,Data!$C:$C,D$1))</f>
        <v>5.25</v>
      </c>
      <c r="E18" s="58">
        <f>IF(SUMIFS(Data!$S:$S,Data!$A:$A,$B18,Data!$C:$C,E$1)=0,"",SUMIFS(Data!$S:$S,Data!$A:$A,$B18,Data!$C:$C,E$1))</f>
        <v>4.5250000000000004</v>
      </c>
      <c r="F18" s="58">
        <f>IF(SUMIFS(Data!$S:$S,Data!$A:$A,$B18,Data!$C:$C,F$1)=0,"",SUMIFS(Data!$S:$S,Data!$A:$A,$B18,Data!$C:$C,F$1))</f>
        <v>4.4249999999999998</v>
      </c>
      <c r="G18" s="58">
        <f>IF(SUMIFS(Data!$S:$S,Data!$A:$A,$B18,Data!$C:$C,G$1)=0,"",SUMIFS(Data!$S:$S,Data!$A:$A,$B18,Data!$C:$C,G$1))</f>
        <v>5.067333333333333</v>
      </c>
      <c r="H18" s="58">
        <f>IF(SUMIFS(Data!$S:$S,Data!$A:$A,$B18,Data!$C:$C,H$1)=0,"",SUMIFS(Data!$S:$S,Data!$A:$A,$B18,Data!$C:$C,H$1))</f>
        <v>4.5</v>
      </c>
      <c r="I18" s="58">
        <f>IF(SUMIFS(Data!$S:$S,Data!$A:$A,$B18,Data!$C:$C,I$1)=0,"",SUMIFS(Data!$S:$S,Data!$A:$A,$B18,Data!$C:$C,I$1))</f>
        <v>4.8249999999999993</v>
      </c>
      <c r="J18" s="58" t="str">
        <f>IF(SUMIFS(Data!$S:$S,Data!$A:$A,$B18,Data!$C:$C,J$1)=0,"",SUMIFS(Data!$S:$S,Data!$A:$A,$B18,Data!$C:$C,J$1))</f>
        <v/>
      </c>
      <c r="K18" s="58" t="str">
        <f>IF(SUMIFS(Data!$S:$S,Data!$A:$A,$B18,Data!$C:$C,K$1)=0,"",SUMIFS(Data!$S:$S,Data!$A:$A,$B18,Data!$C:$C,K$1))</f>
        <v/>
      </c>
      <c r="L18" s="58">
        <f>IF(SUMIFS(Data!$S:$S,Data!$A:$A,$B18,Data!$C:$C,L$1)=0,"",SUMIFS(Data!$S:$S,Data!$A:$A,$B18,Data!$C:$C,L$1))</f>
        <v>3.5</v>
      </c>
      <c r="M18" s="58" t="str">
        <f>IF(SUMIFS(Data!$S:$S,Data!$A:$A,$B18,Data!$C:$C,M$1)=0,"",SUMIFS(Data!$S:$S,Data!$A:$A,$B18,Data!$C:$C,M$1))</f>
        <v/>
      </c>
      <c r="N18" s="58">
        <f>IF(SUMIFS(Data!$S:$S,Data!$A:$A,$B18,Data!$C:$C,N$1)=0,"",SUMIFS(Data!$S:$S,Data!$A:$A,$B18,Data!$C:$C,N$1))</f>
        <v>3.375</v>
      </c>
      <c r="O18" s="58" t="str">
        <f>IF(SUMIFS(Data!$S:$S,Data!$A:$A,$B18,Data!$C:$C,O$1)=0,"",SUMIFS(Data!$S:$S,Data!$A:$A,$B18,Data!$C:$C,O$1))</f>
        <v/>
      </c>
      <c r="P18" s="58" t="str">
        <f>IF(SUMIFS(Data!$S:$S,Data!$A:$A,$B18,Data!$C:$C,P$1)=0,"",SUMIFS(Data!$S:$S,Data!$A:$A,$B18,Data!$C:$C,P$1))</f>
        <v/>
      </c>
      <c r="Q18" s="58" t="str">
        <f>IF(SUMIFS(Data!$S:$S,Data!$A:$A,$B18,Data!$C:$C,Q$1)=0,"",SUMIFS(Data!$S:$S,Data!$A:$A,$B18,Data!$C:$C,Q$1))</f>
        <v/>
      </c>
      <c r="R18" s="58">
        <f>IF(SUMIFS(Data!X:X,Data!A:A,B18)=12,5,IF(SUMIFS(Data!X:X,Data!A:A,B18)&gt;9,3,IF(SUMIFS(Data!X:X,Data!A:A,B18)&gt;4,1,0)))</f>
        <v>1</v>
      </c>
      <c r="S18" s="58">
        <f t="shared" si="0"/>
        <v>0</v>
      </c>
      <c r="T18" s="58">
        <f t="shared" si="1"/>
        <v>41.606333333333332</v>
      </c>
      <c r="U18" s="58">
        <f>SUMIFS(Data!D:D,Data!A:A,B18)</f>
        <v>216.01</v>
      </c>
    </row>
    <row r="19" spans="1:21" ht="12.75">
      <c r="A19" s="57">
        <v>18</v>
      </c>
      <c r="B19" s="57" t="s">
        <v>114</v>
      </c>
      <c r="C19" s="58">
        <f>IF(SUMIFS(Data!$S:$S,Data!$A:$A,$B19,Data!$C:$C,C$1)=0,"",SUMIFS(Data!$S:$S,Data!$A:$A,$B19,Data!$C:$C,C$1))</f>
        <v>3.1150000000000002</v>
      </c>
      <c r="D19" s="58">
        <f>IF(SUMIFS(Data!$S:$S,Data!$A:$A,$B19,Data!$C:$C,D$1)=0,"",SUMIFS(Data!$S:$S,Data!$A:$A,$B19,Data!$C:$C,D$1))</f>
        <v>2.9580000000000002</v>
      </c>
      <c r="E19" s="58">
        <f>IF(SUMIFS(Data!$S:$S,Data!$A:$A,$B19,Data!$C:$C,E$1)=0,"",SUMIFS(Data!$S:$S,Data!$A:$A,$B19,Data!$C:$C,E$1))</f>
        <v>3.0756666666666668</v>
      </c>
      <c r="F19" s="58">
        <f>IF(SUMIFS(Data!$S:$S,Data!$A:$A,$B19,Data!$C:$C,F$1)=0,"",SUMIFS(Data!$S:$S,Data!$A:$A,$B19,Data!$C:$C,F$1))</f>
        <v>2.6739999999999999</v>
      </c>
      <c r="G19" s="58">
        <f>IF(SUMIFS(Data!$S:$S,Data!$A:$A,$B19,Data!$C:$C,G$1)=0,"",SUMIFS(Data!$S:$S,Data!$A:$A,$B19,Data!$C:$C,G$1))</f>
        <v>2.8256666666666668</v>
      </c>
      <c r="H19" s="58">
        <f>IF(SUMIFS(Data!$S:$S,Data!$A:$A,$B19,Data!$C:$C,H$1)=0,"",SUMIFS(Data!$S:$S,Data!$A:$A,$B19,Data!$C:$C,H$1))</f>
        <v>2.9526666666666666</v>
      </c>
      <c r="I19" s="58">
        <f>IF(SUMIFS(Data!$S:$S,Data!$A:$A,$B19,Data!$C:$C,I$1)=0,"",SUMIFS(Data!$S:$S,Data!$A:$A,$B19,Data!$C:$C,I$1))</f>
        <v>2.8210000000000002</v>
      </c>
      <c r="J19" s="58" t="str">
        <f>IF(SUMIFS(Data!$S:$S,Data!$A:$A,$B19,Data!$C:$C,J$1)=0,"",SUMIFS(Data!$S:$S,Data!$A:$A,$B19,Data!$C:$C,J$1))</f>
        <v/>
      </c>
      <c r="K19" s="58">
        <f>IF(SUMIFS(Data!$S:$S,Data!$A:$A,$B19,Data!$C:$C,K$1)=0,"",SUMIFS(Data!$S:$S,Data!$A:$A,$B19,Data!$C:$C,K$1))</f>
        <v>3.0756666666666668</v>
      </c>
      <c r="L19" s="58">
        <f>IF(SUMIFS(Data!$S:$S,Data!$A:$A,$B19,Data!$C:$C,L$1)=0,"",SUMIFS(Data!$S:$S,Data!$A:$A,$B19,Data!$C:$C,L$1))</f>
        <v>4.0919999999999996</v>
      </c>
      <c r="M19" s="58">
        <f>IF(SUMIFS(Data!$S:$S,Data!$A:$A,$B19,Data!$C:$C,M$1)=0,"",SUMIFS(Data!$S:$S,Data!$A:$A,$B19,Data!$C:$C,M$1))</f>
        <v>3.8446666666666669</v>
      </c>
      <c r="N19" s="58">
        <f>IF(SUMIFS(Data!$S:$S,Data!$A:$A,$B19,Data!$C:$C,N$1)=0,"",SUMIFS(Data!$S:$S,Data!$A:$A,$B19,Data!$C:$C,N$1))</f>
        <v>3.2996666666666665</v>
      </c>
      <c r="O19" s="58" t="str">
        <f>IF(SUMIFS(Data!$S:$S,Data!$A:$A,$B19,Data!$C:$C,O$1)=0,"",SUMIFS(Data!$S:$S,Data!$A:$A,$B19,Data!$C:$C,O$1))</f>
        <v/>
      </c>
      <c r="P19" s="58" t="str">
        <f>IF(SUMIFS(Data!$S:$S,Data!$A:$A,$B19,Data!$C:$C,P$1)=0,"",SUMIFS(Data!$S:$S,Data!$A:$A,$B19,Data!$C:$C,P$1))</f>
        <v/>
      </c>
      <c r="Q19" s="58" t="str">
        <f>IF(SUMIFS(Data!$S:$S,Data!$A:$A,$B19,Data!$C:$C,Q$1)=0,"",SUMIFS(Data!$S:$S,Data!$A:$A,$B19,Data!$C:$C,Q$1))</f>
        <v/>
      </c>
      <c r="R19" s="58">
        <f>IF(SUMIFS(Data!X:X,Data!A:A,B19)=12,5,IF(SUMIFS(Data!X:X,Data!A:A,B19)&gt;9,3,IF(SUMIFS(Data!X:X,Data!A:A,B19)&gt;4,1,0)))</f>
        <v>3</v>
      </c>
      <c r="S19" s="58">
        <f t="shared" si="0"/>
        <v>3</v>
      </c>
      <c r="T19" s="58">
        <f t="shared" si="1"/>
        <v>40.734000000000002</v>
      </c>
      <c r="U19" s="58">
        <f>SUMIFS(Data!D:D,Data!A:A,B19)</f>
        <v>161.76</v>
      </c>
    </row>
    <row r="20" spans="1:21" ht="12.75">
      <c r="A20" s="57">
        <v>19</v>
      </c>
      <c r="B20" s="57" t="s">
        <v>131</v>
      </c>
      <c r="C20" s="58">
        <f>IF(SUMIFS(Data!$S:$S,Data!$A:$A,$B20,Data!$C:$C,C$1)=0,"",SUMIFS(Data!$S:$S,Data!$A:$A,$B20,Data!$C:$C,C$1))</f>
        <v>3.5906666666666665</v>
      </c>
      <c r="D20" s="58">
        <f>IF(SUMIFS(Data!$S:$S,Data!$A:$A,$B20,Data!$C:$C,D$1)=0,"",SUMIFS(Data!$S:$S,Data!$A:$A,$B20,Data!$C:$C,D$1))</f>
        <v>1.625</v>
      </c>
      <c r="E20" s="58">
        <f>IF(SUMIFS(Data!$S:$S,Data!$A:$A,$B20,Data!$C:$C,E$1)=0,"",SUMIFS(Data!$S:$S,Data!$A:$A,$B20,Data!$C:$C,E$1))</f>
        <v>2.75</v>
      </c>
      <c r="F20" s="58">
        <f>IF(SUMIFS(Data!$S:$S,Data!$A:$A,$B20,Data!$C:$C,F$1)=0,"",SUMIFS(Data!$S:$S,Data!$A:$A,$B20,Data!$C:$C,F$1))</f>
        <v>2.375</v>
      </c>
      <c r="G20" s="58">
        <f>IF(SUMIFS(Data!$S:$S,Data!$A:$A,$B20,Data!$C:$C,G$1)=0,"",SUMIFS(Data!$S:$S,Data!$A:$A,$B20,Data!$C:$C,G$1))</f>
        <v>3.75</v>
      </c>
      <c r="H20" s="58">
        <f>IF(SUMIFS(Data!$S:$S,Data!$A:$A,$B20,Data!$C:$C,H$1)=0,"",SUMIFS(Data!$S:$S,Data!$A:$A,$B20,Data!$C:$C,H$1))</f>
        <v>1.75</v>
      </c>
      <c r="I20" s="58">
        <f>IF(SUMIFS(Data!$S:$S,Data!$A:$A,$B20,Data!$C:$C,I$1)=0,"",SUMIFS(Data!$S:$S,Data!$A:$A,$B20,Data!$C:$C,I$1))</f>
        <v>2.25</v>
      </c>
      <c r="J20" s="58">
        <f>IF(SUMIFS(Data!$S:$S,Data!$A:$A,$B20,Data!$C:$C,J$1)=0,"",SUMIFS(Data!$S:$S,Data!$A:$A,$B20,Data!$C:$C,J$1))</f>
        <v>3.5</v>
      </c>
      <c r="K20" s="58">
        <f>IF(SUMIFS(Data!$S:$S,Data!$A:$A,$B20,Data!$C:$C,K$1)=0,"",SUMIFS(Data!$S:$S,Data!$A:$A,$B20,Data!$C:$C,K$1))</f>
        <v>3.0380000000000003</v>
      </c>
      <c r="L20" s="58">
        <f>IF(SUMIFS(Data!$S:$S,Data!$A:$A,$B20,Data!$C:$C,L$1)=0,"",SUMIFS(Data!$S:$S,Data!$A:$A,$B20,Data!$C:$C,L$1))</f>
        <v>2.5</v>
      </c>
      <c r="M20" s="58">
        <f>IF(SUMIFS(Data!$S:$S,Data!$A:$A,$B20,Data!$C:$C,M$1)=0,"",SUMIFS(Data!$S:$S,Data!$A:$A,$B20,Data!$C:$C,M$1))</f>
        <v>1.875</v>
      </c>
      <c r="N20" s="58">
        <f>IF(SUMIFS(Data!$S:$S,Data!$A:$A,$B20,Data!$C:$C,N$1)=0,"",SUMIFS(Data!$S:$S,Data!$A:$A,$B20,Data!$C:$C,N$1))</f>
        <v>3.625</v>
      </c>
      <c r="O20" s="58" t="str">
        <f>IF(SUMIFS(Data!$S:$S,Data!$A:$A,$B20,Data!$C:$C,O$1)=0,"",SUMIFS(Data!$S:$S,Data!$A:$A,$B20,Data!$C:$C,O$1))</f>
        <v/>
      </c>
      <c r="P20" s="58" t="str">
        <f>IF(SUMIFS(Data!$S:$S,Data!$A:$A,$B20,Data!$C:$C,P$1)=0,"",SUMIFS(Data!$S:$S,Data!$A:$A,$B20,Data!$C:$C,P$1))</f>
        <v/>
      </c>
      <c r="Q20" s="58" t="str">
        <f>IF(SUMIFS(Data!$S:$S,Data!$A:$A,$B20,Data!$C:$C,Q$1)=0,"",SUMIFS(Data!$S:$S,Data!$A:$A,$B20,Data!$C:$C,Q$1))</f>
        <v/>
      </c>
      <c r="R20" s="58">
        <f>IF(SUMIFS(Data!X:X,Data!A:A,B20)=12,5,IF(SUMIFS(Data!X:X,Data!A:A,B20)&gt;9,3,IF(SUMIFS(Data!X:X,Data!A:A,B20)&gt;4,1,0)))</f>
        <v>3</v>
      </c>
      <c r="S20" s="58">
        <f t="shared" si="0"/>
        <v>5</v>
      </c>
      <c r="T20" s="58">
        <f t="shared" si="1"/>
        <v>40.628666666666668</v>
      </c>
      <c r="U20" s="58">
        <f>SUMIFS(Data!D:D,Data!A:A,B20)</f>
        <v>158.68</v>
      </c>
    </row>
    <row r="21" spans="1:21" ht="12.75">
      <c r="A21" s="57">
        <v>20</v>
      </c>
      <c r="B21" s="57" t="s">
        <v>65</v>
      </c>
      <c r="C21" s="58">
        <f>IF(SUMIFS(Data!$S:$S,Data!$A:$A,$B21,Data!$C:$C,C$1)=0,"",SUMIFS(Data!$S:$S,Data!$A:$A,$B21,Data!$C:$C,C$1))</f>
        <v>4</v>
      </c>
      <c r="D21" s="58">
        <f>IF(SUMIFS(Data!$S:$S,Data!$A:$A,$B21,Data!$C:$C,D$1)=0,"",SUMIFS(Data!$S:$S,Data!$A:$A,$B21,Data!$C:$C,D$1))</f>
        <v>3.85</v>
      </c>
      <c r="E21" s="58">
        <f>IF(SUMIFS(Data!$S:$S,Data!$A:$A,$B21,Data!$C:$C,E$1)=0,"",SUMIFS(Data!$S:$S,Data!$A:$A,$B21,Data!$C:$C,E$1))</f>
        <v>2.125</v>
      </c>
      <c r="F21" s="58" t="str">
        <f>IF(SUMIFS(Data!$S:$S,Data!$A:$A,$B21,Data!$C:$C,F$1)=0,"",SUMIFS(Data!$S:$S,Data!$A:$A,$B21,Data!$C:$C,F$1))</f>
        <v/>
      </c>
      <c r="G21" s="58">
        <f>IF(SUMIFS(Data!$S:$S,Data!$A:$A,$B21,Data!$C:$C,G$1)=0,"",SUMIFS(Data!$S:$S,Data!$A:$A,$B21,Data!$C:$C,G$1))</f>
        <v>3.1113333333333335</v>
      </c>
      <c r="H21" s="58">
        <f>IF(SUMIFS(Data!$S:$S,Data!$A:$A,$B21,Data!$C:$C,H$1)=0,"",SUMIFS(Data!$S:$S,Data!$A:$A,$B21,Data!$C:$C,H$1))</f>
        <v>2.75</v>
      </c>
      <c r="I21" s="58">
        <f>IF(SUMIFS(Data!$S:$S,Data!$A:$A,$B21,Data!$C:$C,I$1)=0,"",SUMIFS(Data!$S:$S,Data!$A:$A,$B21,Data!$C:$C,I$1))</f>
        <v>2.875</v>
      </c>
      <c r="J21" s="58">
        <f>IF(SUMIFS(Data!$S:$S,Data!$A:$A,$B21,Data!$C:$C,J$1)=0,"",SUMIFS(Data!$S:$S,Data!$A:$A,$B21,Data!$C:$C,J$1))</f>
        <v>3.5249999999999999</v>
      </c>
      <c r="K21" s="58">
        <f>IF(SUMIFS(Data!$S:$S,Data!$A:$A,$B21,Data!$C:$C,K$1)=0,"",SUMIFS(Data!$S:$S,Data!$A:$A,$B21,Data!$C:$C,K$1))</f>
        <v>3.25</v>
      </c>
      <c r="L21" s="58">
        <f>IF(SUMIFS(Data!$S:$S,Data!$A:$A,$B21,Data!$C:$C,L$1)=0,"",SUMIFS(Data!$S:$S,Data!$A:$A,$B21,Data!$C:$C,L$1))</f>
        <v>2.625</v>
      </c>
      <c r="M21" s="58">
        <f>IF(SUMIFS(Data!$S:$S,Data!$A:$A,$B21,Data!$C:$C,M$1)=0,"",SUMIFS(Data!$S:$S,Data!$A:$A,$B21,Data!$C:$C,M$1))</f>
        <v>3.45</v>
      </c>
      <c r="N21" s="58">
        <f>IF(SUMIFS(Data!$S:$S,Data!$A:$A,$B21,Data!$C:$C,N$1)=0,"",SUMIFS(Data!$S:$S,Data!$A:$A,$B21,Data!$C:$C,N$1))</f>
        <v>2.75</v>
      </c>
      <c r="O21" s="58" t="str">
        <f>IF(SUMIFS(Data!$S:$S,Data!$A:$A,$B21,Data!$C:$C,O$1)=0,"",SUMIFS(Data!$S:$S,Data!$A:$A,$B21,Data!$C:$C,O$1))</f>
        <v/>
      </c>
      <c r="P21" s="58" t="str">
        <f>IF(SUMIFS(Data!$S:$S,Data!$A:$A,$B21,Data!$C:$C,P$1)=0,"",SUMIFS(Data!$S:$S,Data!$A:$A,$B21,Data!$C:$C,P$1))</f>
        <v/>
      </c>
      <c r="Q21" s="58" t="str">
        <f>IF(SUMIFS(Data!$S:$S,Data!$A:$A,$B21,Data!$C:$C,Q$1)=0,"",SUMIFS(Data!$S:$S,Data!$A:$A,$B21,Data!$C:$C,Q$1))</f>
        <v/>
      </c>
      <c r="R21" s="58">
        <f>IF(SUMIFS(Data!X:X,Data!A:A,B21)=12,5,IF(SUMIFS(Data!X:X,Data!A:A,B21)&gt;9,3,IF(SUMIFS(Data!X:X,Data!A:A,B21)&gt;4,1,0)))</f>
        <v>3</v>
      </c>
      <c r="S21" s="58">
        <f t="shared" si="0"/>
        <v>3</v>
      </c>
      <c r="T21" s="58">
        <f t="shared" si="1"/>
        <v>40.31133333333333</v>
      </c>
      <c r="U21" s="58">
        <f>SUMIFS(Data!D:D,Data!A:A,B21)</f>
        <v>202.02999999999997</v>
      </c>
    </row>
    <row r="22" spans="1:21" ht="12.75">
      <c r="A22" s="57">
        <v>21</v>
      </c>
      <c r="B22" s="57" t="s">
        <v>8</v>
      </c>
      <c r="C22" s="58">
        <f>IF(SUMIFS(Data!$S:$S,Data!$A:$A,$B22,Data!$C:$C,C$1)=0,"",SUMIFS(Data!$S:$S,Data!$A:$A,$B22,Data!$C:$C,C$1))</f>
        <v>2.625</v>
      </c>
      <c r="D22" s="58">
        <f>IF(SUMIFS(Data!$S:$S,Data!$A:$A,$B22,Data!$C:$C,D$1)=0,"",SUMIFS(Data!$S:$S,Data!$A:$A,$B22,Data!$C:$C,D$1))</f>
        <v>2.75</v>
      </c>
      <c r="E22" s="58">
        <f>IF(SUMIFS(Data!$S:$S,Data!$A:$A,$B22,Data!$C:$C,E$1)=0,"",SUMIFS(Data!$S:$S,Data!$A:$A,$B22,Data!$C:$C,E$1))</f>
        <v>2.625</v>
      </c>
      <c r="F22" s="58">
        <f>IF(SUMIFS(Data!$S:$S,Data!$A:$A,$B22,Data!$C:$C,F$1)=0,"",SUMIFS(Data!$S:$S,Data!$A:$A,$B22,Data!$C:$C,F$1))</f>
        <v>2.75</v>
      </c>
      <c r="G22" s="58">
        <f>IF(SUMIFS(Data!$S:$S,Data!$A:$A,$B22,Data!$C:$C,G$1)=0,"",SUMIFS(Data!$S:$S,Data!$A:$A,$B22,Data!$C:$C,G$1))</f>
        <v>2.375</v>
      </c>
      <c r="H22" s="58">
        <f>IF(SUMIFS(Data!$S:$S,Data!$A:$A,$B22,Data!$C:$C,H$1)=0,"",SUMIFS(Data!$S:$S,Data!$A:$A,$B22,Data!$C:$C,H$1))</f>
        <v>2.375</v>
      </c>
      <c r="I22" s="58">
        <f>IF(SUMIFS(Data!$S:$S,Data!$A:$A,$B22,Data!$C:$C,I$1)=0,"",SUMIFS(Data!$S:$S,Data!$A:$A,$B22,Data!$C:$C,I$1))</f>
        <v>2.5</v>
      </c>
      <c r="J22" s="58">
        <f>IF(SUMIFS(Data!$S:$S,Data!$A:$A,$B22,Data!$C:$C,J$1)=0,"",SUMIFS(Data!$S:$S,Data!$A:$A,$B22,Data!$C:$C,J$1))</f>
        <v>3</v>
      </c>
      <c r="K22" s="58">
        <f>IF(SUMIFS(Data!$S:$S,Data!$A:$A,$B22,Data!$C:$C,K$1)=0,"",SUMIFS(Data!$S:$S,Data!$A:$A,$B22,Data!$C:$C,K$1))</f>
        <v>2.5</v>
      </c>
      <c r="L22" s="58">
        <f>IF(SUMIFS(Data!$S:$S,Data!$A:$A,$B22,Data!$C:$C,L$1)=0,"",SUMIFS(Data!$S:$S,Data!$A:$A,$B22,Data!$C:$C,L$1))</f>
        <v>2</v>
      </c>
      <c r="M22" s="58">
        <f>IF(SUMIFS(Data!$S:$S,Data!$A:$A,$B22,Data!$C:$C,M$1)=0,"",SUMIFS(Data!$S:$S,Data!$A:$A,$B22,Data!$C:$C,M$1))</f>
        <v>2.125</v>
      </c>
      <c r="N22" s="58">
        <f>IF(SUMIFS(Data!$S:$S,Data!$A:$A,$B22,Data!$C:$C,N$1)=0,"",SUMIFS(Data!$S:$S,Data!$A:$A,$B22,Data!$C:$C,N$1))</f>
        <v>2.25</v>
      </c>
      <c r="O22" s="58" t="str">
        <f>IF(SUMIFS(Data!$S:$S,Data!$A:$A,$B22,Data!$C:$C,O$1)=0,"",SUMIFS(Data!$S:$S,Data!$A:$A,$B22,Data!$C:$C,O$1))</f>
        <v/>
      </c>
      <c r="P22" s="58" t="str">
        <f>IF(SUMIFS(Data!$S:$S,Data!$A:$A,$B22,Data!$C:$C,P$1)=0,"",SUMIFS(Data!$S:$S,Data!$A:$A,$B22,Data!$C:$C,P$1))</f>
        <v/>
      </c>
      <c r="Q22" s="58" t="str">
        <f>IF(SUMIFS(Data!$S:$S,Data!$A:$A,$B22,Data!$C:$C,Q$1)=0,"",SUMIFS(Data!$S:$S,Data!$A:$A,$B22,Data!$C:$C,Q$1))</f>
        <v/>
      </c>
      <c r="R22" s="58">
        <f>IF(SUMIFS(Data!X:X,Data!A:A,B22)=12,5,IF(SUMIFS(Data!X:X,Data!A:A,B22)&gt;9,3,IF(SUMIFS(Data!X:X,Data!A:A,B22)&gt;4,1,0)))</f>
        <v>5</v>
      </c>
      <c r="S22" s="58">
        <f t="shared" si="0"/>
        <v>5</v>
      </c>
      <c r="T22" s="58">
        <f t="shared" si="1"/>
        <v>39.875</v>
      </c>
      <c r="U22" s="58">
        <f>SUMIFS(Data!D:D,Data!A:A,B22)</f>
        <v>96.56</v>
      </c>
    </row>
    <row r="23" spans="1:21" ht="12.75">
      <c r="A23" s="57">
        <v>22</v>
      </c>
      <c r="B23" s="57" t="s">
        <v>53</v>
      </c>
      <c r="C23" s="58">
        <f>IF(SUMIFS(Data!$S:$S,Data!$A:$A,$B23,Data!$C:$C,C$1)=0,"",SUMIFS(Data!$S:$S,Data!$A:$A,$B23,Data!$C:$C,C$1))</f>
        <v>2.6996666666666669</v>
      </c>
      <c r="D23" s="58">
        <f>IF(SUMIFS(Data!$S:$S,Data!$A:$A,$B23,Data!$C:$C,D$1)=0,"",SUMIFS(Data!$S:$S,Data!$A:$A,$B23,Data!$C:$C,D$1))</f>
        <v>2.25</v>
      </c>
      <c r="E23" s="58">
        <f>IF(SUMIFS(Data!$S:$S,Data!$A:$A,$B23,Data!$C:$C,E$1)=0,"",SUMIFS(Data!$S:$S,Data!$A:$A,$B23,Data!$C:$C,E$1))</f>
        <v>2.625</v>
      </c>
      <c r="F23" s="58">
        <f>IF(SUMIFS(Data!$S:$S,Data!$A:$A,$B23,Data!$C:$C,F$1)=0,"",SUMIFS(Data!$S:$S,Data!$A:$A,$B23,Data!$C:$C,F$1))</f>
        <v>2.8586666666666667</v>
      </c>
      <c r="G23" s="58">
        <f>IF(SUMIFS(Data!$S:$S,Data!$A:$A,$B23,Data!$C:$C,G$1)=0,"",SUMIFS(Data!$S:$S,Data!$A:$A,$B23,Data!$C:$C,G$1))</f>
        <v>1.625</v>
      </c>
      <c r="H23" s="58">
        <f>IF(SUMIFS(Data!$S:$S,Data!$A:$A,$B23,Data!$C:$C,H$1)=0,"",SUMIFS(Data!$S:$S,Data!$A:$A,$B23,Data!$C:$C,H$1))</f>
        <v>3.5523333333333333</v>
      </c>
      <c r="I23" s="58">
        <f>IF(SUMIFS(Data!$S:$S,Data!$A:$A,$B23,Data!$C:$C,I$1)=0,"",SUMIFS(Data!$S:$S,Data!$A:$A,$B23,Data!$C:$C,I$1))</f>
        <v>2.8479999999999999</v>
      </c>
      <c r="J23" s="58">
        <f>IF(SUMIFS(Data!$S:$S,Data!$A:$A,$B23,Data!$C:$C,J$1)=0,"",SUMIFS(Data!$S:$S,Data!$A:$A,$B23,Data!$C:$C,J$1))</f>
        <v>2.4550000000000001</v>
      </c>
      <c r="K23" s="58">
        <f>IF(SUMIFS(Data!$S:$S,Data!$A:$A,$B23,Data!$C:$C,K$1)=0,"",SUMIFS(Data!$S:$S,Data!$A:$A,$B23,Data!$C:$C,K$1))</f>
        <v>2.25</v>
      </c>
      <c r="L23" s="58">
        <f>IF(SUMIFS(Data!$S:$S,Data!$A:$A,$B23,Data!$C:$C,L$1)=0,"",SUMIFS(Data!$S:$S,Data!$A:$A,$B23,Data!$C:$C,L$1))</f>
        <v>2</v>
      </c>
      <c r="M23" s="58">
        <f>IF(SUMIFS(Data!$S:$S,Data!$A:$A,$B23,Data!$C:$C,M$1)=0,"",SUMIFS(Data!$S:$S,Data!$A:$A,$B23,Data!$C:$C,M$1))</f>
        <v>2.5866666666666669</v>
      </c>
      <c r="N23" s="58">
        <f>IF(SUMIFS(Data!$S:$S,Data!$A:$A,$B23,Data!$C:$C,N$1)=0,"",SUMIFS(Data!$S:$S,Data!$A:$A,$B23,Data!$C:$C,N$1))</f>
        <v>1.75</v>
      </c>
      <c r="O23" s="58" t="str">
        <f>IF(SUMIFS(Data!$S:$S,Data!$A:$A,$B23,Data!$C:$C,O$1)=0,"",SUMIFS(Data!$S:$S,Data!$A:$A,$B23,Data!$C:$C,O$1))</f>
        <v/>
      </c>
      <c r="P23" s="58" t="str">
        <f>IF(SUMIFS(Data!$S:$S,Data!$A:$A,$B23,Data!$C:$C,P$1)=0,"",SUMIFS(Data!$S:$S,Data!$A:$A,$B23,Data!$C:$C,P$1))</f>
        <v/>
      </c>
      <c r="Q23" s="58" t="str">
        <f>IF(SUMIFS(Data!$S:$S,Data!$A:$A,$B23,Data!$C:$C,Q$1)=0,"",SUMIFS(Data!$S:$S,Data!$A:$A,$B23,Data!$C:$C,Q$1))</f>
        <v/>
      </c>
      <c r="R23" s="58">
        <f>IF(SUMIFS(Data!X:X,Data!A:A,B23)=12,5,IF(SUMIFS(Data!X:X,Data!A:A,B23)&gt;9,3,IF(SUMIFS(Data!X:X,Data!A:A,B23)&gt;4,1,0)))</f>
        <v>5</v>
      </c>
      <c r="S23" s="58">
        <f t="shared" si="0"/>
        <v>5</v>
      </c>
      <c r="T23" s="58">
        <f t="shared" si="1"/>
        <v>39.50033333333333</v>
      </c>
      <c r="U23" s="58">
        <f>SUMIFS(Data!D:D,Data!A:A,B23)</f>
        <v>172.74</v>
      </c>
    </row>
    <row r="24" spans="1:21" ht="12.75">
      <c r="A24" s="57">
        <v>23</v>
      </c>
      <c r="B24" s="57" t="s">
        <v>66</v>
      </c>
      <c r="C24" s="58">
        <f>IF(SUMIFS(Data!$S:$S,Data!$A:$A,$B24,Data!$C:$C,C$1)=0,"",SUMIFS(Data!$S:$S,Data!$A:$A,$B24,Data!$C:$C,C$1))</f>
        <v>1.25</v>
      </c>
      <c r="D24" s="58">
        <f>IF(SUMIFS(Data!$S:$S,Data!$A:$A,$B24,Data!$C:$C,D$1)=0,"",SUMIFS(Data!$S:$S,Data!$A:$A,$B24,Data!$C:$C,D$1))</f>
        <v>2.125</v>
      </c>
      <c r="E24" s="58">
        <f>IF(SUMIFS(Data!$S:$S,Data!$A:$A,$B24,Data!$C:$C,E$1)=0,"",SUMIFS(Data!$S:$S,Data!$A:$A,$B24,Data!$C:$C,E$1))</f>
        <v>1.875</v>
      </c>
      <c r="F24" s="58">
        <f>IF(SUMIFS(Data!$S:$S,Data!$A:$A,$B24,Data!$C:$C,F$1)=0,"",SUMIFS(Data!$S:$S,Data!$A:$A,$B24,Data!$C:$C,F$1))</f>
        <v>2.375</v>
      </c>
      <c r="G24" s="58">
        <f>IF(SUMIFS(Data!$S:$S,Data!$A:$A,$B24,Data!$C:$C,G$1)=0,"",SUMIFS(Data!$S:$S,Data!$A:$A,$B24,Data!$C:$C,G$1))</f>
        <v>2.25</v>
      </c>
      <c r="H24" s="58">
        <f>IF(SUMIFS(Data!$S:$S,Data!$A:$A,$B24,Data!$C:$C,H$1)=0,"",SUMIFS(Data!$S:$S,Data!$A:$A,$B24,Data!$C:$C,H$1))</f>
        <v>2</v>
      </c>
      <c r="I24" s="58">
        <f>IF(SUMIFS(Data!$S:$S,Data!$A:$A,$B24,Data!$C:$C,I$1)=0,"",SUMIFS(Data!$S:$S,Data!$A:$A,$B24,Data!$C:$C,I$1))</f>
        <v>2.125</v>
      </c>
      <c r="J24" s="58">
        <f>IF(SUMIFS(Data!$S:$S,Data!$A:$A,$B24,Data!$C:$C,J$1)=0,"",SUMIFS(Data!$S:$S,Data!$A:$A,$B24,Data!$C:$C,J$1))</f>
        <v>2.875</v>
      </c>
      <c r="K24" s="58">
        <f>IF(SUMIFS(Data!$S:$S,Data!$A:$A,$B24,Data!$C:$C,K$1)=0,"",SUMIFS(Data!$S:$S,Data!$A:$A,$B24,Data!$C:$C,K$1))</f>
        <v>3.25</v>
      </c>
      <c r="L24" s="58">
        <f>IF(SUMIFS(Data!$S:$S,Data!$A:$A,$B24,Data!$C:$C,L$1)=0,"",SUMIFS(Data!$S:$S,Data!$A:$A,$B24,Data!$C:$C,L$1))</f>
        <v>2.25</v>
      </c>
      <c r="M24" s="58">
        <f>IF(SUMIFS(Data!$S:$S,Data!$A:$A,$B24,Data!$C:$C,M$1)=0,"",SUMIFS(Data!$S:$S,Data!$A:$A,$B24,Data!$C:$C,M$1))</f>
        <v>3.7250000000000001</v>
      </c>
      <c r="N24" s="58">
        <f>IF(SUMIFS(Data!$S:$S,Data!$A:$A,$B24,Data!$C:$C,N$1)=0,"",SUMIFS(Data!$S:$S,Data!$A:$A,$B24,Data!$C:$C,N$1))</f>
        <v>2.875</v>
      </c>
      <c r="O24" s="58" t="str">
        <f>IF(SUMIFS(Data!$S:$S,Data!$A:$A,$B24,Data!$C:$C,O$1)=0,"",SUMIFS(Data!$S:$S,Data!$A:$A,$B24,Data!$C:$C,O$1))</f>
        <v/>
      </c>
      <c r="P24" s="58" t="str">
        <f>IF(SUMIFS(Data!$S:$S,Data!$A:$A,$B24,Data!$C:$C,P$1)=0,"",SUMIFS(Data!$S:$S,Data!$A:$A,$B24,Data!$C:$C,P$1))</f>
        <v/>
      </c>
      <c r="Q24" s="58" t="str">
        <f>IF(SUMIFS(Data!$S:$S,Data!$A:$A,$B24,Data!$C:$C,Q$1)=0,"",SUMIFS(Data!$S:$S,Data!$A:$A,$B24,Data!$C:$C,Q$1))</f>
        <v/>
      </c>
      <c r="R24" s="58">
        <f>IF(SUMIFS(Data!X:X,Data!A:A,B24)=12,5,IF(SUMIFS(Data!X:X,Data!A:A,B24)&gt;9,3,IF(SUMIFS(Data!X:X,Data!A:A,B24)&gt;4,1,0)))</f>
        <v>5</v>
      </c>
      <c r="S24" s="58">
        <f t="shared" si="0"/>
        <v>5</v>
      </c>
      <c r="T24" s="58">
        <f t="shared" si="1"/>
        <v>38.975000000000001</v>
      </c>
      <c r="U24" s="58">
        <f>SUMIFS(Data!D:D,Data!A:A,B24)</f>
        <v>178.32409000000001</v>
      </c>
    </row>
    <row r="25" spans="1:21" ht="12.75">
      <c r="A25" s="57">
        <v>24</v>
      </c>
      <c r="B25" s="57" t="s">
        <v>206</v>
      </c>
      <c r="C25" s="58">
        <f>IF(SUMIFS(Data!$S:$S,Data!$A:$A,$B25,Data!$C:$C,C$1)=0,"",SUMIFS(Data!$S:$S,Data!$A:$A,$B25,Data!$C:$C,C$1))</f>
        <v>2.875</v>
      </c>
      <c r="D25" s="58">
        <f>IF(SUMIFS(Data!$S:$S,Data!$A:$A,$B25,Data!$C:$C,D$1)=0,"",SUMIFS(Data!$S:$S,Data!$A:$A,$B25,Data!$C:$C,D$1))</f>
        <v>2.25</v>
      </c>
      <c r="E25" s="58">
        <f>IF(SUMIFS(Data!$S:$S,Data!$A:$A,$B25,Data!$C:$C,E$1)=0,"",SUMIFS(Data!$S:$S,Data!$A:$A,$B25,Data!$C:$C,E$1))</f>
        <v>3.75</v>
      </c>
      <c r="F25" s="58">
        <f>IF(SUMIFS(Data!$S:$S,Data!$A:$A,$B25,Data!$C:$C,F$1)=0,"",SUMIFS(Data!$S:$S,Data!$A:$A,$B25,Data!$C:$C,F$1))</f>
        <v>3</v>
      </c>
      <c r="G25" s="58">
        <f>IF(SUMIFS(Data!$S:$S,Data!$A:$A,$B25,Data!$C:$C,G$1)=0,"",SUMIFS(Data!$S:$S,Data!$A:$A,$B25,Data!$C:$C,G$1))</f>
        <v>2</v>
      </c>
      <c r="H25" s="58">
        <f>IF(SUMIFS(Data!$S:$S,Data!$A:$A,$B25,Data!$C:$C,H$1)=0,"",SUMIFS(Data!$S:$S,Data!$A:$A,$B25,Data!$C:$C,H$1))</f>
        <v>2.625</v>
      </c>
      <c r="I25" s="58">
        <f>IF(SUMIFS(Data!$S:$S,Data!$A:$A,$B25,Data!$C:$C,I$1)=0,"",SUMIFS(Data!$S:$S,Data!$A:$A,$B25,Data!$C:$C,I$1))</f>
        <v>3</v>
      </c>
      <c r="J25" s="58">
        <f>IF(SUMIFS(Data!$S:$S,Data!$A:$A,$B25,Data!$C:$C,J$1)=0,"",SUMIFS(Data!$S:$S,Data!$A:$A,$B25,Data!$C:$C,J$1))</f>
        <v>3.0546666666666669</v>
      </c>
      <c r="K25" s="58">
        <f>IF(SUMIFS(Data!$S:$S,Data!$A:$A,$B25,Data!$C:$C,K$1)=0,"",SUMIFS(Data!$S:$S,Data!$A:$A,$B25,Data!$C:$C,K$1))</f>
        <v>2.625</v>
      </c>
      <c r="L25" s="58" t="str">
        <f>IF(SUMIFS(Data!$S:$S,Data!$A:$A,$B25,Data!$C:$C,L$1)=0,"",SUMIFS(Data!$S:$S,Data!$A:$A,$B25,Data!$C:$C,L$1))</f>
        <v/>
      </c>
      <c r="M25" s="58">
        <f>IF(SUMIFS(Data!$S:$S,Data!$A:$A,$B25,Data!$C:$C,M$1)=0,"",SUMIFS(Data!$S:$S,Data!$A:$A,$B25,Data!$C:$C,M$1))</f>
        <v>2.625</v>
      </c>
      <c r="N25" s="58">
        <f>IF(SUMIFS(Data!$S:$S,Data!$A:$A,$B25,Data!$C:$C,N$1)=0,"",SUMIFS(Data!$S:$S,Data!$A:$A,$B25,Data!$C:$C,N$1))</f>
        <v>2.25</v>
      </c>
      <c r="O25" s="58" t="str">
        <f>IF(SUMIFS(Data!$S:$S,Data!$A:$A,$B25,Data!$C:$C,O$1)=0,"",SUMIFS(Data!$S:$S,Data!$A:$A,$B25,Data!$C:$C,O$1))</f>
        <v/>
      </c>
      <c r="P25" s="58" t="str">
        <f>IF(SUMIFS(Data!$S:$S,Data!$A:$A,$B25,Data!$C:$C,P$1)=0,"",SUMIFS(Data!$S:$S,Data!$A:$A,$B25,Data!$C:$C,P$1))</f>
        <v/>
      </c>
      <c r="Q25" s="58" t="str">
        <f>IF(SUMIFS(Data!$S:$S,Data!$A:$A,$B25,Data!$C:$C,Q$1)=0,"",SUMIFS(Data!$S:$S,Data!$A:$A,$B25,Data!$C:$C,Q$1))</f>
        <v/>
      </c>
      <c r="R25" s="58">
        <f>IF(SUMIFS(Data!X:X,Data!A:A,B25)=12,5,IF(SUMIFS(Data!X:X,Data!A:A,B25)&gt;9,3,IF(SUMIFS(Data!X:X,Data!A:A,B25)&gt;4,1,0)))</f>
        <v>3</v>
      </c>
      <c r="S25" s="58">
        <f t="shared" si="0"/>
        <v>3</v>
      </c>
      <c r="T25" s="58">
        <f t="shared" si="1"/>
        <v>36.054666666666662</v>
      </c>
      <c r="U25" s="58">
        <f>SUMIFS(Data!D:D,Data!A:A,B25)</f>
        <v>109.27999999999999</v>
      </c>
    </row>
    <row r="26" spans="1:21" ht="12.75">
      <c r="A26" s="57">
        <v>25</v>
      </c>
      <c r="B26" s="57" t="s">
        <v>205</v>
      </c>
      <c r="C26" s="58">
        <f>IF(SUMIFS(Data!$S:$S,Data!$A:$A,$B26,Data!$C:$C,C$1)=0,"",SUMIFS(Data!$S:$S,Data!$A:$A,$B26,Data!$C:$C,C$1))</f>
        <v>4.6106666666666669</v>
      </c>
      <c r="D26" s="58">
        <f>IF(SUMIFS(Data!$S:$S,Data!$A:$A,$B26,Data!$C:$C,D$1)=0,"",SUMIFS(Data!$S:$S,Data!$A:$A,$B26,Data!$C:$C,D$1))</f>
        <v>3.7359999999999998</v>
      </c>
      <c r="E26" s="58">
        <f>IF(SUMIFS(Data!$S:$S,Data!$A:$A,$B26,Data!$C:$C,E$1)=0,"",SUMIFS(Data!$S:$S,Data!$A:$A,$B26,Data!$C:$C,E$1))</f>
        <v>3.871666666666667</v>
      </c>
      <c r="F26" s="58">
        <f>IF(SUMIFS(Data!$S:$S,Data!$A:$A,$B26,Data!$C:$C,F$1)=0,"",SUMIFS(Data!$S:$S,Data!$A:$A,$B26,Data!$C:$C,F$1))</f>
        <v>3.9540000000000002</v>
      </c>
      <c r="G26" s="58">
        <f>IF(SUMIFS(Data!$S:$S,Data!$A:$A,$B26,Data!$C:$C,G$1)=0,"",SUMIFS(Data!$S:$S,Data!$A:$A,$B26,Data!$C:$C,G$1))</f>
        <v>5.7249999999999996</v>
      </c>
      <c r="H26" s="58">
        <f>IF(SUMIFS(Data!$S:$S,Data!$A:$A,$B26,Data!$C:$C,H$1)=0,"",SUMIFS(Data!$S:$S,Data!$A:$A,$B26,Data!$C:$C,H$1))</f>
        <v>1.5</v>
      </c>
      <c r="I26" s="58" t="str">
        <f>IF(SUMIFS(Data!$S:$S,Data!$A:$A,$B26,Data!$C:$C,I$1)=0,"",SUMIFS(Data!$S:$S,Data!$A:$A,$B26,Data!$C:$C,I$1))</f>
        <v/>
      </c>
      <c r="J26" s="58" t="str">
        <f>IF(SUMIFS(Data!$S:$S,Data!$A:$A,$B26,Data!$C:$C,J$1)=0,"",SUMIFS(Data!$S:$S,Data!$A:$A,$B26,Data!$C:$C,J$1))</f>
        <v/>
      </c>
      <c r="K26" s="58" t="str">
        <f>IF(SUMIFS(Data!$S:$S,Data!$A:$A,$B26,Data!$C:$C,K$1)=0,"",SUMIFS(Data!$S:$S,Data!$A:$A,$B26,Data!$C:$C,K$1))</f>
        <v/>
      </c>
      <c r="L26" s="58" t="str">
        <f>IF(SUMIFS(Data!$S:$S,Data!$A:$A,$B26,Data!$C:$C,L$1)=0,"",SUMIFS(Data!$S:$S,Data!$A:$A,$B26,Data!$C:$C,L$1))</f>
        <v/>
      </c>
      <c r="M26" s="58">
        <f>IF(SUMIFS(Data!$S:$S,Data!$A:$A,$B26,Data!$C:$C,M$1)=0,"",SUMIFS(Data!$S:$S,Data!$A:$A,$B26,Data!$C:$C,M$1))</f>
        <v>3.5596666666666668</v>
      </c>
      <c r="N26" s="58" t="str">
        <f>IF(SUMIFS(Data!$S:$S,Data!$A:$A,$B26,Data!$C:$C,N$1)=0,"",SUMIFS(Data!$S:$S,Data!$A:$A,$B26,Data!$C:$C,N$1))</f>
        <v/>
      </c>
      <c r="O26" s="58" t="str">
        <f>IF(SUMIFS(Data!$S:$S,Data!$A:$A,$B26,Data!$C:$C,O$1)=0,"",SUMIFS(Data!$S:$S,Data!$A:$A,$B26,Data!$C:$C,O$1))</f>
        <v/>
      </c>
      <c r="P26" s="58" t="str">
        <f>IF(SUMIFS(Data!$S:$S,Data!$A:$A,$B26,Data!$C:$C,P$1)=0,"",SUMIFS(Data!$S:$S,Data!$A:$A,$B26,Data!$C:$C,P$1))</f>
        <v/>
      </c>
      <c r="Q26" s="58" t="str">
        <f>IF(SUMIFS(Data!$S:$S,Data!$A:$A,$B26,Data!$C:$C,Q$1)=0,"",SUMIFS(Data!$S:$S,Data!$A:$A,$B26,Data!$C:$C,Q$1))</f>
        <v/>
      </c>
      <c r="R26" s="58">
        <f>IF(SUMIFS(Data!X:X,Data!A:A,B26)=12,5,IF(SUMIFS(Data!X:X,Data!A:A,B26)&gt;9,3,IF(SUMIFS(Data!X:X,Data!A:A,B26)&gt;4,1,0)))</f>
        <v>1</v>
      </c>
      <c r="S26" s="58">
        <f t="shared" si="0"/>
        <v>0</v>
      </c>
      <c r="T26" s="58">
        <f t="shared" si="1"/>
        <v>27.957000000000001</v>
      </c>
      <c r="U26" s="58">
        <f>SUMIFS(Data!D:D,Data!A:A,B26)</f>
        <v>122.24</v>
      </c>
    </row>
    <row r="27" spans="1:21" ht="12.75">
      <c r="A27" s="57">
        <v>26</v>
      </c>
      <c r="B27" s="57" t="s">
        <v>202</v>
      </c>
      <c r="C27" s="58">
        <f>IF(SUMIFS(Data!$S:$S,Data!$A:$A,$B27,Data!$C:$C,C$1)=0,"",SUMIFS(Data!$S:$S,Data!$A:$A,$B27,Data!$C:$C,C$1))</f>
        <v>3.2593333333333332</v>
      </c>
      <c r="D27" s="58">
        <f>IF(SUMIFS(Data!$S:$S,Data!$A:$A,$B27,Data!$C:$C,D$1)=0,"",SUMIFS(Data!$S:$S,Data!$A:$A,$B27,Data!$C:$C,D$1))</f>
        <v>3.9250000000000003</v>
      </c>
      <c r="E27" s="58">
        <f>IF(SUMIFS(Data!$S:$S,Data!$A:$A,$B27,Data!$C:$C,E$1)=0,"",SUMIFS(Data!$S:$S,Data!$A:$A,$B27,Data!$C:$C,E$1))</f>
        <v>2.375</v>
      </c>
      <c r="F27" s="58">
        <f>IF(SUMIFS(Data!$S:$S,Data!$A:$A,$B27,Data!$C:$C,F$1)=0,"",SUMIFS(Data!$S:$S,Data!$A:$A,$B27,Data!$C:$C,F$1))</f>
        <v>3.125</v>
      </c>
      <c r="G27" s="58">
        <f>IF(SUMIFS(Data!$S:$S,Data!$A:$A,$B27,Data!$C:$C,G$1)=0,"",SUMIFS(Data!$S:$S,Data!$A:$A,$B27,Data!$C:$C,G$1))</f>
        <v>3.4556666666666667</v>
      </c>
      <c r="H27" s="58" t="str">
        <f>IF(SUMIFS(Data!$S:$S,Data!$A:$A,$B27,Data!$C:$C,H$1)=0,"",SUMIFS(Data!$S:$S,Data!$A:$A,$B27,Data!$C:$C,H$1))</f>
        <v/>
      </c>
      <c r="I27" s="58">
        <f>IF(SUMIFS(Data!$S:$S,Data!$A:$A,$B27,Data!$C:$C,I$1)=0,"",SUMIFS(Data!$S:$S,Data!$A:$A,$B27,Data!$C:$C,I$1))</f>
        <v>3.158666666666667</v>
      </c>
      <c r="J27" s="58">
        <f>IF(SUMIFS(Data!$S:$S,Data!$A:$A,$B27,Data!$C:$C,J$1)=0,"",SUMIFS(Data!$S:$S,Data!$A:$A,$B27,Data!$C:$C,J$1))</f>
        <v>2.6943333333333332</v>
      </c>
      <c r="K27" s="58">
        <f>IF(SUMIFS(Data!$S:$S,Data!$A:$A,$B27,Data!$C:$C,K$1)=0,"",SUMIFS(Data!$S:$S,Data!$A:$A,$B27,Data!$C:$C,K$1))</f>
        <v>3.3513333333333333</v>
      </c>
      <c r="L27" s="58" t="str">
        <f>IF(SUMIFS(Data!$S:$S,Data!$A:$A,$B27,Data!$C:$C,L$1)=0,"",SUMIFS(Data!$S:$S,Data!$A:$A,$B27,Data!$C:$C,L$1))</f>
        <v/>
      </c>
      <c r="M27" s="58" t="str">
        <f>IF(SUMIFS(Data!$S:$S,Data!$A:$A,$B27,Data!$C:$C,M$1)=0,"",SUMIFS(Data!$S:$S,Data!$A:$A,$B27,Data!$C:$C,M$1))</f>
        <v/>
      </c>
      <c r="N27" s="58" t="str">
        <f>IF(SUMIFS(Data!$S:$S,Data!$A:$A,$B27,Data!$C:$C,N$1)=0,"",SUMIFS(Data!$S:$S,Data!$A:$A,$B27,Data!$C:$C,N$1))</f>
        <v/>
      </c>
      <c r="O27" s="58" t="str">
        <f>IF(SUMIFS(Data!$S:$S,Data!$A:$A,$B27,Data!$C:$C,O$1)=0,"",SUMIFS(Data!$S:$S,Data!$A:$A,$B27,Data!$C:$C,O$1))</f>
        <v/>
      </c>
      <c r="P27" s="58" t="str">
        <f>IF(SUMIFS(Data!$S:$S,Data!$A:$A,$B27,Data!$C:$C,P$1)=0,"",SUMIFS(Data!$S:$S,Data!$A:$A,$B27,Data!$C:$C,P$1))</f>
        <v/>
      </c>
      <c r="Q27" s="58" t="str">
        <f>IF(SUMIFS(Data!$S:$S,Data!$A:$A,$B27,Data!$C:$C,Q$1)=0,"",SUMIFS(Data!$S:$S,Data!$A:$A,$B27,Data!$C:$C,Q$1))</f>
        <v/>
      </c>
      <c r="R27" s="58">
        <f>IF(SUMIFS(Data!X:X,Data!A:A,B27)=12,5,IF(SUMIFS(Data!X:X,Data!A:A,B27)&gt;9,3,IF(SUMIFS(Data!X:X,Data!A:A,B27)&gt;4,1,0)))</f>
        <v>1</v>
      </c>
      <c r="S27" s="58">
        <f t="shared" si="0"/>
        <v>0</v>
      </c>
      <c r="T27" s="58">
        <f t="shared" si="1"/>
        <v>26.344333333333335</v>
      </c>
      <c r="U27" s="58">
        <f>SUMIFS(Data!D:D,Data!A:A,B27)</f>
        <v>139.43</v>
      </c>
    </row>
    <row r="28" spans="1:21" ht="12.75">
      <c r="A28" s="57">
        <v>27</v>
      </c>
      <c r="B28" s="57" t="s">
        <v>64</v>
      </c>
      <c r="C28" s="58">
        <f>IF(SUMIFS(Data!$S:$S,Data!$A:$A,$B28,Data!$C:$C,C$1)=0,"",SUMIFS(Data!$S:$S,Data!$A:$A,$B28,Data!$C:$C,C$1))</f>
        <v>2.875</v>
      </c>
      <c r="D28" s="58">
        <f>IF(SUMIFS(Data!$S:$S,Data!$A:$A,$B28,Data!$C:$C,D$1)=0,"",SUMIFS(Data!$S:$S,Data!$A:$A,$B28,Data!$C:$C,D$1))</f>
        <v>2.875</v>
      </c>
      <c r="E28" s="58">
        <f>IF(SUMIFS(Data!$S:$S,Data!$A:$A,$B28,Data!$C:$C,E$1)=0,"",SUMIFS(Data!$S:$S,Data!$A:$A,$B28,Data!$C:$C,E$1))</f>
        <v>2.625</v>
      </c>
      <c r="F28" s="58">
        <f>IF(SUMIFS(Data!$S:$S,Data!$A:$A,$B28,Data!$C:$C,F$1)=0,"",SUMIFS(Data!$S:$S,Data!$A:$A,$B28,Data!$C:$C,F$1))</f>
        <v>2.875</v>
      </c>
      <c r="G28" s="58">
        <f>IF(SUMIFS(Data!$S:$S,Data!$A:$A,$B28,Data!$C:$C,G$1)=0,"",SUMIFS(Data!$S:$S,Data!$A:$A,$B28,Data!$C:$C,G$1))</f>
        <v>2.25</v>
      </c>
      <c r="H28" s="58">
        <f>IF(SUMIFS(Data!$S:$S,Data!$A:$A,$B28,Data!$C:$C,H$1)=0,"",SUMIFS(Data!$S:$S,Data!$A:$A,$B28,Data!$C:$C,H$1))</f>
        <v>1.875</v>
      </c>
      <c r="I28" s="58">
        <f>IF(SUMIFS(Data!$S:$S,Data!$A:$A,$B28,Data!$C:$C,I$1)=0,"",SUMIFS(Data!$S:$S,Data!$A:$A,$B28,Data!$C:$C,I$1))</f>
        <v>2.625</v>
      </c>
      <c r="J28" s="58">
        <f>IF(SUMIFS(Data!$S:$S,Data!$A:$A,$B28,Data!$C:$C,J$1)=0,"",SUMIFS(Data!$S:$S,Data!$A:$A,$B28,Data!$C:$C,J$1))</f>
        <v>2.375</v>
      </c>
      <c r="K28" s="58">
        <f>IF(SUMIFS(Data!$S:$S,Data!$A:$A,$B28,Data!$C:$C,K$1)=0,"",SUMIFS(Data!$S:$S,Data!$A:$A,$B28,Data!$C:$C,K$1))</f>
        <v>1.875</v>
      </c>
      <c r="L28" s="58" t="str">
        <f>IF(SUMIFS(Data!$S:$S,Data!$A:$A,$B28,Data!$C:$C,L$1)=0,"",SUMIFS(Data!$S:$S,Data!$A:$A,$B28,Data!$C:$C,L$1))</f>
        <v/>
      </c>
      <c r="M28" s="58" t="str">
        <f>IF(SUMIFS(Data!$S:$S,Data!$A:$A,$B28,Data!$C:$C,M$1)=0,"",SUMIFS(Data!$S:$S,Data!$A:$A,$B28,Data!$C:$C,M$1))</f>
        <v/>
      </c>
      <c r="N28" s="58" t="str">
        <f>IF(SUMIFS(Data!$S:$S,Data!$A:$A,$B28,Data!$C:$C,N$1)=0,"",SUMIFS(Data!$S:$S,Data!$A:$A,$B28,Data!$C:$C,N$1))</f>
        <v/>
      </c>
      <c r="O28" s="58" t="str">
        <f>IF(SUMIFS(Data!$S:$S,Data!$A:$A,$B28,Data!$C:$C,O$1)=0,"",SUMIFS(Data!$S:$S,Data!$A:$A,$B28,Data!$C:$C,O$1))</f>
        <v/>
      </c>
      <c r="P28" s="58" t="str">
        <f>IF(SUMIFS(Data!$S:$S,Data!$A:$A,$B28,Data!$C:$C,P$1)=0,"",SUMIFS(Data!$S:$S,Data!$A:$A,$B28,Data!$C:$C,P$1))</f>
        <v/>
      </c>
      <c r="Q28" s="58" t="str">
        <f>IF(SUMIFS(Data!$S:$S,Data!$A:$A,$B28,Data!$C:$C,Q$1)=0,"",SUMIFS(Data!$S:$S,Data!$A:$A,$B28,Data!$C:$C,Q$1))</f>
        <v/>
      </c>
      <c r="R28" s="58">
        <f>IF(SUMIFS(Data!X:X,Data!A:A,B28)=12,5,IF(SUMIFS(Data!X:X,Data!A:A,B28)&gt;9,3,IF(SUMIFS(Data!X:X,Data!A:A,B28)&gt;4,1,0)))</f>
        <v>1</v>
      </c>
      <c r="S28" s="58">
        <f t="shared" si="0"/>
        <v>0</v>
      </c>
      <c r="T28" s="58">
        <f t="shared" si="1"/>
        <v>23.25</v>
      </c>
      <c r="U28" s="58">
        <f>SUMIFS(Data!D:D,Data!A:A,B28)</f>
        <v>106.56</v>
      </c>
    </row>
    <row r="29" spans="1:21" ht="12.75">
      <c r="A29" s="57">
        <v>28</v>
      </c>
      <c r="B29" s="57" t="s">
        <v>59</v>
      </c>
      <c r="C29" s="58">
        <f>IF(SUMIFS(Data!$S:$S,Data!$A:$A,$B29,Data!$C:$C,C$1)=0,"",SUMIFS(Data!$S:$S,Data!$A:$A,$B29,Data!$C:$C,C$1))</f>
        <v>2.5</v>
      </c>
      <c r="D29" s="58" t="str">
        <f>IF(SUMIFS(Data!$S:$S,Data!$A:$A,$B29,Data!$C:$C,D$1)=0,"",SUMIFS(Data!$S:$S,Data!$A:$A,$B29,Data!$C:$C,D$1))</f>
        <v/>
      </c>
      <c r="E29" s="58">
        <f>IF(SUMIFS(Data!$S:$S,Data!$A:$A,$B29,Data!$C:$C,E$1)=0,"",SUMIFS(Data!$S:$S,Data!$A:$A,$B29,Data!$C:$C,E$1))</f>
        <v>2</v>
      </c>
      <c r="F29" s="58" t="str">
        <f>IF(SUMIFS(Data!$S:$S,Data!$A:$A,$B29,Data!$C:$C,F$1)=0,"",SUMIFS(Data!$S:$S,Data!$A:$A,$B29,Data!$C:$C,F$1))</f>
        <v/>
      </c>
      <c r="G29" s="58" t="str">
        <f>IF(SUMIFS(Data!$S:$S,Data!$A:$A,$B29,Data!$C:$C,G$1)=0,"",SUMIFS(Data!$S:$S,Data!$A:$A,$B29,Data!$C:$C,G$1))</f>
        <v/>
      </c>
      <c r="H29" s="58" t="str">
        <f>IF(SUMIFS(Data!$S:$S,Data!$A:$A,$B29,Data!$C:$C,H$1)=0,"",SUMIFS(Data!$S:$S,Data!$A:$A,$B29,Data!$C:$C,H$1))</f>
        <v/>
      </c>
      <c r="I29" s="58">
        <f>IF(SUMIFS(Data!$S:$S,Data!$A:$A,$B29,Data!$C:$C,I$1)=0,"",SUMIFS(Data!$S:$S,Data!$A:$A,$B29,Data!$C:$C,I$1))</f>
        <v>2.9809999999999999</v>
      </c>
      <c r="J29" s="58" t="str">
        <f>IF(SUMIFS(Data!$S:$S,Data!$A:$A,$B29,Data!$C:$C,J$1)=0,"",SUMIFS(Data!$S:$S,Data!$A:$A,$B29,Data!$C:$C,J$1))</f>
        <v/>
      </c>
      <c r="K29" s="58">
        <f>IF(SUMIFS(Data!$S:$S,Data!$A:$A,$B29,Data!$C:$C,K$1)=0,"",SUMIFS(Data!$S:$S,Data!$A:$A,$B29,Data!$C:$C,K$1))</f>
        <v>2.25</v>
      </c>
      <c r="L29" s="58">
        <f>IF(SUMIFS(Data!$S:$S,Data!$A:$A,$B29,Data!$C:$C,L$1)=0,"",SUMIFS(Data!$S:$S,Data!$A:$A,$B29,Data!$C:$C,L$1))</f>
        <v>2.25</v>
      </c>
      <c r="M29" s="58">
        <f>IF(SUMIFS(Data!$S:$S,Data!$A:$A,$B29,Data!$C:$C,M$1)=0,"",SUMIFS(Data!$S:$S,Data!$A:$A,$B29,Data!$C:$C,M$1))</f>
        <v>3.625</v>
      </c>
      <c r="N29" s="58">
        <f>IF(SUMIFS(Data!$S:$S,Data!$A:$A,$B29,Data!$C:$C,N$1)=0,"",SUMIFS(Data!$S:$S,Data!$A:$A,$B29,Data!$C:$C,N$1))</f>
        <v>2.5</v>
      </c>
      <c r="O29" s="58" t="str">
        <f>IF(SUMIFS(Data!$S:$S,Data!$A:$A,$B29,Data!$C:$C,O$1)=0,"",SUMIFS(Data!$S:$S,Data!$A:$A,$B29,Data!$C:$C,O$1))</f>
        <v/>
      </c>
      <c r="P29" s="58" t="str">
        <f>IF(SUMIFS(Data!$S:$S,Data!$A:$A,$B29,Data!$C:$C,P$1)=0,"",SUMIFS(Data!$S:$S,Data!$A:$A,$B29,Data!$C:$C,P$1))</f>
        <v/>
      </c>
      <c r="Q29" s="58" t="str">
        <f>IF(SUMIFS(Data!$S:$S,Data!$A:$A,$B29,Data!$C:$C,Q$1)=0,"",SUMIFS(Data!$S:$S,Data!$A:$A,$B29,Data!$C:$C,Q$1))</f>
        <v/>
      </c>
      <c r="R29" s="58">
        <f>IF(SUMIFS(Data!X:X,Data!A:A,B29)=12,5,IF(SUMIFS(Data!X:X,Data!A:A,B29)&gt;9,3,IF(SUMIFS(Data!X:X,Data!A:A,B29)&gt;4,1,0)))</f>
        <v>1</v>
      </c>
      <c r="S29" s="58">
        <f t="shared" si="0"/>
        <v>0</v>
      </c>
      <c r="T29" s="58">
        <f t="shared" si="1"/>
        <v>19.106000000000002</v>
      </c>
      <c r="U29" s="58">
        <f>SUMIFS(Data!D:D,Data!A:A,B29)</f>
        <v>120.18</v>
      </c>
    </row>
    <row r="30" spans="1:21" ht="12.75">
      <c r="A30" s="57">
        <v>29</v>
      </c>
      <c r="B30" s="57" t="s">
        <v>56</v>
      </c>
      <c r="C30" s="58">
        <f>IF(SUMIFS(Data!$S:$S,Data!$A:$A,$B30,Data!$C:$C,C$1)=0,"",SUMIFS(Data!$S:$S,Data!$A:$A,$B30,Data!$C:$C,C$1))</f>
        <v>2.5</v>
      </c>
      <c r="D30" s="58">
        <f>IF(SUMIFS(Data!$S:$S,Data!$A:$A,$B30,Data!$C:$C,D$1)=0,"",SUMIFS(Data!$S:$S,Data!$A:$A,$B30,Data!$C:$C,D$1))</f>
        <v>2.125</v>
      </c>
      <c r="E30" s="58">
        <f>IF(SUMIFS(Data!$S:$S,Data!$A:$A,$B30,Data!$C:$C,E$1)=0,"",SUMIFS(Data!$S:$S,Data!$A:$A,$B30,Data!$C:$C,E$1))</f>
        <v>1.5</v>
      </c>
      <c r="F30" s="58">
        <f>IF(SUMIFS(Data!$S:$S,Data!$A:$A,$B30,Data!$C:$C,F$1)=0,"",SUMIFS(Data!$S:$S,Data!$A:$A,$B30,Data!$C:$C,F$1))</f>
        <v>2.5</v>
      </c>
      <c r="G30" s="58" t="str">
        <f>IF(SUMIFS(Data!$S:$S,Data!$A:$A,$B30,Data!$C:$C,G$1)=0,"",SUMIFS(Data!$S:$S,Data!$A:$A,$B30,Data!$C:$C,G$1))</f>
        <v/>
      </c>
      <c r="H30" s="58">
        <f>IF(SUMIFS(Data!$S:$S,Data!$A:$A,$B30,Data!$C:$C,H$1)=0,"",SUMIFS(Data!$S:$S,Data!$A:$A,$B30,Data!$C:$C,H$1))</f>
        <v>2.375</v>
      </c>
      <c r="I30" s="58" t="str">
        <f>IF(SUMIFS(Data!$S:$S,Data!$A:$A,$B30,Data!$C:$C,I$1)=0,"",SUMIFS(Data!$S:$S,Data!$A:$A,$B30,Data!$C:$C,I$1))</f>
        <v/>
      </c>
      <c r="J30" s="58" t="str">
        <f>IF(SUMIFS(Data!$S:$S,Data!$A:$A,$B30,Data!$C:$C,J$1)=0,"",SUMIFS(Data!$S:$S,Data!$A:$A,$B30,Data!$C:$C,J$1))</f>
        <v/>
      </c>
      <c r="K30" s="58" t="str">
        <f>IF(SUMIFS(Data!$S:$S,Data!$A:$A,$B30,Data!$C:$C,K$1)=0,"",SUMIFS(Data!$S:$S,Data!$A:$A,$B30,Data!$C:$C,K$1))</f>
        <v/>
      </c>
      <c r="L30" s="58" t="str">
        <f>IF(SUMIFS(Data!$S:$S,Data!$A:$A,$B30,Data!$C:$C,L$1)=0,"",SUMIFS(Data!$S:$S,Data!$A:$A,$B30,Data!$C:$C,L$1))</f>
        <v/>
      </c>
      <c r="M30" s="58" t="str">
        <f>IF(SUMIFS(Data!$S:$S,Data!$A:$A,$B30,Data!$C:$C,M$1)=0,"",SUMIFS(Data!$S:$S,Data!$A:$A,$B30,Data!$C:$C,M$1))</f>
        <v/>
      </c>
      <c r="N30" s="58" t="str">
        <f>IF(SUMIFS(Data!$S:$S,Data!$A:$A,$B30,Data!$C:$C,N$1)=0,"",SUMIFS(Data!$S:$S,Data!$A:$A,$B30,Data!$C:$C,N$1))</f>
        <v/>
      </c>
      <c r="O30" s="58" t="str">
        <f>IF(SUMIFS(Data!$S:$S,Data!$A:$A,$B30,Data!$C:$C,O$1)=0,"",SUMIFS(Data!$S:$S,Data!$A:$A,$B30,Data!$C:$C,O$1))</f>
        <v/>
      </c>
      <c r="P30" s="58" t="str">
        <f>IF(SUMIFS(Data!$S:$S,Data!$A:$A,$B30,Data!$C:$C,P$1)=0,"",SUMIFS(Data!$S:$S,Data!$A:$A,$B30,Data!$C:$C,P$1))</f>
        <v/>
      </c>
      <c r="Q30" s="58" t="str">
        <f>IF(SUMIFS(Data!$S:$S,Data!$A:$A,$B30,Data!$C:$C,Q$1)=0,"",SUMIFS(Data!$S:$S,Data!$A:$A,$B30,Data!$C:$C,Q$1))</f>
        <v/>
      </c>
      <c r="R30" s="58">
        <f>IF(SUMIFS(Data!X:X,Data!A:A,B30)=12,5,IF(SUMIFS(Data!X:X,Data!A:A,B30)&gt;9,3,IF(SUMIFS(Data!X:X,Data!A:A,B30)&gt;4,1,0)))</f>
        <v>1</v>
      </c>
      <c r="S30" s="58">
        <f t="shared" si="0"/>
        <v>0</v>
      </c>
      <c r="T30" s="58">
        <f t="shared" si="1"/>
        <v>12</v>
      </c>
      <c r="U30" s="58">
        <f>SUMIFS(Data!D:D,Data!A:A,B30)</f>
        <v>41.269999999999996</v>
      </c>
    </row>
    <row r="31" spans="1:21" ht="12.75">
      <c r="A31" s="57">
        <v>30</v>
      </c>
      <c r="B31" s="57" t="s">
        <v>170</v>
      </c>
      <c r="C31" s="58" t="str">
        <f>IF(SUMIFS(Data!$S:$S,Data!$A:$A,$B31,Data!$C:$C,C$1)=0,"",SUMIFS(Data!$S:$S,Data!$A:$A,$B31,Data!$C:$C,C$1))</f>
        <v/>
      </c>
      <c r="D31" s="58" t="str">
        <f>IF(SUMIFS(Data!$S:$S,Data!$A:$A,$B31,Data!$C:$C,D$1)=0,"",SUMIFS(Data!$S:$S,Data!$A:$A,$B31,Data!$C:$C,D$1))</f>
        <v/>
      </c>
      <c r="E31" s="58" t="str">
        <f>IF(SUMIFS(Data!$S:$S,Data!$A:$A,$B31,Data!$C:$C,E$1)=0,"",SUMIFS(Data!$S:$S,Data!$A:$A,$B31,Data!$C:$C,E$1))</f>
        <v/>
      </c>
      <c r="F31" s="58" t="str">
        <f>IF(SUMIFS(Data!$S:$S,Data!$A:$A,$B31,Data!$C:$C,F$1)=0,"",SUMIFS(Data!$S:$S,Data!$A:$A,$B31,Data!$C:$C,F$1))</f>
        <v/>
      </c>
      <c r="G31" s="58">
        <f>IF(SUMIFS(Data!$S:$S,Data!$A:$A,$B31,Data!$C:$C,G$1)=0,"",SUMIFS(Data!$S:$S,Data!$A:$A,$B31,Data!$C:$C,G$1))</f>
        <v>2.125</v>
      </c>
      <c r="H31" s="58">
        <f>IF(SUMIFS(Data!$S:$S,Data!$A:$A,$B31,Data!$C:$C,H$1)=0,"",SUMIFS(Data!$S:$S,Data!$A:$A,$B31,Data!$C:$C,H$1))</f>
        <v>2.25</v>
      </c>
      <c r="I31" s="58">
        <f>IF(SUMIFS(Data!$S:$S,Data!$A:$A,$B31,Data!$C:$C,I$1)=0,"",SUMIFS(Data!$S:$S,Data!$A:$A,$B31,Data!$C:$C,I$1))</f>
        <v>1.625</v>
      </c>
      <c r="J31" s="58">
        <f>IF(SUMIFS(Data!$S:$S,Data!$A:$A,$B31,Data!$C:$C,J$1)=0,"",SUMIFS(Data!$S:$S,Data!$A:$A,$B31,Data!$C:$C,J$1))</f>
        <v>1.875</v>
      </c>
      <c r="K31" s="58" t="str">
        <f>IF(SUMIFS(Data!$S:$S,Data!$A:$A,$B31,Data!$C:$C,K$1)=0,"",SUMIFS(Data!$S:$S,Data!$A:$A,$B31,Data!$C:$C,K$1))</f>
        <v/>
      </c>
      <c r="L31" s="58" t="str">
        <f>IF(SUMIFS(Data!$S:$S,Data!$A:$A,$B31,Data!$C:$C,L$1)=0,"",SUMIFS(Data!$S:$S,Data!$A:$A,$B31,Data!$C:$C,L$1))</f>
        <v/>
      </c>
      <c r="M31" s="58" t="str">
        <f>IF(SUMIFS(Data!$S:$S,Data!$A:$A,$B31,Data!$C:$C,M$1)=0,"",SUMIFS(Data!$S:$S,Data!$A:$A,$B31,Data!$C:$C,M$1))</f>
        <v/>
      </c>
      <c r="N31" s="58" t="str">
        <f>IF(SUMIFS(Data!$S:$S,Data!$A:$A,$B31,Data!$C:$C,N$1)=0,"",SUMIFS(Data!$S:$S,Data!$A:$A,$B31,Data!$C:$C,N$1))</f>
        <v/>
      </c>
      <c r="O31" s="58" t="str">
        <f>IF(SUMIFS(Data!$S:$S,Data!$A:$A,$B31,Data!$C:$C,O$1)=0,"",SUMIFS(Data!$S:$S,Data!$A:$A,$B31,Data!$C:$C,O$1))</f>
        <v/>
      </c>
      <c r="P31" s="58" t="str">
        <f>IF(SUMIFS(Data!$S:$S,Data!$A:$A,$B31,Data!$C:$C,P$1)=0,"",SUMIFS(Data!$S:$S,Data!$A:$A,$B31,Data!$C:$C,P$1))</f>
        <v/>
      </c>
      <c r="Q31" s="58" t="str">
        <f>IF(SUMIFS(Data!$S:$S,Data!$A:$A,$B31,Data!$C:$C,Q$1)=0,"",SUMIFS(Data!$S:$S,Data!$A:$A,$B31,Data!$C:$C,Q$1))</f>
        <v/>
      </c>
      <c r="R31" s="58">
        <f>IF(SUMIFS(Data!X:X,Data!A:A,B31)=12,5,IF(SUMIFS(Data!X:X,Data!A:A,B31)&gt;9,3,IF(SUMIFS(Data!X:X,Data!A:A,B31)&gt;4,1,0)))</f>
        <v>0</v>
      </c>
      <c r="S31" s="58">
        <f t="shared" si="0"/>
        <v>0</v>
      </c>
      <c r="T31" s="58">
        <f t="shared" si="1"/>
        <v>7.875</v>
      </c>
      <c r="U31" s="58">
        <f>SUMIFS(Data!D:D,Data!A:A,B31)</f>
        <v>28.43</v>
      </c>
    </row>
    <row r="32" spans="1:21" ht="12.75">
      <c r="A32" s="57">
        <v>31</v>
      </c>
      <c r="B32" s="57" t="s">
        <v>173</v>
      </c>
      <c r="C32" s="58" t="str">
        <f>IF(SUMIFS(Data!$S:$S,Data!$A:$A,$B32,Data!$C:$C,C$1)=0,"",SUMIFS(Data!$S:$S,Data!$A:$A,$B32,Data!$C:$C,C$1))</f>
        <v/>
      </c>
      <c r="D32" s="58">
        <f>IF(SUMIFS(Data!$S:$S,Data!$A:$A,$B32,Data!$C:$C,D$1)=0,"",SUMIFS(Data!$S:$S,Data!$A:$A,$B32,Data!$C:$C,D$1))</f>
        <v>1.875</v>
      </c>
      <c r="E32" s="58" t="str">
        <f>IF(SUMIFS(Data!$S:$S,Data!$A:$A,$B32,Data!$C:$C,E$1)=0,"",SUMIFS(Data!$S:$S,Data!$A:$A,$B32,Data!$C:$C,E$1))</f>
        <v/>
      </c>
      <c r="F32" s="58" t="str">
        <f>IF(SUMIFS(Data!$S:$S,Data!$A:$A,$B32,Data!$C:$C,F$1)=0,"",SUMIFS(Data!$S:$S,Data!$A:$A,$B32,Data!$C:$C,F$1))</f>
        <v/>
      </c>
      <c r="G32" s="58" t="str">
        <f>IF(SUMIFS(Data!$S:$S,Data!$A:$A,$B32,Data!$C:$C,G$1)=0,"",SUMIFS(Data!$S:$S,Data!$A:$A,$B32,Data!$C:$C,G$1))</f>
        <v/>
      </c>
      <c r="H32" s="58" t="str">
        <f>IF(SUMIFS(Data!$S:$S,Data!$A:$A,$B32,Data!$C:$C,H$1)=0,"",SUMIFS(Data!$S:$S,Data!$A:$A,$B32,Data!$C:$C,H$1))</f>
        <v/>
      </c>
      <c r="I32" s="58" t="str">
        <f>IF(SUMIFS(Data!$S:$S,Data!$A:$A,$B32,Data!$C:$C,I$1)=0,"",SUMIFS(Data!$S:$S,Data!$A:$A,$B32,Data!$C:$C,I$1))</f>
        <v/>
      </c>
      <c r="J32" s="58" t="str">
        <f>IF(SUMIFS(Data!$S:$S,Data!$A:$A,$B32,Data!$C:$C,J$1)=0,"",SUMIFS(Data!$S:$S,Data!$A:$A,$B32,Data!$C:$C,J$1))</f>
        <v/>
      </c>
      <c r="K32" s="58" t="str">
        <f>IF(SUMIFS(Data!$S:$S,Data!$A:$A,$B32,Data!$C:$C,K$1)=0,"",SUMIFS(Data!$S:$S,Data!$A:$A,$B32,Data!$C:$C,K$1))</f>
        <v/>
      </c>
      <c r="L32" s="58" t="str">
        <f>IF(SUMIFS(Data!$S:$S,Data!$A:$A,$B32,Data!$C:$C,L$1)=0,"",SUMIFS(Data!$S:$S,Data!$A:$A,$B32,Data!$C:$C,L$1))</f>
        <v/>
      </c>
      <c r="M32" s="58" t="str">
        <f>IF(SUMIFS(Data!$S:$S,Data!$A:$A,$B32,Data!$C:$C,M$1)=0,"",SUMIFS(Data!$S:$S,Data!$A:$A,$B32,Data!$C:$C,M$1))</f>
        <v/>
      </c>
      <c r="N32" s="58" t="str">
        <f>IF(SUMIFS(Data!$S:$S,Data!$A:$A,$B32,Data!$C:$C,N$1)=0,"",SUMIFS(Data!$S:$S,Data!$A:$A,$B32,Data!$C:$C,N$1))</f>
        <v/>
      </c>
      <c r="O32" s="58" t="str">
        <f>IF(SUMIFS(Data!$S:$S,Data!$A:$A,$B32,Data!$C:$C,O$1)=0,"",SUMIFS(Data!$S:$S,Data!$A:$A,$B32,Data!$C:$C,O$1))</f>
        <v/>
      </c>
      <c r="P32" s="58" t="str">
        <f>IF(SUMIFS(Data!$S:$S,Data!$A:$A,$B32,Data!$C:$C,P$1)=0,"",SUMIFS(Data!$S:$S,Data!$A:$A,$B32,Data!$C:$C,P$1))</f>
        <v/>
      </c>
      <c r="Q32" s="58" t="str">
        <f>IF(SUMIFS(Data!$S:$S,Data!$A:$A,$B32,Data!$C:$C,Q$1)=0,"",SUMIFS(Data!$S:$S,Data!$A:$A,$B32,Data!$C:$C,Q$1))</f>
        <v/>
      </c>
      <c r="R32" s="58">
        <f>IF(SUMIFS(Data!X:X,Data!A:A,B32)=12,5,IF(SUMIFS(Data!X:X,Data!A:A,B32)&gt;9,3,IF(SUMIFS(Data!X:X,Data!A:A,B32)&gt;4,1,0)))</f>
        <v>0</v>
      </c>
      <c r="S32" s="58">
        <f t="shared" si="0"/>
        <v>0</v>
      </c>
      <c r="T32" s="58">
        <f t="shared" si="1"/>
        <v>1.875</v>
      </c>
      <c r="U32" s="58">
        <f>SUMIFS(Data!D:D,Data!A:A,B32)</f>
        <v>10.11</v>
      </c>
    </row>
  </sheetData>
  <autoFilter ref="A1:U31">
    <filterColumn colId="17"/>
    <sortState ref="A2:U42">
      <sortCondition descending="1" ref="T1:T42"/>
    </sortState>
  </autoFilter>
  <sortState ref="B2:U32">
    <sortCondition descending="1" ref="T2:T32"/>
    <sortCondition descending="1" ref="U2:U32"/>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tabColor rgb="FF7030A0"/>
  </sheetPr>
  <dimension ref="A1:U50"/>
  <sheetViews>
    <sheetView workbookViewId="0">
      <pane ySplit="1" topLeftCell="A16" activePane="bottomLeft" state="frozen"/>
      <selection pane="bottomLeft" activeCell="M12" sqref="M12"/>
    </sheetView>
  </sheetViews>
  <sheetFormatPr defaultRowHeight="15"/>
  <cols>
    <col min="1" max="1" width="23.28515625" style="41" bestFit="1" customWidth="1"/>
    <col min="2" max="5" width="6.7109375" style="41" customWidth="1"/>
    <col min="6" max="10" width="6.7109375" style="118" customWidth="1"/>
    <col min="11" max="11" width="6.7109375" style="89" customWidth="1"/>
    <col min="12" max="13" width="6.7109375" style="118" customWidth="1"/>
    <col min="14" max="14" width="9.140625" style="41"/>
    <col min="15" max="15" width="10.7109375" style="41" bestFit="1" customWidth="1"/>
    <col min="17" max="20" width="9.140625" style="41"/>
    <col min="21" max="21" width="20.140625" style="41" bestFit="1" customWidth="1"/>
    <col min="22" max="16384" width="9.140625" style="41"/>
  </cols>
  <sheetData>
    <row r="1" spans="1:21">
      <c r="B1" s="93">
        <v>1</v>
      </c>
      <c r="C1" s="93">
        <v>2</v>
      </c>
      <c r="D1" s="93">
        <v>3</v>
      </c>
      <c r="E1" s="93">
        <v>4</v>
      </c>
      <c r="F1" s="115">
        <v>5</v>
      </c>
      <c r="G1" s="115">
        <v>6</v>
      </c>
      <c r="H1" s="115">
        <v>7</v>
      </c>
      <c r="I1" s="115">
        <v>8</v>
      </c>
      <c r="J1" s="115">
        <v>9</v>
      </c>
      <c r="K1" s="115">
        <v>10</v>
      </c>
      <c r="L1" s="115">
        <v>11</v>
      </c>
      <c r="M1" s="115">
        <v>12</v>
      </c>
      <c r="N1" s="93" t="s">
        <v>91</v>
      </c>
      <c r="U1" s="41" t="s">
        <v>207</v>
      </c>
    </row>
    <row r="2" spans="1:21" s="86" customFormat="1" ht="12">
      <c r="A2" s="86" t="s">
        <v>198</v>
      </c>
      <c r="B2" s="91">
        <f>AVERAGE(B5,B6,B7,B8,B9)</f>
        <v>3.4131333333333331</v>
      </c>
      <c r="C2" s="111">
        <f>AVERAGE(C5,C6,C4,C8,C9,C10)</f>
        <v>2.997611111111111</v>
      </c>
      <c r="D2" s="111">
        <f t="shared" ref="D2:E2" si="0">AVERAGE(D5,D6,D4,D8,D9,D10)</f>
        <v>3.505722222222222</v>
      </c>
      <c r="E2" s="111">
        <f t="shared" si="0"/>
        <v>2.7275000000000005</v>
      </c>
      <c r="F2" s="116">
        <f>AVERAGE(F5,F6,F4,F8,F3,F10)</f>
        <v>3.0928333333333335</v>
      </c>
      <c r="G2" s="116">
        <f>AVERAGE(G5,G6,G4,G8,G3,G10)</f>
        <v>3.4131111111111117</v>
      </c>
      <c r="H2" s="116">
        <f>AVERAGE(H5,H7,H4,H8,H3,H10)</f>
        <v>2.9205000000000001</v>
      </c>
      <c r="I2" s="116">
        <f>AVERAGE(I5,I7,I4,I8,I9,I10)</f>
        <v>1.7663888888888888</v>
      </c>
      <c r="J2" s="116">
        <f>AVERAGE(J5,J7,J4,J8,J6,J10)</f>
        <v>2.6622222222222223</v>
      </c>
      <c r="K2" s="133">
        <f>AVERAGE(K5,K7,K4,K8,K6,K10)</f>
        <v>3.0221111111111107</v>
      </c>
      <c r="L2" s="134">
        <f>AVERAGE(L5,L7,L4,L9,L6,L10)</f>
        <v>3.5114444444444448</v>
      </c>
      <c r="M2" s="134">
        <f>AVERAGE(M5,M7,M4,M8,M6,M10)</f>
        <v>3.0166111111111111</v>
      </c>
      <c r="N2" s="91">
        <f>SUM(B2:M2)</f>
        <v>36.049188888888892</v>
      </c>
      <c r="U2" s="41"/>
    </row>
    <row r="3" spans="1:21">
      <c r="A3" s="41" t="s">
        <v>55</v>
      </c>
      <c r="B3" s="92">
        <f>SUMIFS(Data!S:S,Data!A:A,Data_echipe!$A3,Data!C:C,Data_echipe!B$1)</f>
        <v>5.4479999999999995</v>
      </c>
      <c r="C3" s="92">
        <f>SUMIFS(Data!$S:$S,Data!$A:$A,Data_echipe!$A3,Data!$C:$C,Data_echipe!C$1)</f>
        <v>3.75</v>
      </c>
      <c r="D3" s="92">
        <f>SUMIFS(Data!$S:$S,Data!$A:$A,Data_echipe!$A3,Data!$C:$C,Data_echipe!D$1)</f>
        <v>5.7360000000000007</v>
      </c>
      <c r="E3" s="92">
        <f>SUMIFS(Data!$S:$S,Data!$A:$A,Data_echipe!$A3,Data!$C:$C,Data_echipe!E$1)</f>
        <v>5.222666666666667</v>
      </c>
      <c r="F3" s="117">
        <f>SUMIFS(Data!$S:$S,Data!$A:$A,Data_echipe!$A3,Data!$C:$C,Data_echipe!F$1)</f>
        <v>4</v>
      </c>
      <c r="G3" s="120">
        <f>SUMIFS(Data!$S:$S,Data!$A:$A,Data_echipe!$A3,Data!$C:$C,Data_echipe!G$1)</f>
        <v>5.2213333333333338</v>
      </c>
      <c r="H3" s="117">
        <f>SUMIFS(Data!$S:$S,Data!$A:$A,Data_echipe!$A3,Data!$C:$C,Data_echipe!H$1)</f>
        <v>3.6</v>
      </c>
      <c r="I3" s="120">
        <f>SUMIFS(Data!$S:$S,Data!$A:$A,Data_echipe!$A3,Data!$C:$C,Data_echipe!I$1)</f>
        <v>6.4249999999999998</v>
      </c>
      <c r="J3" s="120">
        <f>SUMIFS(Data!$S:$S,Data!$A:$A,Data_echipe!$A3,Data!$C:$C,Data_echipe!J$1)</f>
        <v>4.5186666666666664</v>
      </c>
      <c r="K3" s="92">
        <f>SUMIFS(Data!$S:$S,Data!$A:$A,Data_echipe!$A3,Data!$C:$C,Data_echipe!K$1)</f>
        <v>4.2123333333333335</v>
      </c>
      <c r="L3" s="120">
        <f>SUMIFS(Data!$S:$S,Data!$A:$A,Data_echipe!$A3,Data!$C:$C,Data_echipe!L$1)</f>
        <v>5.7249999999999996</v>
      </c>
      <c r="M3" s="120">
        <f>SUMIFS(Data!$S:$S,Data!$A:$A,Data_echipe!$A3,Data!$C:$C,Data_echipe!M$1)</f>
        <v>3.6656666666666666</v>
      </c>
      <c r="O3" s="41" t="s">
        <v>198</v>
      </c>
      <c r="U3" s="41" t="s">
        <v>62</v>
      </c>
    </row>
    <row r="4" spans="1:21">
      <c r="A4" s="41" t="s">
        <v>62</v>
      </c>
      <c r="B4" s="92">
        <f>SUMIFS(Data!S:S,Data!A:A,Data_echipe!$A4,Data!C:C,Data_echipe!B$1)</f>
        <v>2.125</v>
      </c>
      <c r="C4" s="89">
        <f>SUMIFS(Data!$S:$S,Data!$A:$A,Data_echipe!$A4,Data!$C:$C,Data_echipe!C$1)</f>
        <v>3.09</v>
      </c>
      <c r="D4" s="89">
        <f>SUMIFS(Data!$S:$S,Data!$A:$A,Data_echipe!$A4,Data!$C:$C,Data_echipe!D$1)</f>
        <v>4.3423333333333334</v>
      </c>
      <c r="E4" s="89">
        <f>SUMIFS(Data!$S:$S,Data!$A:$A,Data_echipe!$A4,Data!$C:$C,Data_echipe!E$1)</f>
        <v>2.5</v>
      </c>
      <c r="F4" s="117">
        <f>SUMIFS(Data!$S:$S,Data!$A:$A,Data_echipe!$A4,Data!$C:$C,Data_echipe!F$1)</f>
        <v>2.625</v>
      </c>
      <c r="G4" s="117">
        <f>SUMIFS(Data!$S:$S,Data!$A:$A,Data_echipe!$A4,Data!$C:$C,Data_echipe!G$1)</f>
        <v>3.3046666666666669</v>
      </c>
      <c r="H4" s="117">
        <f>SUMIFS(Data!$S:$S,Data!$A:$A,Data_echipe!$A4,Data!$C:$C,Data_echipe!H$1)</f>
        <v>2.4769999999999999</v>
      </c>
      <c r="I4" s="117">
        <f>SUMIFS(Data!$S:$S,Data!$A:$A,Data_echipe!$A4,Data!$C:$C,Data_echipe!I$1)</f>
        <v>1.5356666666666667</v>
      </c>
      <c r="J4" s="117">
        <f>SUMIFS(Data!$S:$S,Data!$A:$A,Data_echipe!$A4,Data!$C:$C,Data_echipe!J$1)</f>
        <v>3.25</v>
      </c>
      <c r="K4" s="89">
        <f>SUMIFS(Data!$S:$S,Data!$A:$A,Data_echipe!$A4,Data!$C:$C,Data_echipe!K$1)</f>
        <v>3.15</v>
      </c>
      <c r="L4" s="117">
        <f>SUMIFS(Data!$S:$S,Data!$A:$A,Data_echipe!$A4,Data!$C:$C,Data_echipe!L$1)</f>
        <v>3.25</v>
      </c>
      <c r="M4" s="117">
        <f>SUMIFS(Data!$S:$S,Data!$A:$A,Data_echipe!$A4,Data!$C:$C,Data_echipe!M$1)</f>
        <v>3.25</v>
      </c>
      <c r="O4" s="41" t="s">
        <v>198</v>
      </c>
      <c r="U4" s="41" t="s">
        <v>86</v>
      </c>
    </row>
    <row r="5" spans="1:21">
      <c r="A5" s="41" t="s">
        <v>114</v>
      </c>
      <c r="B5" s="89">
        <f>SUMIFS(Data!S:S,Data!A:A,Data_echipe!$A5,Data!C:C,Data_echipe!B$1)</f>
        <v>3.1150000000000002</v>
      </c>
      <c r="C5" s="89">
        <f>SUMIFS(Data!$S:$S,Data!$A:$A,Data_echipe!$A5,Data!$C:$C,Data_echipe!C$1)</f>
        <v>2.9580000000000002</v>
      </c>
      <c r="D5" s="89">
        <f>SUMIFS(Data!$S:$S,Data!$A:$A,Data_echipe!$A5,Data!$C:$C,Data_echipe!D$1)</f>
        <v>3.0756666666666668</v>
      </c>
      <c r="E5" s="89">
        <f>SUMIFS(Data!$S:$S,Data!$A:$A,Data_echipe!$A5,Data!$C:$C,Data_echipe!E$1)</f>
        <v>2.6739999999999999</v>
      </c>
      <c r="F5" s="117">
        <f>SUMIFS(Data!$S:$S,Data!$A:$A,Data_echipe!$A5,Data!$C:$C,Data_echipe!F$1)</f>
        <v>2.8256666666666668</v>
      </c>
      <c r="G5" s="117">
        <f>SUMIFS(Data!$S:$S,Data!$A:$A,Data_echipe!$A5,Data!$C:$C,Data_echipe!G$1)</f>
        <v>2.9526666666666666</v>
      </c>
      <c r="H5" s="117">
        <f>SUMIFS(Data!$S:$S,Data!$A:$A,Data_echipe!$A5,Data!$C:$C,Data_echipe!H$1)</f>
        <v>2.8210000000000002</v>
      </c>
      <c r="I5" s="117">
        <f>SUMIFS(Data!$S:$S,Data!$A:$A,Data_echipe!$A5,Data!$C:$C,Data_echipe!I$1)</f>
        <v>0</v>
      </c>
      <c r="J5" s="117">
        <f>SUMIFS(Data!$S:$S,Data!$A:$A,Data_echipe!$A5,Data!$C:$C,Data_echipe!J$1)</f>
        <v>3.0756666666666668</v>
      </c>
      <c r="K5" s="89">
        <f>SUMIFS(Data!$S:$S,Data!$A:$A,Data_echipe!$A5,Data!$C:$C,Data_echipe!K$1)</f>
        <v>4.0919999999999996</v>
      </c>
      <c r="L5" s="117">
        <f>SUMIFS(Data!$S:$S,Data!$A:$A,Data_echipe!$A5,Data!$C:$C,Data_echipe!L$1)</f>
        <v>3.8446666666666669</v>
      </c>
      <c r="M5" s="117">
        <f>SUMIFS(Data!$S:$S,Data!$A:$A,Data_echipe!$A5,Data!$C:$C,Data_echipe!M$1)</f>
        <v>3.2996666666666665</v>
      </c>
      <c r="O5" s="41" t="s">
        <v>198</v>
      </c>
      <c r="U5" s="41" t="s">
        <v>65</v>
      </c>
    </row>
    <row r="6" spans="1:21">
      <c r="A6" s="41" t="s">
        <v>54</v>
      </c>
      <c r="B6" s="89">
        <f>SUMIFS(Data!S:S,Data!A:A,Data_echipe!$A6,Data!C:C,Data_echipe!B$1)</f>
        <v>4.4649999999999999</v>
      </c>
      <c r="C6" s="89">
        <f>SUMIFS(Data!$S:$S,Data!$A:$A,Data_echipe!$A6,Data!$C:$C,Data_echipe!C$1)</f>
        <v>2.9516666666666667</v>
      </c>
      <c r="D6" s="89">
        <f>SUMIFS(Data!$S:$S,Data!$A:$A,Data_echipe!$A6,Data!$C:$C,Data_echipe!D$1)</f>
        <v>3.2196666666666665</v>
      </c>
      <c r="E6" s="89">
        <f>SUMIFS(Data!$S:$S,Data!$A:$A,Data_echipe!$A6,Data!$C:$C,Data_echipe!E$1)</f>
        <v>2.9870000000000001</v>
      </c>
      <c r="F6" s="117">
        <f>SUMIFS(Data!$S:$S,Data!$A:$A,Data_echipe!$A6,Data!$C:$C,Data_echipe!F$1)</f>
        <v>4.2313333333333336</v>
      </c>
      <c r="G6" s="117">
        <f>SUMIFS(Data!$S:$S,Data!$A:$A,Data_echipe!$A6,Data!$C:$C,Data_echipe!G$1)</f>
        <v>2.875</v>
      </c>
      <c r="H6" s="120">
        <f>SUMIFS(Data!$S:$S,Data!$A:$A,Data_echipe!$A6,Data!$C:$C,Data_echipe!H$1)</f>
        <v>4.2323333333333331</v>
      </c>
      <c r="I6" s="120">
        <f>SUMIFS(Data!$S:$S,Data!$A:$A,Data_echipe!$A6,Data!$C:$C,Data_echipe!I$1)</f>
        <v>0</v>
      </c>
      <c r="J6" s="117">
        <f>SUMIFS(Data!$S:$S,Data!$A:$A,Data_echipe!$A6,Data!$C:$C,Data_echipe!J$1)</f>
        <v>2.2976666666666667</v>
      </c>
      <c r="K6" s="89">
        <f>SUMIFS(Data!$S:$S,Data!$A:$A,Data_echipe!$A6,Data!$C:$C,Data_echipe!K$1)</f>
        <v>3.1406666666666667</v>
      </c>
      <c r="L6" s="117">
        <f>SUMIFS(Data!$S:$S,Data!$A:$A,Data_echipe!$A6,Data!$C:$C,Data_echipe!L$1)</f>
        <v>3.472</v>
      </c>
      <c r="M6" s="117">
        <f>SUMIFS(Data!$S:$S,Data!$A:$A,Data_echipe!$A6,Data!$C:$C,Data_echipe!M$1)</f>
        <v>2.625</v>
      </c>
      <c r="O6" s="41" t="s">
        <v>198</v>
      </c>
      <c r="U6" s="41" t="s">
        <v>83</v>
      </c>
    </row>
    <row r="7" spans="1:21">
      <c r="A7" s="41" t="s">
        <v>169</v>
      </c>
      <c r="B7" s="89">
        <f>SUMIFS(Data!S:S,Data!A:A,Data_echipe!$A7,Data!C:C,Data_echipe!B$1)</f>
        <v>2.625</v>
      </c>
      <c r="C7" s="92">
        <f>SUMIFS(Data!$S:$S,Data!$A:$A,Data_echipe!$A7,Data!$C:$C,Data_echipe!C$1)</f>
        <v>1.75</v>
      </c>
      <c r="D7" s="92">
        <f>SUMIFS(Data!$S:$S,Data!$A:$A,Data_echipe!$A7,Data!$C:$C,Data_echipe!D$1)</f>
        <v>2.25</v>
      </c>
      <c r="E7" s="92">
        <f>SUMIFS(Data!$S:$S,Data!$A:$A,Data_echipe!$A7,Data!$C:$C,Data_echipe!E$1)</f>
        <v>3.25</v>
      </c>
      <c r="F7" s="120">
        <f>SUMIFS(Data!$S:$S,Data!$A:$A,Data_echipe!$A7,Data!$C:$C,Data_echipe!F$1)</f>
        <v>1.625</v>
      </c>
      <c r="G7" s="117">
        <f>SUMIFS(Data!$S:$S,Data!$A:$A,Data_echipe!$A7,Data!$C:$C,Data_echipe!G$1)</f>
        <v>2.7406666666666668</v>
      </c>
      <c r="H7" s="117">
        <f>SUMIFS(Data!$S:$S,Data!$A:$A,Data_echipe!$A7,Data!$C:$C,Data_echipe!H$1)</f>
        <v>2.5</v>
      </c>
      <c r="I7" s="117">
        <f>SUMIFS(Data!$S:$S,Data!$A:$A,Data_echipe!$A7,Data!$C:$C,Data_echipe!I$1)</f>
        <v>2.8126666666666669</v>
      </c>
      <c r="J7" s="117">
        <f>SUMIFS(Data!$S:$S,Data!$A:$A,Data_echipe!$A7,Data!$C:$C,Data_echipe!J$1)</f>
        <v>2.375</v>
      </c>
      <c r="K7" s="89">
        <f>SUMIFS(Data!$S:$S,Data!$A:$A,Data_echipe!$A7,Data!$C:$C,Data_echipe!K$1)</f>
        <v>1.5</v>
      </c>
      <c r="L7" s="117">
        <f>SUMIFS(Data!$S:$S,Data!$A:$A,Data_echipe!$A7,Data!$C:$C,Data_echipe!L$1)</f>
        <v>3.5</v>
      </c>
      <c r="M7" s="117">
        <f>SUMIFS(Data!$S:$S,Data!$A:$A,Data_echipe!$A7,Data!$C:$C,Data_echipe!M$1)</f>
        <v>2</v>
      </c>
      <c r="O7" s="41" t="s">
        <v>198</v>
      </c>
      <c r="U7" s="87" t="s">
        <v>64</v>
      </c>
    </row>
    <row r="8" spans="1:21">
      <c r="A8" s="41" t="s">
        <v>50</v>
      </c>
      <c r="B8" s="89">
        <f>SUMIFS(Data!S:S,Data!A:A,Data_echipe!$A8,Data!C:C,Data_echipe!B$1)</f>
        <v>2.25</v>
      </c>
      <c r="C8" s="89">
        <f>SUMIFS(Data!$S:$S,Data!$A:$A,Data_echipe!$A8,Data!$C:$C,Data_echipe!C$1)</f>
        <v>2.375</v>
      </c>
      <c r="D8" s="89">
        <f>SUMIFS(Data!$S:$S,Data!$A:$A,Data_echipe!$A8,Data!$C:$C,Data_echipe!D$1)</f>
        <v>2.625</v>
      </c>
      <c r="E8" s="89">
        <f>SUMIFS(Data!$S:$S,Data!$A:$A,Data_echipe!$A8,Data!$C:$C,Data_echipe!E$1)</f>
        <v>1.75</v>
      </c>
      <c r="F8" s="117">
        <f>SUMIFS(Data!$S:$S,Data!$A:$A,Data_echipe!$A8,Data!$C:$C,Data_echipe!F$1)</f>
        <v>2.25</v>
      </c>
      <c r="G8" s="117">
        <f>SUMIFS(Data!$S:$S,Data!$A:$A,Data_echipe!$A8,Data!$C:$C,Data_echipe!G$1)</f>
        <v>2.25</v>
      </c>
      <c r="H8" s="117">
        <f>SUMIFS(Data!$S:$S,Data!$A:$A,Data_echipe!$A8,Data!$C:$C,Data_echipe!H$1)</f>
        <v>2.625</v>
      </c>
      <c r="I8" s="117">
        <f>SUMIFS(Data!$S:$S,Data!$A:$A,Data_echipe!$A8,Data!$C:$C,Data_echipe!I$1)</f>
        <v>2.125</v>
      </c>
      <c r="J8" s="117">
        <f>SUMIFS(Data!$S:$S,Data!$A:$A,Data_echipe!$A8,Data!$C:$C,Data_echipe!J$1)</f>
        <v>1.25</v>
      </c>
      <c r="K8" s="89">
        <f>SUMIFS(Data!$S:$S,Data!$A:$A,Data_echipe!$A8,Data!$C:$C,Data_echipe!K$1)</f>
        <v>2.375</v>
      </c>
      <c r="L8" s="120">
        <f>SUMIFS(Data!$S:$S,Data!$A:$A,Data_echipe!$A8,Data!$C:$C,Data_echipe!L$1)</f>
        <v>2.25</v>
      </c>
      <c r="M8" s="117">
        <f>SUMIFS(Data!$S:$S,Data!$A:$A,Data_echipe!$A8,Data!$C:$C,Data_echipe!M$1)</f>
        <v>2.75</v>
      </c>
      <c r="O8" s="41" t="s">
        <v>198</v>
      </c>
      <c r="U8" s="41" t="s">
        <v>66</v>
      </c>
    </row>
    <row r="9" spans="1:21">
      <c r="A9" s="41" t="s">
        <v>205</v>
      </c>
      <c r="B9" s="89">
        <f>SUMIFS(Data!S:S,Data!A:A,Data_echipe!$A9,Data!C:C,Data_echipe!B$1)</f>
        <v>4.6106666666666669</v>
      </c>
      <c r="C9" s="89">
        <f>SUMIFS(Data!$S:$S,Data!$A:$A,Data_echipe!$A9,Data!$C:$C,Data_echipe!C$1)</f>
        <v>3.7359999999999998</v>
      </c>
      <c r="D9" s="89">
        <f>SUMIFS(Data!$S:$S,Data!$A:$A,Data_echipe!$A9,Data!$C:$C,Data_echipe!D$1)</f>
        <v>3.871666666666667</v>
      </c>
      <c r="E9" s="89">
        <f>SUMIFS(Data!$S:$S,Data!$A:$A,Data_echipe!$A9,Data!$C:$C,Data_echipe!E$1)</f>
        <v>3.9540000000000002</v>
      </c>
      <c r="F9" s="120">
        <f>SUMIFS(Data!$S:$S,Data!$A:$A,Data_echipe!$A9,Data!$C:$C,Data_echipe!F$1)</f>
        <v>5.7249999999999996</v>
      </c>
      <c r="G9" s="120">
        <f>SUMIFS(Data!$S:$S,Data!$A:$A,Data_echipe!$A9,Data!$C:$C,Data_echipe!G$1)</f>
        <v>1.5</v>
      </c>
      <c r="H9" s="120">
        <f>SUMIFS(Data!$S:$S,Data!$A:$A,Data_echipe!$A9,Data!$C:$C,Data_echipe!H$1)</f>
        <v>0</v>
      </c>
      <c r="I9" s="117">
        <f>SUMIFS(Data!$S:$S,Data!$A:$A,Data_echipe!$A9,Data!$C:$C,Data_echipe!I$1)</f>
        <v>0</v>
      </c>
      <c r="J9" s="120">
        <f>SUMIFS(Data!$S:$S,Data!$A:$A,Data_echipe!$A9,Data!$C:$C,Data_echipe!J$1)</f>
        <v>0</v>
      </c>
      <c r="K9" s="92">
        <f>SUMIFS(Data!$S:$S,Data!$A:$A,Data_echipe!$A9,Data!$C:$C,Data_echipe!K$1)</f>
        <v>0</v>
      </c>
      <c r="L9" s="117">
        <f>SUMIFS(Data!$S:$S,Data!$A:$A,Data_echipe!$A9,Data!$C:$C,Data_echipe!L$1)</f>
        <v>3.5596666666666668</v>
      </c>
      <c r="M9" s="120">
        <f>SUMIFS(Data!$S:$S,Data!$A:$A,Data_echipe!$A9,Data!$C:$C,Data_echipe!M$1)</f>
        <v>0</v>
      </c>
      <c r="O9" s="41" t="s">
        <v>198</v>
      </c>
      <c r="U9" s="41" t="s">
        <v>68</v>
      </c>
    </row>
    <row r="10" spans="1:21">
      <c r="A10" s="41" t="s">
        <v>209</v>
      </c>
      <c r="B10" s="90"/>
      <c r="C10" s="89">
        <f>SUMIFS(Data!$S:$S,Data!$A:$A,Data_echipe!$A10,Data!$C:$C,Data_echipe!C$1)</f>
        <v>2.875</v>
      </c>
      <c r="D10" s="89">
        <f>SUMIFS(Data!$S:$S,Data!$A:$A,Data_echipe!$A10,Data!$C:$C,Data_echipe!D$1)</f>
        <v>3.9</v>
      </c>
      <c r="E10" s="89">
        <f>SUMIFS(Data!$S:$S,Data!$A:$A,Data_echipe!$A10,Data!$C:$C,Data_echipe!E$1)</f>
        <v>2.5</v>
      </c>
      <c r="F10" s="117">
        <f>SUMIFS(Data!$S:$S,Data!$A:$A,Data_echipe!$A10,Data!$C:$C,Data_echipe!F$1)</f>
        <v>2.625</v>
      </c>
      <c r="G10" s="117">
        <f>SUMIFS(Data!$S:$S,Data!$A:$A,Data_echipe!$A10,Data!$C:$C,Data_echipe!G$1)</f>
        <v>3.875</v>
      </c>
      <c r="H10" s="117">
        <f>SUMIFS(Data!$S:$S,Data!$A:$A,Data_echipe!$A10,Data!$C:$C,Data_echipe!H$1)</f>
        <v>3.5</v>
      </c>
      <c r="I10" s="117">
        <f>SUMIFS(Data!$S:$S,Data!$A:$A,Data_echipe!$A10,Data!$C:$C,Data_echipe!I$1)</f>
        <v>4.125</v>
      </c>
      <c r="J10" s="117">
        <f>SUMIFS(Data!$S:$S,Data!$A:$A,Data_echipe!$A10,Data!$C:$C,Data_echipe!J$1)</f>
        <v>3.7250000000000001</v>
      </c>
      <c r="K10" s="89">
        <f>SUMIFS(Data!$S:$S,Data!$A:$A,Data_echipe!$A10,Data!$C:$C,Data_echipe!K$1)</f>
        <v>3.875</v>
      </c>
      <c r="L10" s="117">
        <f>SUMIFS(Data!$S:$S,Data!$A:$A,Data_echipe!$A10,Data!$C:$C,Data_echipe!L$1)</f>
        <v>3.4423333333333335</v>
      </c>
      <c r="M10" s="117">
        <f>SUMIFS(Data!$S:$S,Data!$A:$A,Data_echipe!$A10,Data!$C:$C,Data_echipe!M$1)</f>
        <v>4.1749999999999998</v>
      </c>
      <c r="O10" s="41" t="s">
        <v>198</v>
      </c>
      <c r="U10" s="41" t="s">
        <v>82</v>
      </c>
    </row>
    <row r="11" spans="1:21">
      <c r="B11" s="89"/>
      <c r="L11" s="117"/>
      <c r="M11" s="117"/>
      <c r="U11" s="41" t="s">
        <v>60</v>
      </c>
    </row>
    <row r="12" spans="1:21" s="86" customFormat="1">
      <c r="A12" s="86" t="s">
        <v>199</v>
      </c>
      <c r="B12" s="91">
        <f>AVERAGE(B15,B14,B17,B18,B19)</f>
        <v>3.3121333333333332</v>
      </c>
      <c r="C12" s="111">
        <f>AVERAGE(C15,C14,C17,C18,C19)</f>
        <v>2.7864666666666666</v>
      </c>
      <c r="D12" s="111">
        <f t="shared" ref="D12:E12" si="1">AVERAGE(D15,D14,D17,D18,D19)</f>
        <v>2.77</v>
      </c>
      <c r="E12" s="111">
        <f t="shared" si="1"/>
        <v>2.1967333333333334</v>
      </c>
      <c r="F12" s="116">
        <f>AVERAGE(F15,F14,F17,F18,F19,F20)</f>
        <v>2.403111111111111</v>
      </c>
      <c r="G12" s="116">
        <f>AVERAGE(G15,G14,G17,G18,G19,G20)</f>
        <v>2.487888888888889</v>
      </c>
      <c r="H12" s="116">
        <f>AVERAGE(H15,H14,H17,H16,H19,H20)</f>
        <v>2.9090000000000003</v>
      </c>
      <c r="I12" s="116">
        <f>AVERAGE(I15,I14,I17,I16,I19,I20)</f>
        <v>1.8049999999999999</v>
      </c>
      <c r="J12" s="116">
        <f>AVERAGE(J15,J14,J17,J16,J19,J20)</f>
        <v>2.125</v>
      </c>
      <c r="K12" s="133">
        <f>AVERAGE(K15,K14,K17,K16,K19,K20)</f>
        <v>2.3124444444444445</v>
      </c>
      <c r="L12" s="134">
        <f>AVERAGE(L15,L14,L17,L16,L19,L20)</f>
        <v>2.5769444444444445</v>
      </c>
      <c r="M12" s="134">
        <f>AVERAGE(M15,M14,M17,M16,M19,M20)</f>
        <v>2.3569999999999998</v>
      </c>
      <c r="N12" s="91">
        <f>SUM(B12:M12)</f>
        <v>30.041722222222219</v>
      </c>
      <c r="P12" s="21"/>
      <c r="U12" s="87" t="s">
        <v>114</v>
      </c>
    </row>
    <row r="13" spans="1:21">
      <c r="A13" s="41" t="s">
        <v>57</v>
      </c>
      <c r="B13" s="92">
        <f>SUMIFS(Data!S:S,Data!A:A,Data_echipe!$A13,Data!C:C,Data_echipe!B$1)</f>
        <v>4.7633333333333336</v>
      </c>
      <c r="C13" s="92">
        <f>SUMIFS(Data!$S:$S,Data!$A:$A,Data_echipe!$A13,Data!$C:$C,Data_echipe!C$1)</f>
        <v>5.2366666666666672</v>
      </c>
      <c r="D13" s="92">
        <f>SUMIFS(Data!$S:$S,Data!$A:$A,Data_echipe!$A13,Data!$C:$C,Data_echipe!D$1)</f>
        <v>3.7250000000000001</v>
      </c>
      <c r="E13" s="92">
        <f>SUMIFS(Data!$S:$S,Data!$A:$A,Data_echipe!$A13,Data!$C:$C,Data_echipe!E$1)</f>
        <v>4.1473333333333331</v>
      </c>
      <c r="F13" s="120">
        <f>SUMIFS(Data!$S:$S,Data!$A:$A,Data_echipe!$A13,Data!$C:$C,Data_echipe!F$1)</f>
        <v>4.9046666666666665</v>
      </c>
      <c r="G13" s="120">
        <f>SUMIFS(Data!$S:$S,Data!$A:$A,Data_echipe!$A13,Data!$C:$C,Data_echipe!G$1)</f>
        <v>5.25</v>
      </c>
      <c r="H13" s="120">
        <f>SUMIFS(Data!$S:$S,Data!$A:$A,Data_echipe!$A13,Data!$C:$C,Data_echipe!H$1)</f>
        <v>4.4466666666666663</v>
      </c>
      <c r="I13" s="120">
        <f>SUMIFS(Data!$S:$S,Data!$A:$A,Data_echipe!$A13,Data!$C:$C,Data_echipe!I$1)</f>
        <v>5.2839999999999998</v>
      </c>
      <c r="J13" s="120">
        <f>SUMIFS(Data!$S:$S,Data!$A:$A,Data_echipe!$A13,Data!$C:$C,Data_echipe!J$1)</f>
        <v>3.7396666666666665</v>
      </c>
      <c r="K13" s="92">
        <f>SUMIFS(Data!$S:$S,Data!$A:$A,Data_echipe!$A13,Data!$C:$C,Data_echipe!K$1)</f>
        <v>3.7256666666666667</v>
      </c>
      <c r="L13" s="120">
        <f>SUMIFS(Data!$S:$S,Data!$A:$A,Data_echipe!$A13,Data!$C:$C,Data_echipe!L$1)</f>
        <v>5.5403333333333338</v>
      </c>
      <c r="M13" s="120">
        <f>SUMIFS(Data!$S:$S,Data!$A:$A,Data_echipe!$A13,Data!$C:$C,Data_echipe!M$1)</f>
        <v>8</v>
      </c>
      <c r="O13" s="41" t="s">
        <v>199</v>
      </c>
      <c r="U13" s="41" t="s">
        <v>172</v>
      </c>
    </row>
    <row r="14" spans="1:21">
      <c r="A14" s="41" t="s">
        <v>83</v>
      </c>
      <c r="B14" s="89">
        <f>SUMIFS(Data!S:S,Data!A:A,Data_echipe!$A14,Data!C:C,Data_echipe!B$1)</f>
        <v>3.25</v>
      </c>
      <c r="C14" s="89">
        <f>SUMIFS(Data!$S:$S,Data!$A:$A,Data_echipe!$A14,Data!$C:$C,Data_echipe!C$1)</f>
        <v>3</v>
      </c>
      <c r="D14" s="89">
        <f>SUMIFS(Data!$S:$S,Data!$A:$A,Data_echipe!$A14,Data!$C:$C,Data_echipe!D$1)</f>
        <v>2.375</v>
      </c>
      <c r="E14" s="89">
        <f>SUMIFS(Data!$S:$S,Data!$A:$A,Data_echipe!$A14,Data!$C:$C,Data_echipe!E$1)</f>
        <v>0</v>
      </c>
      <c r="F14" s="117">
        <f>SUMIFS(Data!$S:$S,Data!$A:$A,Data_echipe!$A14,Data!$C:$C,Data_echipe!F$1)</f>
        <v>2.75</v>
      </c>
      <c r="G14" s="117">
        <f>SUMIFS(Data!$S:$S,Data!$A:$A,Data_echipe!$A14,Data!$C:$C,Data_echipe!G$1)</f>
        <v>2.625</v>
      </c>
      <c r="H14" s="117">
        <f>SUMIFS(Data!$S:$S,Data!$A:$A,Data_echipe!$A14,Data!$C:$C,Data_echipe!H$1)</f>
        <v>2.75</v>
      </c>
      <c r="I14" s="117">
        <f>SUMIFS(Data!$S:$S,Data!$A:$A,Data_echipe!$A14,Data!$C:$C,Data_echipe!I$1)</f>
        <v>2.625</v>
      </c>
      <c r="J14" s="117">
        <f>SUMIFS(Data!$S:$S,Data!$A:$A,Data_echipe!$A14,Data!$C:$C,Data_echipe!J$1)</f>
        <v>2.375</v>
      </c>
      <c r="K14" s="89">
        <f>SUMIFS(Data!$S:$S,Data!$A:$A,Data_echipe!$A14,Data!$C:$C,Data_echipe!K$1)</f>
        <v>2.75</v>
      </c>
      <c r="L14" s="117">
        <f>SUMIFS(Data!$S:$S,Data!$A:$A,Data_echipe!$A14,Data!$C:$C,Data_echipe!L$1)</f>
        <v>2.625</v>
      </c>
      <c r="M14" s="117">
        <f>SUMIFS(Data!$S:$S,Data!$A:$A,Data_echipe!$A14,Data!$C:$C,Data_echipe!M$1)</f>
        <v>2.5</v>
      </c>
      <c r="O14" s="41" t="s">
        <v>199</v>
      </c>
      <c r="U14" s="41" t="s">
        <v>171</v>
      </c>
    </row>
    <row r="15" spans="1:21">
      <c r="A15" s="41" t="s">
        <v>60</v>
      </c>
      <c r="B15" s="89">
        <f>SUMIFS(Data!S:S,Data!A:A,Data_echipe!$A15,Data!C:C,Data_echipe!B$1)</f>
        <v>3.75</v>
      </c>
      <c r="C15" s="89">
        <f>SUMIFS(Data!$S:$S,Data!$A:$A,Data_echipe!$A15,Data!$C:$C,Data_echipe!C$1)</f>
        <v>3.875</v>
      </c>
      <c r="D15" s="89">
        <f>SUMIFS(Data!$S:$S,Data!$A:$A,Data_echipe!$A15,Data!$C:$C,Data_echipe!D$1)</f>
        <v>3.375</v>
      </c>
      <c r="E15" s="89">
        <f>SUMIFS(Data!$S:$S,Data!$A:$A,Data_echipe!$A15,Data!$C:$C,Data_echipe!E$1)</f>
        <v>4</v>
      </c>
      <c r="F15" s="117">
        <f>SUMIFS(Data!$S:$S,Data!$A:$A,Data_echipe!$A15,Data!$C:$C,Data_echipe!F$1)</f>
        <v>3.875</v>
      </c>
      <c r="G15" s="117">
        <f>SUMIFS(Data!$S:$S,Data!$A:$A,Data_echipe!$A15,Data!$C:$C,Data_echipe!G$1)</f>
        <v>3.25</v>
      </c>
      <c r="H15" s="117">
        <f>SUMIFS(Data!$S:$S,Data!$A:$A,Data_echipe!$A15,Data!$C:$C,Data_echipe!H$1)</f>
        <v>4</v>
      </c>
      <c r="I15" s="117">
        <f>SUMIFS(Data!$S:$S,Data!$A:$A,Data_echipe!$A15,Data!$C:$C,Data_echipe!I$1)</f>
        <v>3.875</v>
      </c>
      <c r="J15" s="117">
        <f>SUMIFS(Data!$S:$S,Data!$A:$A,Data_echipe!$A15,Data!$C:$C,Data_echipe!J$1)</f>
        <v>3.25</v>
      </c>
      <c r="K15" s="89">
        <f>SUMIFS(Data!$S:$S,Data!$A:$A,Data_echipe!$A15,Data!$C:$C,Data_echipe!K$1)</f>
        <v>3.6996666666666669</v>
      </c>
      <c r="L15" s="117">
        <f>SUMIFS(Data!$S:$S,Data!$A:$A,Data_echipe!$A15,Data!$C:$C,Data_echipe!L$1)</f>
        <v>3.875</v>
      </c>
      <c r="M15" s="117">
        <f>SUMIFS(Data!$S:$S,Data!$A:$A,Data_echipe!$A15,Data!$C:$C,Data_echipe!M$1)</f>
        <v>3.375</v>
      </c>
      <c r="O15" s="41" t="s">
        <v>199</v>
      </c>
      <c r="U15" s="41" t="s">
        <v>52</v>
      </c>
    </row>
    <row r="16" spans="1:21">
      <c r="A16" s="41" t="s">
        <v>59</v>
      </c>
      <c r="B16" s="92">
        <f>SUMIFS(Data!S:S,Data!A:A,Data_echipe!$A16,Data!C:C,Data_echipe!B$1)</f>
        <v>2.5</v>
      </c>
      <c r="C16" s="92">
        <f>SUMIFS(Data!$S:$S,Data!$A:$A,Data_echipe!$A16,Data!$C:$C,Data_echipe!C$1)</f>
        <v>0</v>
      </c>
      <c r="D16" s="92">
        <f>SUMIFS(Data!$S:$S,Data!$A:$A,Data_echipe!$A16,Data!$C:$C,Data_echipe!D$1)</f>
        <v>2</v>
      </c>
      <c r="E16" s="92">
        <f>SUMIFS(Data!$S:$S,Data!$A:$A,Data_echipe!$A16,Data!$C:$C,Data_echipe!E$1)</f>
        <v>0</v>
      </c>
      <c r="F16" s="120">
        <f>SUMIFS(Data!$S:$S,Data!$A:$A,Data_echipe!$A16,Data!$C:$C,Data_echipe!F$1)</f>
        <v>0</v>
      </c>
      <c r="G16" s="120">
        <f>SUMIFS(Data!$S:$S,Data!$A:$A,Data_echipe!$A16,Data!$C:$C,Data_echipe!G$1)</f>
        <v>0</v>
      </c>
      <c r="H16" s="117">
        <f>SUMIFS(Data!$S:$S,Data!$A:$A,Data_echipe!$A16,Data!$C:$C,Data_echipe!H$1)</f>
        <v>2.9809999999999999</v>
      </c>
      <c r="I16" s="117">
        <f>SUMIFS(Data!$S:$S,Data!$A:$A,Data_echipe!$A16,Data!$C:$C,Data_echipe!I$1)</f>
        <v>0</v>
      </c>
      <c r="J16" s="117">
        <f>SUMIFS(Data!$S:$S,Data!$A:$A,Data_echipe!$A16,Data!$C:$C,Data_echipe!J$1)</f>
        <v>2.25</v>
      </c>
      <c r="K16" s="89">
        <f>SUMIFS(Data!$S:$S,Data!$A:$A,Data_echipe!$A16,Data!$C:$C,Data_echipe!K$1)</f>
        <v>2.25</v>
      </c>
      <c r="L16" s="117">
        <f>SUMIFS(Data!$S:$S,Data!$A:$A,Data_echipe!$A16,Data!$C:$C,Data_echipe!L$1)</f>
        <v>3.625</v>
      </c>
      <c r="M16" s="117">
        <f>SUMIFS(Data!$S:$S,Data!$A:$A,Data_echipe!$A16,Data!$C:$C,Data_echipe!M$1)</f>
        <v>2.5</v>
      </c>
      <c r="O16" s="41" t="s">
        <v>199</v>
      </c>
      <c r="U16" s="41" t="s">
        <v>54</v>
      </c>
    </row>
    <row r="17" spans="1:21">
      <c r="A17" s="41" t="s">
        <v>53</v>
      </c>
      <c r="B17" s="89">
        <f>SUMIFS(Data!S:S,Data!A:A,Data_echipe!$A17,Data!C:C,Data_echipe!B$1)</f>
        <v>2.6996666666666669</v>
      </c>
      <c r="C17" s="89">
        <f>SUMIFS(Data!$S:$S,Data!$A:$A,Data_echipe!$A17,Data!$C:$C,Data_echipe!C$1)</f>
        <v>2.25</v>
      </c>
      <c r="D17" s="89">
        <f>SUMIFS(Data!$S:$S,Data!$A:$A,Data_echipe!$A17,Data!$C:$C,Data_echipe!D$1)</f>
        <v>2.625</v>
      </c>
      <c r="E17" s="89">
        <f>SUMIFS(Data!$S:$S,Data!$A:$A,Data_echipe!$A17,Data!$C:$C,Data_echipe!E$1)</f>
        <v>2.8586666666666667</v>
      </c>
      <c r="F17" s="117">
        <f>SUMIFS(Data!$S:$S,Data!$A:$A,Data_echipe!$A17,Data!$C:$C,Data_echipe!F$1)</f>
        <v>1.625</v>
      </c>
      <c r="G17" s="117">
        <f>SUMIFS(Data!$S:$S,Data!$A:$A,Data_echipe!$A17,Data!$C:$C,Data_echipe!G$1)</f>
        <v>3.5523333333333333</v>
      </c>
      <c r="H17" s="117">
        <f>SUMIFS(Data!$S:$S,Data!$A:$A,Data_echipe!$A17,Data!$C:$C,Data_echipe!H$1)</f>
        <v>2.8479999999999999</v>
      </c>
      <c r="I17" s="117">
        <f>SUMIFS(Data!$S:$S,Data!$A:$A,Data_echipe!$A17,Data!$C:$C,Data_echipe!I$1)</f>
        <v>2.4550000000000001</v>
      </c>
      <c r="J17" s="117">
        <f>SUMIFS(Data!$S:$S,Data!$A:$A,Data_echipe!$A17,Data!$C:$C,Data_echipe!J$1)</f>
        <v>2.25</v>
      </c>
      <c r="K17" s="89">
        <f>SUMIFS(Data!$S:$S,Data!$A:$A,Data_echipe!$A17,Data!$C:$C,Data_echipe!K$1)</f>
        <v>2</v>
      </c>
      <c r="L17" s="117">
        <f>SUMIFS(Data!$S:$S,Data!$A:$A,Data_echipe!$A17,Data!$C:$C,Data_echipe!L$1)</f>
        <v>2.5866666666666669</v>
      </c>
      <c r="M17" s="117">
        <f>SUMIFS(Data!$S:$S,Data!$A:$A,Data_echipe!$A17,Data!$C:$C,Data_echipe!M$1)</f>
        <v>1.75</v>
      </c>
      <c r="O17" s="41" t="s">
        <v>199</v>
      </c>
      <c r="U17" s="87" t="s">
        <v>59</v>
      </c>
    </row>
    <row r="18" spans="1:21">
      <c r="A18" s="41" t="s">
        <v>51</v>
      </c>
      <c r="B18" s="89">
        <f>SUMIFS(Data!S:S,Data!A:A,Data_echipe!$A18,Data!C:C,Data_echipe!B$1)</f>
        <v>3</v>
      </c>
      <c r="C18" s="89">
        <f>SUMIFS(Data!$S:$S,Data!$A:$A,Data_echipe!$A18,Data!$C:$C,Data_echipe!C$1)</f>
        <v>0</v>
      </c>
      <c r="D18" s="89">
        <f>SUMIFS(Data!$S:$S,Data!$A:$A,Data_echipe!$A18,Data!$C:$C,Data_echipe!D$1)</f>
        <v>1.875</v>
      </c>
      <c r="E18" s="89">
        <f>SUMIFS(Data!$S:$S,Data!$A:$A,Data_echipe!$A18,Data!$C:$C,Data_echipe!E$1)</f>
        <v>2</v>
      </c>
      <c r="F18" s="117">
        <f>SUMIFS(Data!$S:$S,Data!$A:$A,Data_echipe!$A18,Data!$C:$C,Data_echipe!F$1)</f>
        <v>0</v>
      </c>
      <c r="G18" s="117">
        <f>SUMIFS(Data!$S:$S,Data!$A:$A,Data_echipe!$A18,Data!$C:$C,Data_echipe!G$1)</f>
        <v>0</v>
      </c>
      <c r="H18" s="120">
        <f>SUMIFS(Data!$S:$S,Data!$A:$A,Data_echipe!$A18,Data!$C:$C,Data_echipe!H$1)</f>
        <v>0</v>
      </c>
      <c r="I18" s="120">
        <f>SUMIFS(Data!$S:$S,Data!$A:$A,Data_echipe!$A18,Data!$C:$C,Data_echipe!I$1)</f>
        <v>0</v>
      </c>
      <c r="J18" s="120">
        <f>SUMIFS(Data!$S:$S,Data!$A:$A,Data_echipe!$A18,Data!$C:$C,Data_echipe!J$1)</f>
        <v>0</v>
      </c>
      <c r="K18" s="92">
        <f>SUMIFS(Data!$S:$S,Data!$A:$A,Data_echipe!$A18,Data!$C:$C,Data_echipe!K$1)</f>
        <v>0</v>
      </c>
      <c r="L18" s="120">
        <f>SUMIFS(Data!$S:$S,Data!$A:$A,Data_echipe!$A18,Data!$C:$C,Data_echipe!L$1)</f>
        <v>0</v>
      </c>
      <c r="M18" s="120">
        <f>SUMIFS(Data!$S:$S,Data!$A:$A,Data_echipe!$A18,Data!$C:$C,Data_echipe!M$1)</f>
        <v>0</v>
      </c>
      <c r="O18" s="41" t="s">
        <v>199</v>
      </c>
      <c r="U18" s="88" t="s">
        <v>131</v>
      </c>
    </row>
    <row r="19" spans="1:21">
      <c r="A19" s="41" t="s">
        <v>203</v>
      </c>
      <c r="B19" s="89">
        <f>SUMIFS(Data!S:S,Data!A:A,Data_echipe!$A19,Data!C:C,Data_echipe!B$1)</f>
        <v>3.8610000000000002</v>
      </c>
      <c r="C19" s="89">
        <f>SUMIFS(Data!$S:$S,Data!$A:$A,Data_echipe!$A19,Data!$C:$C,Data_echipe!C$1)</f>
        <v>4.8073333333333341</v>
      </c>
      <c r="D19" s="89">
        <f>SUMIFS(Data!$S:$S,Data!$A:$A,Data_echipe!$A19,Data!$C:$C,Data_echipe!D$1)</f>
        <v>3.6</v>
      </c>
      <c r="E19" s="89">
        <f>SUMIFS(Data!$S:$S,Data!$A:$A,Data_echipe!$A19,Data!$C:$C,Data_echipe!E$1)</f>
        <v>2.125</v>
      </c>
      <c r="F19" s="117">
        <f>SUMIFS(Data!$S:$S,Data!$A:$A,Data_echipe!$A19,Data!$C:$C,Data_echipe!F$1)</f>
        <v>4.0436666666666667</v>
      </c>
      <c r="G19" s="117">
        <f>SUMIFS(Data!$S:$S,Data!$A:$A,Data_echipe!$A19,Data!$C:$C,Data_echipe!G$1)</f>
        <v>3.25</v>
      </c>
      <c r="H19" s="117">
        <f>SUMIFS(Data!$S:$S,Data!$A:$A,Data_echipe!$A19,Data!$C:$C,Data_echipe!H$1)</f>
        <v>3.25</v>
      </c>
      <c r="I19" s="117">
        <f>SUMIFS(Data!$S:$S,Data!$A:$A,Data_echipe!$A19,Data!$C:$C,Data_echipe!I$1)</f>
        <v>0</v>
      </c>
      <c r="J19" s="117">
        <f>SUMIFS(Data!$S:$S,Data!$A:$A,Data_echipe!$A19,Data!$C:$C,Data_echipe!J$1)</f>
        <v>2.625</v>
      </c>
      <c r="K19" s="89">
        <f>SUMIFS(Data!$S:$S,Data!$A:$A,Data_echipe!$A19,Data!$C:$C,Data_echipe!K$1)</f>
        <v>3.1749999999999998</v>
      </c>
      <c r="L19" s="117">
        <f>SUMIFS(Data!$S:$S,Data!$A:$A,Data_echipe!$A19,Data!$C:$C,Data_echipe!L$1)</f>
        <v>2.75</v>
      </c>
      <c r="M19" s="117">
        <f>SUMIFS(Data!$S:$S,Data!$A:$A,Data_echipe!$A19,Data!$C:$C,Data_echipe!M$1)</f>
        <v>4.0170000000000003</v>
      </c>
      <c r="O19" s="41" t="s">
        <v>199</v>
      </c>
      <c r="U19" s="3" t="s">
        <v>169</v>
      </c>
    </row>
    <row r="20" spans="1:21">
      <c r="A20" s="41" t="s">
        <v>170</v>
      </c>
      <c r="B20" s="89"/>
      <c r="C20" s="89">
        <f>SUMIFS(Data!$S:$S,Data!$A:$A,Data_echipe!$A20,Data!$C:$C,Data_echipe!C$1)</f>
        <v>0</v>
      </c>
      <c r="D20" s="89">
        <f>SUMIFS(Data!$S:$S,Data!$A:$A,Data_echipe!$A20,Data!$C:$C,Data_echipe!D$1)</f>
        <v>0</v>
      </c>
      <c r="E20" s="89">
        <f>SUMIFS(Data!$S:$S,Data!$A:$A,Data_echipe!$A20,Data!$C:$C,Data_echipe!E$1)</f>
        <v>0</v>
      </c>
      <c r="F20" s="117">
        <f>SUMIFS(Data!$S:$S,Data!$A:$A,Data_echipe!$A20,Data!$C:$C,Data_echipe!F$1)</f>
        <v>2.125</v>
      </c>
      <c r="G20" s="117">
        <f>SUMIFS(Data!$S:$S,Data!$A:$A,Data_echipe!$A20,Data!$C:$C,Data_echipe!G$1)</f>
        <v>2.25</v>
      </c>
      <c r="H20" s="117">
        <f>SUMIFS(Data!$S:$S,Data!$A:$A,Data_echipe!$A20,Data!$C:$C,Data_echipe!H$1)</f>
        <v>1.625</v>
      </c>
      <c r="I20" s="117">
        <f>SUMIFS(Data!$S:$S,Data!$A:$A,Data_echipe!$A20,Data!$C:$C,Data_echipe!I$1)</f>
        <v>1.875</v>
      </c>
      <c r="J20" s="117">
        <f>SUMIFS(Data!$S:$S,Data!$A:$A,Data_echipe!$A20,Data!$C:$C,Data_echipe!J$1)</f>
        <v>0</v>
      </c>
      <c r="K20" s="89">
        <f>SUMIFS(Data!$S:$S,Data!$A:$A,Data_echipe!$A20,Data!$C:$C,Data_echipe!K$1)</f>
        <v>0</v>
      </c>
      <c r="L20" s="117">
        <f>SUMIFS(Data!$S:$S,Data!$A:$A,Data_echipe!$A20,Data!$C:$C,Data_echipe!L$1)</f>
        <v>0</v>
      </c>
      <c r="M20" s="117">
        <f>SUMIFS(Data!$S:$S,Data!$A:$A,Data_echipe!$A20,Data!$C:$C,Data_echipe!M$1)</f>
        <v>0</v>
      </c>
      <c r="O20" s="41" t="s">
        <v>199</v>
      </c>
      <c r="U20" s="3" t="s">
        <v>56</v>
      </c>
    </row>
    <row r="21" spans="1:21">
      <c r="B21" s="89"/>
      <c r="L21" s="117"/>
      <c r="M21" s="117"/>
      <c r="U21" s="3" t="s">
        <v>53</v>
      </c>
    </row>
    <row r="22" spans="1:21" s="86" customFormat="1">
      <c r="A22" s="86" t="s">
        <v>218</v>
      </c>
      <c r="B22" s="91">
        <f>AVERAGE(B25,B24,B27,B26,B29)</f>
        <v>3.2528666666666668</v>
      </c>
      <c r="C22" s="111">
        <f>AVERAGE(C25,C24,C23,C26,C28,C30)</f>
        <v>3.0448888888888885</v>
      </c>
      <c r="D22" s="111">
        <f>AVERAGE(D25,D24,D27,D26,D28,D29)</f>
        <v>3.0312222222222225</v>
      </c>
      <c r="E22" s="111">
        <f t="shared" ref="E22" si="2">AVERAGE(E25,E24,E23,E26,E28,E30)</f>
        <v>3.3930555555555557</v>
      </c>
      <c r="F22" s="116">
        <f>AVERAGE(F25,F27,F23,F26,F28,F30)</f>
        <v>3.4557777777777776</v>
      </c>
      <c r="G22" s="116">
        <f>AVERAGE(G25,G24,G29,G26,G28,G30)</f>
        <v>3.3368888888888892</v>
      </c>
      <c r="H22" s="116">
        <f>AVERAGE(H23,H24,H29,H26,H28,H30)</f>
        <v>2.8958333333333335</v>
      </c>
      <c r="I22" s="116">
        <f>AVERAGE(I23,I27,I29,I26,I28,I30)</f>
        <v>3.4037222222222225</v>
      </c>
      <c r="J22" s="116">
        <f>AVERAGE(J23,J27,J29,J26,J28,J30)</f>
        <v>2.9800555555555555</v>
      </c>
      <c r="K22" s="133">
        <f>AVERAGE(K23,K27,K29,K26,K28,K30)</f>
        <v>3.1758333333333333</v>
      </c>
      <c r="L22" s="134">
        <f>AVERAGE(L25,L27,L29,L26,L28,L30)</f>
        <v>2.9634999999999998</v>
      </c>
      <c r="M22" s="134">
        <f>AVERAGE(M25,M27,M29,M26,M28,M30)</f>
        <v>3.422333333333333</v>
      </c>
      <c r="N22" s="91">
        <f>SUM(B22:M22)</f>
        <v>38.355977777777774</v>
      </c>
      <c r="P22" s="21"/>
      <c r="U22" s="87" t="s">
        <v>67</v>
      </c>
    </row>
    <row r="23" spans="1:21">
      <c r="A23" s="41" t="s">
        <v>115</v>
      </c>
      <c r="B23" s="92">
        <f>SUMIFS(Data!S:S,Data!A:A,Data_echipe!$A23,Data!C:C,Data_echipe!B$1)</f>
        <v>4.0419999999999998</v>
      </c>
      <c r="C23" s="89">
        <f>SUMIFS(Data!$S:$S,Data!$A:$A,Data_echipe!$A23,Data!$C:$C,Data_echipe!C$1)</f>
        <v>3.0116666666666667</v>
      </c>
      <c r="D23" s="92">
        <f>SUMIFS(Data!$S:$S,Data!$A:$A,Data_echipe!$A23,Data!$C:$C,Data_echipe!D$1)</f>
        <v>2.4673333333333334</v>
      </c>
      <c r="E23" s="89">
        <f>SUMIFS(Data!$S:$S,Data!$A:$A,Data_echipe!$A23,Data!$C:$C,Data_echipe!E$1)</f>
        <v>3.5833333333333335</v>
      </c>
      <c r="F23" s="121">
        <f>SUMIFS(Data!$S:$S,Data!$A:$A,Data_echipe!$A23,Data!$C:$C,Data_echipe!F$1)</f>
        <v>4.0969999999999995</v>
      </c>
      <c r="G23" s="122">
        <f>SUMIFS(Data!$S:$S,Data!$A:$A,Data_echipe!$A23,Data!$C:$C,Data_echipe!G$1)</f>
        <v>6.9909999999999997</v>
      </c>
      <c r="H23" s="121">
        <f>SUMIFS(Data!$S:$S,Data!$A:$A,Data_echipe!$A23,Data!$C:$C,Data_echipe!H$1)</f>
        <v>2.625</v>
      </c>
      <c r="I23" s="121">
        <f>SUMIFS(Data!$S:$S,Data!$A:$A,Data_echipe!$A23,Data!$C:$C,Data_echipe!I$1)</f>
        <v>3.125</v>
      </c>
      <c r="J23" s="121">
        <f>SUMIFS(Data!$S:$S,Data!$A:$A,Data_echipe!$A23,Data!$C:$C,Data_echipe!J$1)</f>
        <v>2.875</v>
      </c>
      <c r="K23" s="89">
        <f>SUMIFS(Data!$S:$S,Data!$A:$A,Data_echipe!$A23,Data!$C:$C,Data_echipe!K$1)</f>
        <v>4.0066666666666659</v>
      </c>
      <c r="L23" s="120">
        <f>SUMIFS(Data!$S:$S,Data!$A:$A,Data_echipe!$A23,Data!$C:$C,Data_echipe!L$1)</f>
        <v>4.7053333333333338</v>
      </c>
      <c r="M23" s="120">
        <f>SUMIFS(Data!$S:$S,Data!$A:$A,Data_echipe!$A23,Data!$C:$C,Data_echipe!M$1)</f>
        <v>4.9959999999999996</v>
      </c>
      <c r="O23" s="41" t="s">
        <v>197</v>
      </c>
      <c r="U23" s="41" t="s">
        <v>51</v>
      </c>
    </row>
    <row r="24" spans="1:21">
      <c r="A24" s="41" t="s">
        <v>64</v>
      </c>
      <c r="B24" s="89">
        <f>SUMIFS(Data!S:S,Data!A:A,Data_echipe!$A24,Data!C:C,Data_echipe!B$1)</f>
        <v>2.875</v>
      </c>
      <c r="C24" s="89">
        <f>SUMIFS(Data!$S:$S,Data!$A:$A,Data_echipe!$A24,Data!$C:$C,Data_echipe!C$1)</f>
        <v>2.875</v>
      </c>
      <c r="D24" s="112">
        <f>SUMIFS(Data!$S:$S,Data!$A:$A,Data_echipe!$A24,Data!$C:$C,Data_echipe!D$1)</f>
        <v>2.625</v>
      </c>
      <c r="E24" s="89">
        <f>SUMIFS(Data!$S:$S,Data!$A:$A,Data_echipe!$A24,Data!$C:$C,Data_echipe!E$1)</f>
        <v>2.875</v>
      </c>
      <c r="F24" s="120">
        <f>SUMIFS(Data!$S:$S,Data!$A:$A,Data_echipe!$A24,Data!$C:$C,Data_echipe!F$1)</f>
        <v>2.25</v>
      </c>
      <c r="G24" s="117">
        <f>SUMIFS(Data!$S:$S,Data!$A:$A,Data_echipe!$A24,Data!$C:$C,Data_echipe!G$1)</f>
        <v>1.875</v>
      </c>
      <c r="H24" s="117">
        <f>SUMIFS(Data!$S:$S,Data!$A:$A,Data_echipe!$A24,Data!$C:$C,Data_echipe!H$1)</f>
        <v>2.625</v>
      </c>
      <c r="I24" s="120">
        <f>SUMIFS(Data!$S:$S,Data!$A:$A,Data_echipe!$A24,Data!$C:$C,Data_echipe!I$1)</f>
        <v>2.375</v>
      </c>
      <c r="J24" s="120">
        <f>SUMIFS(Data!$S:$S,Data!$A:$A,Data_echipe!$A24,Data!$C:$C,Data_echipe!J$1)</f>
        <v>1.875</v>
      </c>
      <c r="K24" s="92">
        <f>SUMIFS(Data!$S:$S,Data!$A:$A,Data_echipe!$A24,Data!$C:$C,Data_echipe!K$1)</f>
        <v>0</v>
      </c>
      <c r="L24" s="120">
        <f>SUMIFS(Data!$S:$S,Data!$A:$A,Data_echipe!$A24,Data!$C:$C,Data_echipe!L$1)</f>
        <v>0</v>
      </c>
      <c r="M24" s="120">
        <f>SUMIFS(Data!$S:$S,Data!$A:$A,Data_echipe!$A24,Data!$C:$C,Data_echipe!M$1)</f>
        <v>0</v>
      </c>
      <c r="O24" s="41" t="s">
        <v>197</v>
      </c>
      <c r="U24" s="41" t="s">
        <v>8</v>
      </c>
    </row>
    <row r="25" spans="1:21">
      <c r="A25" s="41" t="s">
        <v>82</v>
      </c>
      <c r="B25" s="89">
        <f>SUMIFS(Data!S:S,Data!A:A,Data_echipe!$A25,Data!C:C,Data_echipe!B$1)</f>
        <v>3.5</v>
      </c>
      <c r="C25" s="89">
        <f>SUMIFS(Data!$S:$S,Data!$A:$A,Data_echipe!$A25,Data!$C:$C,Data_echipe!C$1)</f>
        <v>3.125</v>
      </c>
      <c r="D25" s="112">
        <f>SUMIFS(Data!$S:$S,Data!$A:$A,Data_echipe!$A25,Data!$C:$C,Data_echipe!D$1)</f>
        <v>3.375</v>
      </c>
      <c r="E25" s="89">
        <f>SUMIFS(Data!$S:$S,Data!$A:$A,Data_echipe!$A25,Data!$C:$C,Data_echipe!E$1)</f>
        <v>3.125</v>
      </c>
      <c r="F25" s="117">
        <f>SUMIFS(Data!$S:$S,Data!$A:$A,Data_echipe!$A25,Data!$C:$C,Data_echipe!F$1)</f>
        <v>3</v>
      </c>
      <c r="G25" s="117">
        <f>SUMIFS(Data!$S:$S,Data!$A:$A,Data_echipe!$A25,Data!$C:$C,Data_echipe!G$1)</f>
        <v>4.0463333333333331</v>
      </c>
      <c r="H25" s="120">
        <f>SUMIFS(Data!$S:$S,Data!$A:$A,Data_echipe!$A25,Data!$C:$C,Data_echipe!H$1)</f>
        <v>5.1013333333333337</v>
      </c>
      <c r="I25" s="120">
        <f>SUMIFS(Data!$S:$S,Data!$A:$A,Data_echipe!$A25,Data!$C:$C,Data_echipe!I$1)</f>
        <v>4.4740000000000002</v>
      </c>
      <c r="J25" s="120">
        <f>SUMIFS(Data!$S:$S,Data!$A:$A,Data_echipe!$A25,Data!$C:$C,Data_echipe!J$1)</f>
        <v>4.4393333333333338</v>
      </c>
      <c r="K25" s="92">
        <f>SUMIFS(Data!$S:$S,Data!$A:$A,Data_echipe!$A25,Data!$C:$C,Data_echipe!K$1)</f>
        <v>8.6606666666666676</v>
      </c>
      <c r="L25" s="117">
        <f>SUMIFS(Data!$S:$S,Data!$A:$A,Data_echipe!$A25,Data!$C:$C,Data_echipe!L$1)</f>
        <v>2.875</v>
      </c>
      <c r="M25" s="117">
        <f>SUMIFS(Data!$S:$S,Data!$A:$A,Data_echipe!$A25,Data!$C:$C,Data_echipe!M$1)</f>
        <v>4.4523333333333337</v>
      </c>
      <c r="O25" s="41" t="s">
        <v>197</v>
      </c>
      <c r="U25" s="41" t="s">
        <v>50</v>
      </c>
    </row>
    <row r="26" spans="1:21">
      <c r="A26" s="41" t="s">
        <v>52</v>
      </c>
      <c r="B26" s="89">
        <f>SUMIFS(Data!S:S,Data!A:A,Data_echipe!$A26,Data!C:C,Data_echipe!B$1)</f>
        <v>3</v>
      </c>
      <c r="C26" s="89">
        <f>SUMIFS(Data!$S:$S,Data!$A:$A,Data_echipe!$A26,Data!$C:$C,Data_echipe!C$1)</f>
        <v>2.5576666666666665</v>
      </c>
      <c r="D26" s="112">
        <f>SUMIFS(Data!$S:$S,Data!$A:$A,Data_echipe!$A26,Data!$C:$C,Data_echipe!D$1)</f>
        <v>3.6873333333333331</v>
      </c>
      <c r="E26" s="89">
        <f>SUMIFS(Data!$S:$S,Data!$A:$A,Data_echipe!$A26,Data!$C:$C,Data_echipe!E$1)</f>
        <v>3.85</v>
      </c>
      <c r="F26" s="117">
        <f>SUMIFS(Data!$S:$S,Data!$A:$A,Data_echipe!$A26,Data!$C:$C,Data_echipe!F$1)</f>
        <v>3.8876666666666666</v>
      </c>
      <c r="G26" s="117">
        <f>SUMIFS(Data!$S:$S,Data!$A:$A,Data_echipe!$A26,Data!$C:$C,Data_echipe!G$1)</f>
        <v>4.25</v>
      </c>
      <c r="H26" s="117">
        <f>SUMIFS(Data!$S:$S,Data!$A:$A,Data_echipe!$A26,Data!$C:$C,Data_echipe!H$1)</f>
        <v>2.75</v>
      </c>
      <c r="I26" s="117">
        <f>SUMIFS(Data!$S:$S,Data!$A:$A,Data_echipe!$A26,Data!$C:$C,Data_echipe!I$1)</f>
        <v>2.875</v>
      </c>
      <c r="J26" s="117">
        <f>SUMIFS(Data!$S:$S,Data!$A:$A,Data_echipe!$A26,Data!$C:$C,Data_echipe!J$1)</f>
        <v>2.2423333333333333</v>
      </c>
      <c r="K26" s="89">
        <f>SUMIFS(Data!$S:$S,Data!$A:$A,Data_echipe!$A26,Data!$C:$C,Data_echipe!K$1)</f>
        <v>2.6576666666666666</v>
      </c>
      <c r="L26" s="117">
        <f>SUMIFS(Data!$S:$S,Data!$A:$A,Data_echipe!$A26,Data!$C:$C,Data_echipe!L$1)</f>
        <v>2.956</v>
      </c>
      <c r="M26" s="117">
        <f>SUMIFS(Data!$S:$S,Data!$A:$A,Data_echipe!$A26,Data!$C:$C,Data_echipe!M$1)</f>
        <v>3.375</v>
      </c>
      <c r="O26" s="41" t="s">
        <v>197</v>
      </c>
      <c r="U26" s="41" t="s">
        <v>201</v>
      </c>
    </row>
    <row r="27" spans="1:21">
      <c r="A27" s="41" t="s">
        <v>131</v>
      </c>
      <c r="B27" s="89">
        <f>SUMIFS(Data!S:S,Data!A:A,Data_echipe!$A27,Data!C:C,Data_echipe!B$1)</f>
        <v>3.5906666666666665</v>
      </c>
      <c r="C27" s="92">
        <f>SUMIFS(Data!$S:$S,Data!$A:$A,Data_echipe!$A27,Data!$C:$C,Data_echipe!C$1)</f>
        <v>1.625</v>
      </c>
      <c r="D27" s="112">
        <f>SUMIFS(Data!$S:$S,Data!$A:$A,Data_echipe!$A27,Data!$C:$C,Data_echipe!D$1)</f>
        <v>2.75</v>
      </c>
      <c r="E27" s="92">
        <f>SUMIFS(Data!$S:$S,Data!$A:$A,Data_echipe!$A27,Data!$C:$C,Data_echipe!E$1)</f>
        <v>2.375</v>
      </c>
      <c r="F27" s="117">
        <f>SUMIFS(Data!$S:$S,Data!$A:$A,Data_echipe!$A27,Data!$C:$C,Data_echipe!F$1)</f>
        <v>3.75</v>
      </c>
      <c r="G27" s="120">
        <f>SUMIFS(Data!$S:$S,Data!$A:$A,Data_echipe!$A27,Data!$C:$C,Data_echipe!G$1)</f>
        <v>1.75</v>
      </c>
      <c r="H27" s="120">
        <f>SUMIFS(Data!$S:$S,Data!$A:$A,Data_echipe!$A27,Data!$C:$C,Data_echipe!H$1)</f>
        <v>2.25</v>
      </c>
      <c r="I27" s="117">
        <f>SUMIFS(Data!$S:$S,Data!$A:$A,Data_echipe!$A27,Data!$C:$C,Data_echipe!I$1)</f>
        <v>3.5</v>
      </c>
      <c r="J27" s="117">
        <f>SUMIFS(Data!$S:$S,Data!$A:$A,Data_echipe!$A27,Data!$C:$C,Data_echipe!J$1)</f>
        <v>3.0380000000000003</v>
      </c>
      <c r="K27" s="89">
        <f>SUMIFS(Data!$S:$S,Data!$A:$A,Data_echipe!$A27,Data!$C:$C,Data_echipe!K$1)</f>
        <v>2.5</v>
      </c>
      <c r="L27" s="117">
        <f>SUMIFS(Data!$S:$S,Data!$A:$A,Data_echipe!$A27,Data!$C:$C,Data_echipe!L$1)</f>
        <v>1.875</v>
      </c>
      <c r="M27" s="117">
        <f>SUMIFS(Data!$S:$S,Data!$A:$A,Data_echipe!$A27,Data!$C:$C,Data_echipe!M$1)</f>
        <v>3.625</v>
      </c>
      <c r="O27" s="41" t="s">
        <v>197</v>
      </c>
      <c r="U27" s="87" t="s">
        <v>206</v>
      </c>
    </row>
    <row r="28" spans="1:21">
      <c r="A28" s="41" t="s">
        <v>8</v>
      </c>
      <c r="B28" s="92">
        <f>SUMIFS(Data!S:S,Data!A:A,Data_echipe!$A28,Data!C:C,Data_echipe!B$1)</f>
        <v>2.625</v>
      </c>
      <c r="C28" s="89">
        <f>SUMIFS(Data!$S:$S,Data!$A:$A,Data_echipe!$A28,Data!$C:$C,Data_echipe!C$1)</f>
        <v>2.75</v>
      </c>
      <c r="D28" s="112">
        <f>SUMIFS(Data!$S:$S,Data!$A:$A,Data_echipe!$A28,Data!$C:$C,Data_echipe!D$1)</f>
        <v>2.625</v>
      </c>
      <c r="E28" s="89">
        <f>SUMIFS(Data!$S:$S,Data!$A:$A,Data_echipe!$A28,Data!$C:$C,Data_echipe!E$1)</f>
        <v>2.75</v>
      </c>
      <c r="F28" s="117">
        <f>SUMIFS(Data!$S:$S,Data!$A:$A,Data_echipe!$A28,Data!$C:$C,Data_echipe!F$1)</f>
        <v>2.375</v>
      </c>
      <c r="G28" s="117">
        <f>SUMIFS(Data!$S:$S,Data!$A:$A,Data_echipe!$A28,Data!$C:$C,Data_echipe!G$1)</f>
        <v>2.375</v>
      </c>
      <c r="H28" s="117">
        <f>SUMIFS(Data!$S:$S,Data!$A:$A,Data_echipe!$A28,Data!$C:$C,Data_echipe!H$1)</f>
        <v>2.5</v>
      </c>
      <c r="I28" s="117">
        <f>SUMIFS(Data!$S:$S,Data!$A:$A,Data_echipe!$A28,Data!$C:$C,Data_echipe!I$1)</f>
        <v>3</v>
      </c>
      <c r="J28" s="117">
        <f>SUMIFS(Data!$S:$S,Data!$A:$A,Data_echipe!$A28,Data!$C:$C,Data_echipe!J$1)</f>
        <v>2.5</v>
      </c>
      <c r="K28" s="89">
        <f>SUMIFS(Data!$S:$S,Data!$A:$A,Data_echipe!$A28,Data!$C:$C,Data_echipe!K$1)</f>
        <v>2</v>
      </c>
      <c r="L28" s="117">
        <f>SUMIFS(Data!$S:$S,Data!$A:$A,Data_echipe!$A28,Data!$C:$C,Data_echipe!L$1)</f>
        <v>2.125</v>
      </c>
      <c r="M28" s="117">
        <f>SUMIFS(Data!$S:$S,Data!$A:$A,Data_echipe!$A28,Data!$C:$C,Data_echipe!M$1)</f>
        <v>2.25</v>
      </c>
      <c r="O28" s="41" t="s">
        <v>197</v>
      </c>
      <c r="U28" s="41" t="s">
        <v>200</v>
      </c>
    </row>
    <row r="29" spans="1:21">
      <c r="A29" s="41" t="s">
        <v>200</v>
      </c>
      <c r="B29" s="89">
        <f>SUMIFS(Data!S:S,Data!A:A,Data_echipe!$A29,Data!C:C,Data_echipe!B$1)</f>
        <v>3.2986666666666666</v>
      </c>
      <c r="C29" s="92">
        <f>SUMIFS(Data!$S:$S,Data!$A:$A,Data_echipe!$A29,Data!$C:$C,Data_echipe!C$1)</f>
        <v>4.375</v>
      </c>
      <c r="D29" s="112">
        <f>SUMIFS(Data!$S:$S,Data!$A:$A,Data_echipe!$A29,Data!$C:$C,Data_echipe!D$1)</f>
        <v>3.125</v>
      </c>
      <c r="E29" s="92">
        <f>SUMIFS(Data!$S:$S,Data!$A:$A,Data_echipe!$A29,Data!$C:$C,Data_echipe!E$1)</f>
        <v>3.75</v>
      </c>
      <c r="F29" s="122">
        <f>SUMIFS(Data!$S:$S,Data!$A:$A,Data_echipe!$A29,Data!$C:$C,Data_echipe!F$1)</f>
        <v>4.0999999999999996</v>
      </c>
      <c r="G29" s="121">
        <f>SUMIFS(Data!$S:$S,Data!$A:$A,Data_echipe!$A29,Data!$C:$C,Data_echipe!G$1)</f>
        <v>3.5</v>
      </c>
      <c r="H29" s="121">
        <f>SUMIFS(Data!$S:$S,Data!$A:$A,Data_echipe!$A29,Data!$C:$C,Data_echipe!H$1)</f>
        <v>3.875</v>
      </c>
      <c r="I29" s="121">
        <f>SUMIFS(Data!$S:$S,Data!$A:$A,Data_echipe!$A29,Data!$C:$C,Data_echipe!I$1)</f>
        <v>4.0473333333333334</v>
      </c>
      <c r="J29" s="121">
        <f>SUMIFS(Data!$S:$S,Data!$A:$A,Data_echipe!$A29,Data!$C:$C,Data_echipe!J$1)</f>
        <v>3.375</v>
      </c>
      <c r="K29" s="89">
        <f>SUMIFS(Data!$S:$S,Data!$A:$A,Data_echipe!$A29,Data!$C:$C,Data_echipe!K$1)</f>
        <v>4.1406666666666663</v>
      </c>
      <c r="L29" s="117">
        <f>SUMIFS(Data!$S:$S,Data!$A:$A,Data_echipe!$A29,Data!$C:$C,Data_echipe!L$1)</f>
        <v>4.5750000000000002</v>
      </c>
      <c r="M29" s="117">
        <f>SUMIFS(Data!$S:$S,Data!$A:$A,Data_echipe!$A29,Data!$C:$C,Data_echipe!M$1)</f>
        <v>3.85</v>
      </c>
      <c r="O29" s="41" t="s">
        <v>197</v>
      </c>
      <c r="U29" s="41" t="s">
        <v>203</v>
      </c>
    </row>
    <row r="30" spans="1:21">
      <c r="A30" s="41" t="s">
        <v>208</v>
      </c>
      <c r="B30" s="89"/>
      <c r="C30" s="89">
        <f>SUMIFS(Data!$S:$S,Data!$A:$A,Data_echipe!$A30,Data!$C:$C,Data_echipe!C$1)</f>
        <v>3.95</v>
      </c>
      <c r="D30" s="92">
        <f>SUMIFS(Data!$S:$S,Data!$A:$A,Data_echipe!$A30,Data!$C:$C,Data_echipe!D$1)</f>
        <v>3.875</v>
      </c>
      <c r="E30" s="89">
        <f>SUMIFS(Data!$S:$S,Data!$A:$A,Data_echipe!$A30,Data!$C:$C,Data_echipe!E$1)</f>
        <v>4.1749999999999998</v>
      </c>
      <c r="F30" s="117">
        <f>SUMIFS(Data!$S:$S,Data!$A:$A,Data_echipe!$A30,Data!$C:$C,Data_echipe!F$1)</f>
        <v>3.625</v>
      </c>
      <c r="G30" s="117">
        <f>SUMIFS(Data!$S:$S,Data!$A:$A,Data_echipe!$A30,Data!$C:$C,Data_echipe!G$1)</f>
        <v>3.9750000000000001</v>
      </c>
      <c r="H30" s="117">
        <f>SUMIFS(Data!$S:$S,Data!$A:$A,Data_echipe!$A30,Data!$C:$C,Data_echipe!H$1)</f>
        <v>3</v>
      </c>
      <c r="I30" s="117">
        <f>SUMIFS(Data!$S:$S,Data!$A:$A,Data_echipe!$A30,Data!$C:$C,Data_echipe!I$1)</f>
        <v>3.875</v>
      </c>
      <c r="J30" s="117">
        <f>SUMIFS(Data!$S:$S,Data!$A:$A,Data_echipe!$A30,Data!$C:$C,Data_echipe!J$1)</f>
        <v>3.85</v>
      </c>
      <c r="K30" s="89">
        <f>SUMIFS(Data!$S:$S,Data!$A:$A,Data_echipe!$A30,Data!$C:$C,Data_echipe!K$1)</f>
        <v>3.75</v>
      </c>
      <c r="L30" s="117">
        <f>SUMIFS(Data!$S:$S,Data!$A:$A,Data_echipe!$A30,Data!$C:$C,Data_echipe!L$1)</f>
        <v>3.375</v>
      </c>
      <c r="M30" s="117">
        <f>SUMIFS(Data!$S:$S,Data!$A:$A,Data_echipe!$A30,Data!$C:$C,Data_echipe!M$1)</f>
        <v>2.9816666666666665</v>
      </c>
      <c r="O30" s="41" t="s">
        <v>197</v>
      </c>
      <c r="U30" s="41" t="s">
        <v>204</v>
      </c>
    </row>
    <row r="31" spans="1:21">
      <c r="B31" s="89"/>
      <c r="L31" s="117"/>
      <c r="M31" s="117"/>
      <c r="U31" s="41" t="s">
        <v>205</v>
      </c>
    </row>
    <row r="32" spans="1:21" s="86" customFormat="1">
      <c r="A32" s="86" t="s">
        <v>195</v>
      </c>
      <c r="B32" s="91">
        <f>AVERAGE(B35,B34,B33,B36,B38)</f>
        <v>3.1</v>
      </c>
      <c r="C32" s="91">
        <f>AVERAGE(C35,C34,C33,C36,C38,C37)</f>
        <v>3.2208333333333332</v>
      </c>
      <c r="D32" s="91">
        <f t="shared" ref="D32" si="3">AVERAGE(D35,D34,D33,D36,D38,D37)</f>
        <v>2.9791666666666665</v>
      </c>
      <c r="E32" s="91">
        <f>AVERAGE(E35,E39,E33,E36,E38,E37)</f>
        <v>3.4735555555555551</v>
      </c>
      <c r="F32" s="119">
        <f>AVERAGE(F35,F40,F33,F36,F38,F34)</f>
        <v>2.6625000000000001</v>
      </c>
      <c r="G32" s="119">
        <f>AVERAGE(G35,G37,G33,G36,G38,G34)</f>
        <v>2.8958333333333335</v>
      </c>
      <c r="H32" s="119">
        <f>AVERAGE(H35,H37,H33,H36,H38,H34)</f>
        <v>3.2018333333333335</v>
      </c>
      <c r="I32" s="119">
        <f>AVERAGE(I35,I37,I33,I36,I38,I40)</f>
        <v>2.1702777777777773</v>
      </c>
      <c r="J32" s="119">
        <f>AVERAGE(J34,J37,J33,J36,J38,J40)</f>
        <v>2.1041666666666665</v>
      </c>
      <c r="K32" s="133">
        <f>AVERAGE(K35,K37,K33,K36,K38,K39)</f>
        <v>2.2458333333333331</v>
      </c>
      <c r="L32" s="134">
        <f>AVERAGE(L34,L37,L33,L36,L38,L39)</f>
        <v>2.1481111111111111</v>
      </c>
      <c r="M32" s="134">
        <f>AVERAGE(M34,M37,M33,M36,M38,M35)</f>
        <v>2.4375</v>
      </c>
      <c r="N32" s="91">
        <f>SUM(B32:M32)</f>
        <v>32.639611111111108</v>
      </c>
      <c r="P32" s="21"/>
      <c r="U32" s="87" t="s">
        <v>202</v>
      </c>
    </row>
    <row r="33" spans="1:21">
      <c r="A33" s="41" t="s">
        <v>6</v>
      </c>
      <c r="B33" s="89">
        <f>SUMIFS(Data!S:S,Data!A:A,Data_echipe!$A33,Data!C:C,Data_echipe!B$1)</f>
        <v>3.75</v>
      </c>
      <c r="C33" s="89">
        <f>SUMIFS(Data!$S:$S,Data!$A:$A,Data_echipe!$A33,Data!$C:$C,Data_echipe!C$1)</f>
        <v>4.25</v>
      </c>
      <c r="D33" s="89">
        <f>SUMIFS(Data!$S:$S,Data!$A:$A,Data_echipe!$A33,Data!$C:$C,Data_echipe!D$1)</f>
        <v>3.625</v>
      </c>
      <c r="E33" s="89">
        <f>SUMIFS(Data!$S:$S,Data!$A:$A,Data_echipe!$A33,Data!$C:$C,Data_echipe!E$1)</f>
        <v>4.1026666666666669</v>
      </c>
      <c r="F33" s="117">
        <f>SUMIFS(Data!$S:$S,Data!$A:$A,Data_echipe!$A33,Data!$C:$C,Data_echipe!F$1)</f>
        <v>4.375</v>
      </c>
      <c r="G33" s="117">
        <f>SUMIFS(Data!$S:$S,Data!$A:$A,Data_echipe!$A33,Data!$C:$C,Data_echipe!G$1)</f>
        <v>3.125</v>
      </c>
      <c r="H33" s="117">
        <f>SUMIFS(Data!$S:$S,Data!$A:$A,Data_echipe!$A33,Data!$C:$C,Data_echipe!H$1)</f>
        <v>4</v>
      </c>
      <c r="I33" s="117">
        <f>SUMIFS(Data!$S:$S,Data!$A:$A,Data_echipe!$A33,Data!$C:$C,Data_echipe!I$1)</f>
        <v>4.1449999999999996</v>
      </c>
      <c r="J33" s="117">
        <f>SUMIFS(Data!$S:$S,Data!$A:$A,Data_echipe!$A33,Data!$C:$C,Data_echipe!J$1)</f>
        <v>4.25</v>
      </c>
      <c r="K33" s="89">
        <f>SUMIFS(Data!$S:$S,Data!$A:$A,Data_echipe!$A33,Data!$C:$C,Data_echipe!K$1)</f>
        <v>3.625</v>
      </c>
      <c r="L33" s="117">
        <f>SUMIFS(Data!$S:$S,Data!$A:$A,Data_echipe!$A33,Data!$C:$C,Data_echipe!L$1)</f>
        <v>3.9470000000000001</v>
      </c>
      <c r="M33" s="117">
        <f>SUMIFS(Data!$S:$S,Data!$A:$A,Data_echipe!$A33,Data!$C:$C,Data_echipe!M$1)</f>
        <v>3.25</v>
      </c>
      <c r="O33" s="41" t="s">
        <v>195</v>
      </c>
      <c r="U33" s="41" t="s">
        <v>173</v>
      </c>
    </row>
    <row r="34" spans="1:21">
      <c r="A34" s="41" t="s">
        <v>86</v>
      </c>
      <c r="B34" s="89">
        <f>SUMIFS(Data!S:S,Data!A:A,Data_echipe!$A34,Data!C:C,Data_echipe!B$1)</f>
        <v>2.75</v>
      </c>
      <c r="C34" s="89">
        <f>SUMIFS(Data!$S:$S,Data!$A:$A,Data_echipe!$A34,Data!$C:$C,Data_echipe!C$1)</f>
        <v>3.5</v>
      </c>
      <c r="D34" s="89">
        <f>SUMIFS(Data!$S:$S,Data!$A:$A,Data_echipe!$A34,Data!$C:$C,Data_echipe!D$1)</f>
        <v>2.5</v>
      </c>
      <c r="E34" s="92">
        <f>SUMIFS(Data!$S:$S,Data!$A:$A,Data_echipe!$A34,Data!$C:$C,Data_echipe!E$1)</f>
        <v>5.7830000000000004</v>
      </c>
      <c r="F34" s="117">
        <f>SUMIFS(Data!$S:$S,Data!$A:$A,Data_echipe!$A34,Data!$C:$C,Data_echipe!F$1)</f>
        <v>2.875</v>
      </c>
      <c r="G34" s="117">
        <f>SUMIFS(Data!$S:$S,Data!$A:$A,Data_echipe!$A34,Data!$C:$C,Data_echipe!G$1)</f>
        <v>2.625</v>
      </c>
      <c r="H34" s="117">
        <f>SUMIFS(Data!$S:$S,Data!$A:$A,Data_echipe!$A34,Data!$C:$C,Data_echipe!H$1)</f>
        <v>3.9750000000000001</v>
      </c>
      <c r="I34" s="120">
        <f>SUMIFS(Data!$S:$S,Data!$A:$A,Data_echipe!$A34,Data!$C:$C,Data_echipe!I$1)</f>
        <v>5.0393333333333334</v>
      </c>
      <c r="J34" s="117">
        <f>SUMIFS(Data!$S:$S,Data!$A:$A,Data_echipe!$A34,Data!$C:$C,Data_echipe!J$1)</f>
        <v>2.625</v>
      </c>
      <c r="K34" s="92">
        <f>SUMIFS(Data!$S:$S,Data!$A:$A,Data_echipe!$A34,Data!$C:$C,Data_echipe!K$1)</f>
        <v>4.6073333333333331</v>
      </c>
      <c r="L34" s="117">
        <f>SUMIFS(Data!$S:$S,Data!$A:$A,Data_echipe!$A34,Data!$C:$C,Data_echipe!L$1)</f>
        <v>3.125</v>
      </c>
      <c r="M34" s="117">
        <f>SUMIFS(Data!$S:$S,Data!$A:$A,Data_echipe!$A34,Data!$C:$C,Data_echipe!M$1)</f>
        <v>2.875</v>
      </c>
      <c r="O34" s="41" t="s">
        <v>195</v>
      </c>
      <c r="U34" s="41" t="s">
        <v>208</v>
      </c>
    </row>
    <row r="35" spans="1:21">
      <c r="A35" s="41" t="s">
        <v>68</v>
      </c>
      <c r="B35" s="89">
        <f>SUMIFS(Data!S:S,Data!A:A,Data_echipe!$A35,Data!C:C,Data_echipe!B$1)</f>
        <v>2.625</v>
      </c>
      <c r="C35" s="89">
        <f>SUMIFS(Data!$S:$S,Data!$A:$A,Data_echipe!$A35,Data!$C:$C,Data_echipe!C$1)</f>
        <v>3.6</v>
      </c>
      <c r="D35" s="89">
        <f>SUMIFS(Data!$S:$S,Data!$A:$A,Data_echipe!$A35,Data!$C:$C,Data_echipe!D$1)</f>
        <v>3.375</v>
      </c>
      <c r="E35" s="89">
        <f>SUMIFS(Data!$S:$S,Data!$A:$A,Data_echipe!$A35,Data!$C:$C,Data_echipe!E$1)</f>
        <v>3.4636666666666667</v>
      </c>
      <c r="F35" s="117">
        <f>SUMIFS(Data!$S:$S,Data!$A:$A,Data_echipe!$A35,Data!$C:$C,Data_echipe!F$1)</f>
        <v>3.375</v>
      </c>
      <c r="G35" s="117">
        <f>SUMIFS(Data!$S:$S,Data!$A:$A,Data_echipe!$A35,Data!$C:$C,Data_echipe!G$1)</f>
        <v>3.125</v>
      </c>
      <c r="H35" s="117">
        <f>SUMIFS(Data!$S:$S,Data!$A:$A,Data_echipe!$A35,Data!$C:$C,Data_echipe!H$1)</f>
        <v>4.0860000000000003</v>
      </c>
      <c r="I35" s="117">
        <f>SUMIFS(Data!$S:$S,Data!$A:$A,Data_echipe!$A35,Data!$C:$C,Data_echipe!I$1)</f>
        <v>2.5720000000000001</v>
      </c>
      <c r="J35" s="120">
        <f>SUMIFS(Data!$S:$S,Data!$A:$A,Data_echipe!$A35,Data!$C:$C,Data_echipe!J$1)</f>
        <v>4.7043333333333326</v>
      </c>
      <c r="K35" s="89">
        <f>SUMIFS(Data!$S:$S,Data!$A:$A,Data_echipe!$A35,Data!$C:$C,Data_echipe!K$1)</f>
        <v>2.625</v>
      </c>
      <c r="L35" s="120">
        <f>SUMIFS(Data!$S:$S,Data!$A:$A,Data_echipe!$A35,Data!$C:$C,Data_echipe!L$1)</f>
        <v>4</v>
      </c>
      <c r="M35" s="117">
        <f>SUMIFS(Data!$S:$S,Data!$A:$A,Data_echipe!$A35,Data!$C:$C,Data_echipe!M$1)</f>
        <v>3</v>
      </c>
      <c r="O35" s="41" t="s">
        <v>195</v>
      </c>
      <c r="U35" s="41" t="s">
        <v>209</v>
      </c>
    </row>
    <row r="36" spans="1:21">
      <c r="A36" s="41" t="s">
        <v>172</v>
      </c>
      <c r="B36" s="89">
        <f>SUMIFS(Data!S:S,Data!A:A,Data_echipe!$A36,Data!C:C,Data_echipe!B$1)</f>
        <v>3.5</v>
      </c>
      <c r="C36" s="89">
        <f>SUMIFS(Data!$S:$S,Data!$A:$A,Data_echipe!$A36,Data!$C:$C,Data_echipe!C$1)</f>
        <v>3.6</v>
      </c>
      <c r="D36" s="89">
        <f>SUMIFS(Data!$S:$S,Data!$A:$A,Data_echipe!$A36,Data!$C:$C,Data_echipe!D$1)</f>
        <v>3.125</v>
      </c>
      <c r="E36" s="89">
        <f>SUMIFS(Data!$S:$S,Data!$A:$A,Data_echipe!$A36,Data!$C:$C,Data_echipe!E$1)</f>
        <v>3.35</v>
      </c>
      <c r="F36" s="117">
        <f>SUMIFS(Data!$S:$S,Data!$A:$A,Data_echipe!$A36,Data!$C:$C,Data_echipe!F$1)</f>
        <v>3.35</v>
      </c>
      <c r="G36" s="117">
        <f>SUMIFS(Data!$S:$S,Data!$A:$A,Data_echipe!$A36,Data!$C:$C,Data_echipe!G$1)</f>
        <v>3.5</v>
      </c>
      <c r="H36" s="117">
        <f>SUMIFS(Data!$S:$S,Data!$A:$A,Data_echipe!$A36,Data!$C:$C,Data_echipe!H$1)</f>
        <v>4.1500000000000004</v>
      </c>
      <c r="I36" s="117">
        <f>SUMIFS(Data!$S:$S,Data!$A:$A,Data_echipe!$A36,Data!$C:$C,Data_echipe!I$1)</f>
        <v>3.25</v>
      </c>
      <c r="J36" s="117">
        <f>SUMIFS(Data!$S:$S,Data!$A:$A,Data_echipe!$A36,Data!$C:$C,Data_echipe!J$1)</f>
        <v>3.125</v>
      </c>
      <c r="K36" s="89">
        <f>SUMIFS(Data!$S:$S,Data!$A:$A,Data_echipe!$A36,Data!$C:$C,Data_echipe!K$1)</f>
        <v>3.7250000000000001</v>
      </c>
      <c r="L36" s="117">
        <f>SUMIFS(Data!$S:$S,Data!$A:$A,Data_echipe!$A36,Data!$C:$C,Data_echipe!L$1)</f>
        <v>3.1916666666666669</v>
      </c>
      <c r="M36" s="117">
        <f>SUMIFS(Data!$S:$S,Data!$A:$A,Data_echipe!$A36,Data!$C:$C,Data_echipe!M$1)</f>
        <v>3.25</v>
      </c>
      <c r="O36" s="41" t="s">
        <v>195</v>
      </c>
      <c r="U36" s="41" t="s">
        <v>210</v>
      </c>
    </row>
    <row r="37" spans="1:21">
      <c r="A37" s="41" t="s">
        <v>56</v>
      </c>
      <c r="B37" s="92">
        <f>SUMIFS(Data!S:S,Data!A:A,Data_echipe!$A37,Data!C:C,Data_echipe!B$1)</f>
        <v>2.5</v>
      </c>
      <c r="C37" s="89">
        <f>SUMIFS(Data!$S:$S,Data!$A:$A,Data_echipe!$A37,Data!$C:$C,Data_echipe!C$1)</f>
        <v>2.125</v>
      </c>
      <c r="D37" s="89">
        <f>SUMIFS(Data!$S:$S,Data!$A:$A,Data_echipe!$A37,Data!$C:$C,Data_echipe!D$1)</f>
        <v>1.5</v>
      </c>
      <c r="E37" s="89">
        <f>SUMIFS(Data!$S:$S,Data!$A:$A,Data_echipe!$A37,Data!$C:$C,Data_echipe!E$1)</f>
        <v>2.5</v>
      </c>
      <c r="F37" s="120">
        <f>SUMIFS(Data!$S:$S,Data!$A:$A,Data_echipe!$A37,Data!$C:$C,Data_echipe!F$1)</f>
        <v>0</v>
      </c>
      <c r="G37" s="117">
        <f>SUMIFS(Data!$S:$S,Data!$A:$A,Data_echipe!$A37,Data!$C:$C,Data_echipe!G$1)</f>
        <v>2.375</v>
      </c>
      <c r="H37" s="117">
        <f>SUMIFS(Data!$S:$S,Data!$A:$A,Data_echipe!$A37,Data!$C:$C,Data_echipe!H$1)</f>
        <v>0</v>
      </c>
      <c r="I37" s="117">
        <f>SUMIFS(Data!$S:$S,Data!$A:$A,Data_echipe!$A37,Data!$C:$C,Data_echipe!I$1)</f>
        <v>0</v>
      </c>
      <c r="J37" s="117">
        <f>SUMIFS(Data!$S:$S,Data!$A:$A,Data_echipe!$A37,Data!$C:$C,Data_echipe!J$1)</f>
        <v>0</v>
      </c>
      <c r="K37" s="89">
        <f>SUMIFS(Data!$S:$S,Data!$A:$A,Data_echipe!$A37,Data!$C:$C,Data_echipe!K$1)</f>
        <v>0</v>
      </c>
      <c r="L37" s="117">
        <f>SUMIFS(Data!$S:$S,Data!$A:$A,Data_echipe!$A37,Data!$C:$C,Data_echipe!L$1)</f>
        <v>0</v>
      </c>
      <c r="M37" s="117">
        <f>SUMIFS(Data!$S:$S,Data!$A:$A,Data_echipe!$A37,Data!$C:$C,Data_echipe!M$1)</f>
        <v>0</v>
      </c>
      <c r="O37" s="41" t="s">
        <v>195</v>
      </c>
      <c r="U37" s="41" t="s">
        <v>170</v>
      </c>
    </row>
    <row r="38" spans="1:21">
      <c r="A38" s="41" t="s">
        <v>206</v>
      </c>
      <c r="B38" s="89">
        <f>SUMIFS(Data!S:S,Data!A:A,Data_echipe!$A38,Data!C:C,Data_echipe!B$1)</f>
        <v>2.875</v>
      </c>
      <c r="C38" s="89">
        <f>SUMIFS(Data!$S:$S,Data!$A:$A,Data_echipe!$A38,Data!$C:$C,Data_echipe!C$1)</f>
        <v>2.25</v>
      </c>
      <c r="D38" s="89">
        <f>SUMIFS(Data!$S:$S,Data!$A:$A,Data_echipe!$A38,Data!$C:$C,Data_echipe!D$1)</f>
        <v>3.75</v>
      </c>
      <c r="E38" s="89">
        <f>SUMIFS(Data!$S:$S,Data!$A:$A,Data_echipe!$A38,Data!$C:$C,Data_echipe!E$1)</f>
        <v>3</v>
      </c>
      <c r="F38" s="117">
        <f>SUMIFS(Data!$S:$S,Data!$A:$A,Data_echipe!$A38,Data!$C:$C,Data_echipe!F$1)</f>
        <v>2</v>
      </c>
      <c r="G38" s="117">
        <f>SUMIFS(Data!$S:$S,Data!$A:$A,Data_echipe!$A38,Data!$C:$C,Data_echipe!G$1)</f>
        <v>2.625</v>
      </c>
      <c r="H38" s="117">
        <f>SUMIFS(Data!$S:$S,Data!$A:$A,Data_echipe!$A38,Data!$C:$C,Data_echipe!H$1)</f>
        <v>3</v>
      </c>
      <c r="I38" s="117">
        <f>SUMIFS(Data!$S:$S,Data!$A:$A,Data_echipe!$A38,Data!$C:$C,Data_echipe!I$1)</f>
        <v>3.0546666666666669</v>
      </c>
      <c r="J38" s="117">
        <f>SUMIFS(Data!$S:$S,Data!$A:$A,Data_echipe!$A38,Data!$C:$C,Data_echipe!J$1)</f>
        <v>2.625</v>
      </c>
      <c r="K38" s="89">
        <f>SUMIFS(Data!$S:$S,Data!$A:$A,Data_echipe!$A38,Data!$C:$C,Data_echipe!K$1)</f>
        <v>0</v>
      </c>
      <c r="L38" s="117">
        <f>SUMIFS(Data!$S:$S,Data!$A:$A,Data_echipe!$A38,Data!$C:$C,Data_echipe!L$1)</f>
        <v>2.625</v>
      </c>
      <c r="M38" s="117">
        <f>SUMIFS(Data!$S:$S,Data!$A:$A,Data_echipe!$A38,Data!$C:$C,Data_echipe!M$1)</f>
        <v>2.25</v>
      </c>
      <c r="O38" s="41" t="s">
        <v>195</v>
      </c>
    </row>
    <row r="39" spans="1:21">
      <c r="A39" s="41" t="s">
        <v>204</v>
      </c>
      <c r="B39" s="92">
        <f>SUMIFS(Data!S:S,Data!A:A,Data_echipe!$A39,Data!C:C,Data_echipe!B$1)</f>
        <v>5.1390000000000002</v>
      </c>
      <c r="C39" s="92">
        <f>SUMIFS(Data!$S:$S,Data!$A:$A,Data_echipe!$A39,Data!$C:$C,Data_echipe!C$1)</f>
        <v>5.25</v>
      </c>
      <c r="D39" s="92">
        <f>SUMIFS(Data!$S:$S,Data!$A:$A,Data_echipe!$A39,Data!$C:$C,Data_echipe!D$1)</f>
        <v>4.5250000000000004</v>
      </c>
      <c r="E39" s="89">
        <f>SUMIFS(Data!$S:$S,Data!$A:$A,Data_echipe!$A39,Data!$C:$C,Data_echipe!E$1)</f>
        <v>4.4249999999999998</v>
      </c>
      <c r="F39" s="120">
        <f>SUMIFS(Data!$S:$S,Data!$A:$A,Data_echipe!$A39,Data!$C:$C,Data_echipe!F$1)</f>
        <v>5.067333333333333</v>
      </c>
      <c r="G39" s="120">
        <f>SUMIFS(Data!$S:$S,Data!$A:$A,Data_echipe!$A39,Data!$C:$C,Data_echipe!G$1)</f>
        <v>4.5</v>
      </c>
      <c r="H39" s="120">
        <f>SUMIFS(Data!$S:$S,Data!$A:$A,Data_echipe!$A39,Data!$C:$C,Data_echipe!H$1)</f>
        <v>4.8249999999999993</v>
      </c>
      <c r="I39" s="120">
        <f>SUMIFS(Data!$S:$S,Data!$A:$A,Data_echipe!$A39,Data!$C:$C,Data_echipe!I$1)</f>
        <v>0</v>
      </c>
      <c r="J39" s="120">
        <f>SUMIFS(Data!$S:$S,Data!$A:$A,Data_echipe!$A39,Data!$C:$C,Data_echipe!J$1)</f>
        <v>0</v>
      </c>
      <c r="K39" s="89">
        <f>SUMIFS(Data!$S:$S,Data!$A:$A,Data_echipe!$A39,Data!$C:$C,Data_echipe!K$1)</f>
        <v>3.5</v>
      </c>
      <c r="L39" s="117">
        <f>SUMIFS(Data!$S:$S,Data!$A:$A,Data_echipe!$A39,Data!$C:$C,Data_echipe!L$1)</f>
        <v>0</v>
      </c>
      <c r="M39" s="120">
        <f>SUMIFS(Data!$S:$S,Data!$A:$A,Data_echipe!$A39,Data!$C:$C,Data_echipe!M$1)</f>
        <v>3.375</v>
      </c>
      <c r="O39" s="41" t="s">
        <v>195</v>
      </c>
    </row>
    <row r="40" spans="1:21">
      <c r="A40" s="41" t="s">
        <v>173</v>
      </c>
      <c r="B40" s="89"/>
      <c r="C40" s="92">
        <f>SUMIFS(Data!$S:$S,Data!$A:$A,Data_echipe!$A40,Data!$C:$C,Data_echipe!C$1)</f>
        <v>1.875</v>
      </c>
      <c r="D40" s="92">
        <f>SUMIFS(Data!$S:$S,Data!$A:$A,Data_echipe!$A40,Data!$C:$C,Data_echipe!D$1)</f>
        <v>0</v>
      </c>
      <c r="E40" s="92">
        <f>SUMIFS(Data!$S:$S,Data!$A:$A,Data_echipe!$A40,Data!$C:$C,Data_echipe!E$1)</f>
        <v>0</v>
      </c>
      <c r="F40" s="117">
        <f>SUMIFS(Data!$S:$S,Data!$A:$A,Data_echipe!$A40,Data!$C:$C,Data_echipe!F$1)</f>
        <v>0</v>
      </c>
      <c r="G40" s="120">
        <f>SUMIFS(Data!$S:$S,Data!$A:$A,Data_echipe!$A40,Data!$C:$C,Data_echipe!G$1)</f>
        <v>0</v>
      </c>
      <c r="H40" s="120">
        <f>SUMIFS(Data!$S:$S,Data!$A:$A,Data_echipe!$A40,Data!$C:$C,Data_echipe!H$1)</f>
        <v>0</v>
      </c>
      <c r="I40" s="117">
        <f>SUMIFS(Data!$S:$S,Data!$A:$A,Data_echipe!$A40,Data!$C:$C,Data_echipe!I$1)</f>
        <v>0</v>
      </c>
      <c r="J40" s="117">
        <f>SUMIFS(Data!$S:$S,Data!$A:$A,Data_echipe!$A40,Data!$C:$C,Data_echipe!J$1)</f>
        <v>0</v>
      </c>
      <c r="K40" s="92">
        <f>SUMIFS(Data!$S:$S,Data!$A:$A,Data_echipe!$A40,Data!$C:$C,Data_echipe!K$1)</f>
        <v>0</v>
      </c>
      <c r="L40" s="120">
        <f>SUMIFS(Data!$S:$S,Data!$A:$A,Data_echipe!$A40,Data!$C:$C,Data_echipe!L$1)</f>
        <v>0</v>
      </c>
      <c r="M40" s="120">
        <f>SUMIFS(Data!$S:$S,Data!$A:$A,Data_echipe!$A40,Data!$C:$C,Data_echipe!M$1)</f>
        <v>0</v>
      </c>
      <c r="O40" s="41" t="s">
        <v>195</v>
      </c>
    </row>
    <row r="41" spans="1:21">
      <c r="L41" s="117"/>
      <c r="M41" s="117"/>
    </row>
    <row r="42" spans="1:21" s="86" customFormat="1">
      <c r="A42" s="86" t="s">
        <v>196</v>
      </c>
      <c r="B42" s="91">
        <f>AVERAGE(B47,B44,B49,B46,B48)</f>
        <v>3.3467333333333338</v>
      </c>
      <c r="C42" s="111">
        <f>AVERAGE(C47,C44,C49,C46,C48,C50)</f>
        <v>3.5105000000000004</v>
      </c>
      <c r="D42" s="111">
        <f t="shared" ref="D42:E42" si="4">AVERAGE(D47,D44,D49,D46,D48,D50)</f>
        <v>2.2042222222222221</v>
      </c>
      <c r="E42" s="111">
        <f t="shared" si="4"/>
        <v>2.0013333333333332</v>
      </c>
      <c r="F42" s="116">
        <f>AVERAGE(F45,F44,F49,F46,F43,F50)</f>
        <v>3.1153333333333335</v>
      </c>
      <c r="G42" s="116">
        <f>AVERAGE(G45,G44,G49,G48,G43,G50)</f>
        <v>2.1875</v>
      </c>
      <c r="H42" s="116">
        <f>AVERAGE(H45,H44,H49,H48,H43,H50)</f>
        <v>2.94</v>
      </c>
      <c r="I42" s="116">
        <f>AVERAGE(I45,I44,I49,I48,I43,I50)</f>
        <v>3.1878888888888888</v>
      </c>
      <c r="J42" s="116">
        <f>AVERAGE(J45,J44,J49,J47,J43,J46)</f>
        <v>3.2460555555555555</v>
      </c>
      <c r="K42" s="133">
        <f>AVERAGE(K45,K44,K50,K47,K43,K48)</f>
        <v>2.7497222222222226</v>
      </c>
      <c r="L42" s="134">
        <f>AVERAGE(L45,L44,L50,L47,L46,L48)</f>
        <v>2.9895</v>
      </c>
      <c r="M42" s="134">
        <f>AVERAGE(M45,M44,M50,M47,M43,M48)</f>
        <v>2.8065555555555552</v>
      </c>
      <c r="N42" s="91">
        <f>SUM(B42:M42)</f>
        <v>34.285344444444448</v>
      </c>
      <c r="P42" s="21"/>
      <c r="U42" s="41"/>
    </row>
    <row r="43" spans="1:21">
      <c r="A43" s="41" t="s">
        <v>47</v>
      </c>
      <c r="B43" s="92">
        <f>SUMIFS(Data!S:S,Data!A:A,Data_echipe!$A43,Data!C:C,Data_echipe!B$1)</f>
        <v>4.125</v>
      </c>
      <c r="C43" s="92">
        <f>SUMIFS(Data!$S:$S,Data!$A:$A,Data_echipe!$A43,Data!$C:$C,Data_echipe!C$1)</f>
        <v>4.125</v>
      </c>
      <c r="D43" s="92">
        <f>SUMIFS(Data!$S:$S,Data!$A:$A,Data_echipe!$A43,Data!$C:$C,Data_echipe!D$1)</f>
        <v>3.125</v>
      </c>
      <c r="E43" s="92">
        <f>SUMIFS(Data!$S:$S,Data!$A:$A,Data_echipe!$A43,Data!$C:$C,Data_echipe!E$1)</f>
        <v>3.375</v>
      </c>
      <c r="F43" s="117">
        <f>SUMIFS(Data!$S:$S,Data!$A:$A,Data_echipe!$A43,Data!$C:$C,Data_echipe!F$1)</f>
        <v>3.375</v>
      </c>
      <c r="G43" s="117">
        <f>SUMIFS(Data!$S:$S,Data!$A:$A,Data_echipe!$A43,Data!$C:$C,Data_echipe!G$1)</f>
        <v>4</v>
      </c>
      <c r="H43" s="121">
        <f>SUMIFS(Data!$S:$S,Data!$A:$A,Data_echipe!$A43,Data!$C:$C,Data_echipe!H$1)</f>
        <v>4</v>
      </c>
      <c r="I43" s="121">
        <f>SUMIFS(Data!$S:$S,Data!$A:$A,Data_echipe!$A43,Data!$C:$C,Data_echipe!I$1)</f>
        <v>3</v>
      </c>
      <c r="J43" s="121">
        <f>SUMIFS(Data!$S:$S,Data!$A:$A,Data_echipe!$A43,Data!$C:$C,Data_echipe!J$1)</f>
        <v>3.125</v>
      </c>
      <c r="K43" s="89">
        <f>SUMIFS(Data!$S:$S,Data!$A:$A,Data_echipe!$A43,Data!$C:$C,Data_echipe!K$1)</f>
        <v>3.25</v>
      </c>
      <c r="L43" s="120">
        <f>SUMIFS(Data!$S:$S,Data!$A:$A,Data_echipe!$A43,Data!$C:$C,Data_echipe!L$1)</f>
        <v>4.3753333333333329</v>
      </c>
      <c r="M43" s="117">
        <f>SUMIFS(Data!$S:$S,Data!$A:$A,Data_echipe!$A43,Data!$C:$C,Data_echipe!M$1)</f>
        <v>2.75</v>
      </c>
      <c r="O43" s="41" t="s">
        <v>196</v>
      </c>
    </row>
    <row r="44" spans="1:21">
      <c r="A44" s="41" t="s">
        <v>65</v>
      </c>
      <c r="B44" s="89">
        <f>SUMIFS(Data!S:S,Data!A:A,Data_echipe!$A44,Data!C:C,Data_echipe!B$1)</f>
        <v>4</v>
      </c>
      <c r="C44" s="89">
        <f>SUMIFS(Data!$S:$S,Data!$A:$A,Data_echipe!$A44,Data!$C:$C,Data_echipe!C$1)</f>
        <v>3.85</v>
      </c>
      <c r="D44" s="89">
        <f>SUMIFS(Data!$S:$S,Data!$A:$A,Data_echipe!$A44,Data!$C:$C,Data_echipe!D$1)</f>
        <v>2.125</v>
      </c>
      <c r="E44" s="89">
        <f>SUMIFS(Data!$S:$S,Data!$A:$A,Data_echipe!$A44,Data!$C:$C,Data_echipe!E$1)</f>
        <v>0</v>
      </c>
      <c r="F44" s="117">
        <f>SUMIFS(Data!$S:$S,Data!$A:$A,Data_echipe!$A44,Data!$C:$C,Data_echipe!F$1)</f>
        <v>3.1113333333333335</v>
      </c>
      <c r="G44" s="117">
        <f>SUMIFS(Data!$S:$S,Data!$A:$A,Data_echipe!$A44,Data!$C:$C,Data_echipe!G$1)</f>
        <v>2.75</v>
      </c>
      <c r="H44" s="117">
        <f>SUMIFS(Data!$S:$S,Data!$A:$A,Data_echipe!$A44,Data!$C:$C,Data_echipe!H$1)</f>
        <v>2.875</v>
      </c>
      <c r="I44" s="117">
        <f>SUMIFS(Data!$S:$S,Data!$A:$A,Data_echipe!$A44,Data!$C:$C,Data_echipe!I$1)</f>
        <v>3.5249999999999999</v>
      </c>
      <c r="J44" s="117">
        <f>SUMIFS(Data!$S:$S,Data!$A:$A,Data_echipe!$A44,Data!$C:$C,Data_echipe!J$1)</f>
        <v>3.25</v>
      </c>
      <c r="K44" s="89">
        <f>SUMIFS(Data!$S:$S,Data!$A:$A,Data_echipe!$A44,Data!$C:$C,Data_echipe!K$1)</f>
        <v>2.625</v>
      </c>
      <c r="L44" s="117">
        <f>SUMIFS(Data!$S:$S,Data!$A:$A,Data_echipe!$A44,Data!$C:$C,Data_echipe!L$1)</f>
        <v>3.45</v>
      </c>
      <c r="M44" s="117">
        <f>SUMIFS(Data!$S:$S,Data!$A:$A,Data_echipe!$A44,Data!$C:$C,Data_echipe!M$1)</f>
        <v>2.75</v>
      </c>
      <c r="O44" s="41" t="s">
        <v>196</v>
      </c>
    </row>
    <row r="45" spans="1:21">
      <c r="A45" s="41" t="s">
        <v>66</v>
      </c>
      <c r="B45" s="92">
        <f>SUMIFS(Data!S:S,Data!A:A,Data_echipe!$A45,Data!C:C,Data_echipe!B$1)</f>
        <v>1.25</v>
      </c>
      <c r="C45" s="92">
        <f>SUMIFS(Data!$S:$S,Data!$A:$A,Data_echipe!$A45,Data!$C:$C,Data_echipe!C$1)</f>
        <v>2.125</v>
      </c>
      <c r="D45" s="92">
        <f>SUMIFS(Data!$S:$S,Data!$A:$A,Data_echipe!$A45,Data!$C:$C,Data_echipe!D$1)</f>
        <v>1.875</v>
      </c>
      <c r="E45" s="92">
        <f>SUMIFS(Data!$S:$S,Data!$A:$A,Data_echipe!$A45,Data!$C:$C,Data_echipe!E$1)</f>
        <v>2.375</v>
      </c>
      <c r="F45" s="117">
        <f>SUMIFS(Data!$S:$S,Data!$A:$A,Data_echipe!$A45,Data!$C:$C,Data_echipe!F$1)</f>
        <v>2.25</v>
      </c>
      <c r="G45" s="117">
        <f>SUMIFS(Data!$S:$S,Data!$A:$A,Data_echipe!$A45,Data!$C:$C,Data_echipe!G$1)</f>
        <v>2</v>
      </c>
      <c r="H45" s="117">
        <f>SUMIFS(Data!$S:$S,Data!$A:$A,Data_echipe!$A45,Data!$C:$C,Data_echipe!H$1)</f>
        <v>2.125</v>
      </c>
      <c r="I45" s="117">
        <f>SUMIFS(Data!$S:$S,Data!$A:$A,Data_echipe!$A45,Data!$C:$C,Data_echipe!I$1)</f>
        <v>2.875</v>
      </c>
      <c r="J45" s="117">
        <f>SUMIFS(Data!$S:$S,Data!$A:$A,Data_echipe!$A45,Data!$C:$C,Data_echipe!J$1)</f>
        <v>3.25</v>
      </c>
      <c r="K45" s="89">
        <f>SUMIFS(Data!$S:$S,Data!$A:$A,Data_echipe!$A45,Data!$C:$C,Data_echipe!K$1)</f>
        <v>2.25</v>
      </c>
      <c r="L45" s="117">
        <f>SUMIFS(Data!$S:$S,Data!$A:$A,Data_echipe!$A45,Data!$C:$C,Data_echipe!L$1)</f>
        <v>3.7250000000000001</v>
      </c>
      <c r="M45" s="117">
        <f>SUMIFS(Data!$S:$S,Data!$A:$A,Data_echipe!$A45,Data!$C:$C,Data_echipe!M$1)</f>
        <v>2.875</v>
      </c>
      <c r="O45" s="41" t="s">
        <v>196</v>
      </c>
    </row>
    <row r="46" spans="1:21">
      <c r="A46" s="41" t="s">
        <v>171</v>
      </c>
      <c r="B46" s="89">
        <f>SUMIFS(Data!S:S,Data!A:A,Data_echipe!$A46,Data!C:C,Data_echipe!B$1)</f>
        <v>3.75</v>
      </c>
      <c r="C46" s="89">
        <f>SUMIFS(Data!$S:$S,Data!$A:$A,Data_echipe!$A46,Data!$C:$C,Data_echipe!C$1)</f>
        <v>3.6923333333333335</v>
      </c>
      <c r="D46" s="89">
        <f>SUMIFS(Data!$S:$S,Data!$A:$A,Data_echipe!$A46,Data!$C:$C,Data_echipe!D$1)</f>
        <v>3.375</v>
      </c>
      <c r="E46" s="89">
        <f>SUMIFS(Data!$S:$S,Data!$A:$A,Data_echipe!$A46,Data!$C:$C,Data_echipe!E$1)</f>
        <v>2.875</v>
      </c>
      <c r="F46" s="117">
        <f>SUMIFS(Data!$S:$S,Data!$A:$A,Data_echipe!$A46,Data!$C:$C,Data_echipe!F$1)</f>
        <v>4</v>
      </c>
      <c r="G46" s="120">
        <f>SUMIFS(Data!$S:$S,Data!$A:$A,Data_echipe!$A46,Data!$C:$C,Data_echipe!G$1)</f>
        <v>4.0060000000000002</v>
      </c>
      <c r="H46" s="122">
        <f>SUMIFS(Data!$S:$S,Data!$A:$A,Data_echipe!$A46,Data!$C:$C,Data_echipe!H$1)</f>
        <v>4</v>
      </c>
      <c r="I46" s="122">
        <f>SUMIFS(Data!$S:$S,Data!$A:$A,Data_echipe!$A46,Data!$C:$C,Data_echipe!I$1)</f>
        <v>4.254666666666667</v>
      </c>
      <c r="J46" s="121">
        <f>SUMIFS(Data!$S:$S,Data!$A:$A,Data_echipe!$A46,Data!$C:$C,Data_echipe!J$1)</f>
        <v>3.75</v>
      </c>
      <c r="K46" s="92">
        <f>SUMIFS(Data!$S:$S,Data!$A:$A,Data_echipe!$A46,Data!$C:$C,Data_echipe!K$1)</f>
        <v>3.375</v>
      </c>
      <c r="L46" s="117">
        <f>SUMIFS(Data!$S:$S,Data!$A:$A,Data_echipe!$A46,Data!$C:$C,Data_echipe!L$1)</f>
        <v>4</v>
      </c>
      <c r="M46" s="120">
        <f>SUMIFS(Data!$S:$S,Data!$A:$A,Data_echipe!$A46,Data!$C:$C,Data_echipe!M$1)</f>
        <v>3.875</v>
      </c>
      <c r="O46" s="41" t="s">
        <v>196</v>
      </c>
    </row>
    <row r="47" spans="1:21">
      <c r="A47" s="41" t="s">
        <v>67</v>
      </c>
      <c r="B47" s="89">
        <f>SUMIFS(Data!S:S,Data!A:A,Data_echipe!$A47,Data!C:C,Data_echipe!B$1)</f>
        <v>2.5</v>
      </c>
      <c r="C47" s="89">
        <f>SUMIFS(Data!$S:$S,Data!$A:$A,Data_echipe!$A47,Data!$C:$C,Data_echipe!C$1)</f>
        <v>2.75</v>
      </c>
      <c r="D47" s="89">
        <f>SUMIFS(Data!$S:$S,Data!$A:$A,Data_echipe!$A47,Data!$C:$C,Data_echipe!D$1)</f>
        <v>0</v>
      </c>
      <c r="E47" s="89">
        <f>SUMIFS(Data!$S:$S,Data!$A:$A,Data_echipe!$A47,Data!$C:$C,Data_echipe!E$1)</f>
        <v>0</v>
      </c>
      <c r="F47" s="120">
        <f>SUMIFS(Data!$S:$S,Data!$A:$A,Data_echipe!$A47,Data!$C:$C,Data_echipe!F$1)</f>
        <v>0</v>
      </c>
      <c r="G47" s="120">
        <f>SUMIFS(Data!$S:$S,Data!$A:$A,Data_echipe!$A47,Data!$C:$C,Data_echipe!G$1)</f>
        <v>0</v>
      </c>
      <c r="H47" s="120">
        <f>SUMIFS(Data!$S:$S,Data!$A:$A,Data_echipe!$A47,Data!$C:$C,Data_echipe!H$1)</f>
        <v>0</v>
      </c>
      <c r="I47" s="120">
        <f>SUMIFS(Data!$S:$S,Data!$A:$A,Data_echipe!$A47,Data!$C:$C,Data_echipe!I$1)</f>
        <v>0</v>
      </c>
      <c r="J47" s="117">
        <f>SUMIFS(Data!$S:$S,Data!$A:$A,Data_echipe!$A47,Data!$C:$C,Data_echipe!J$1)</f>
        <v>2.75</v>
      </c>
      <c r="K47" s="89">
        <f>SUMIFS(Data!$S:$S,Data!$A:$A,Data_echipe!$A47,Data!$C:$C,Data_echipe!K$1)</f>
        <v>3</v>
      </c>
      <c r="L47" s="117">
        <f>SUMIFS(Data!$S:$S,Data!$A:$A,Data_echipe!$A47,Data!$C:$C,Data_echipe!L$1)</f>
        <v>2.375</v>
      </c>
      <c r="M47" s="117">
        <f>SUMIFS(Data!$S:$S,Data!$A:$A,Data_echipe!$A47,Data!$C:$C,Data_echipe!M$1)</f>
        <v>3</v>
      </c>
      <c r="O47" s="41" t="s">
        <v>196</v>
      </c>
    </row>
    <row r="48" spans="1:21">
      <c r="A48" s="41" t="s">
        <v>201</v>
      </c>
      <c r="B48" s="89">
        <f>SUMIFS(Data!S:S,Data!A:A,Data_echipe!$A48,Data!C:C,Data_echipe!B$1)</f>
        <v>3.2243333333333335</v>
      </c>
      <c r="C48" s="89">
        <f>SUMIFS(Data!$S:$S,Data!$A:$A,Data_echipe!$A48,Data!$C:$C,Data_echipe!C$1)</f>
        <v>3.9706666666666668</v>
      </c>
      <c r="D48" s="89">
        <f>SUMIFS(Data!$S:$S,Data!$A:$A,Data_echipe!$A48,Data!$C:$C,Data_echipe!D$1)</f>
        <v>2.7253333333333334</v>
      </c>
      <c r="E48" s="89">
        <f>SUMIFS(Data!$S:$S,Data!$A:$A,Data_echipe!$A48,Data!$C:$C,Data_echipe!E$1)</f>
        <v>3.383</v>
      </c>
      <c r="F48" s="120">
        <f>SUMIFS(Data!$S:$S,Data!$A:$A,Data_echipe!$A48,Data!$C:$C,Data_echipe!F$1)</f>
        <v>4.048</v>
      </c>
      <c r="G48" s="117">
        <f>SUMIFS(Data!$S:$S,Data!$A:$A,Data_echipe!$A48,Data!$C:$C,Data_echipe!G$1)</f>
        <v>2.125</v>
      </c>
      <c r="H48" s="117">
        <f>SUMIFS(Data!$S:$S,Data!$A:$A,Data_echipe!$A48,Data!$C:$C,Data_echipe!H$1)</f>
        <v>3.2313333333333332</v>
      </c>
      <c r="I48" s="117">
        <f>SUMIFS(Data!$S:$S,Data!$A:$A,Data_echipe!$A48,Data!$C:$C,Data_echipe!I$1)</f>
        <v>4.1580000000000004</v>
      </c>
      <c r="J48" s="120">
        <f>SUMIFS(Data!$S:$S,Data!$A:$A,Data_echipe!$A48,Data!$C:$C,Data_echipe!J$1)</f>
        <v>4.288666666666666</v>
      </c>
      <c r="K48" s="89">
        <f>SUMIFS(Data!$S:$S,Data!$A:$A,Data_echipe!$A48,Data!$C:$C,Data_echipe!K$1)</f>
        <v>3.3733333333333331</v>
      </c>
      <c r="L48" s="117">
        <f>SUMIFS(Data!$S:$S,Data!$A:$A,Data_echipe!$A48,Data!$C:$C,Data_echipe!L$1)</f>
        <v>2.262</v>
      </c>
      <c r="M48" s="117">
        <f>SUMIFS(Data!$S:$S,Data!$A:$A,Data_echipe!$A48,Data!$C:$C,Data_echipe!M$1)</f>
        <v>3.2143333333333333</v>
      </c>
      <c r="O48" s="41" t="s">
        <v>196</v>
      </c>
    </row>
    <row r="49" spans="1:15">
      <c r="A49" s="41" t="s">
        <v>202</v>
      </c>
      <c r="B49" s="89">
        <f>SUMIFS(Data!S:S,Data!A:A,Data_echipe!$A49,Data!C:C,Data_echipe!B$1)</f>
        <v>3.2593333333333332</v>
      </c>
      <c r="C49" s="89">
        <f>SUMIFS(Data!$S:$S,Data!$A:$A,Data_echipe!$A49,Data!$C:$C,Data_echipe!C$1)</f>
        <v>3.9250000000000003</v>
      </c>
      <c r="D49" s="89">
        <f>SUMIFS(Data!$S:$S,Data!$A:$A,Data_echipe!$A49,Data!$C:$C,Data_echipe!D$1)</f>
        <v>2.375</v>
      </c>
      <c r="E49" s="89">
        <f>SUMIFS(Data!$S:$S,Data!$A:$A,Data_echipe!$A49,Data!$C:$C,Data_echipe!E$1)</f>
        <v>3.125</v>
      </c>
      <c r="F49" s="117">
        <f>SUMIFS(Data!$S:$S,Data!$A:$A,Data_echipe!$A49,Data!$C:$C,Data_echipe!F$1)</f>
        <v>3.4556666666666667</v>
      </c>
      <c r="G49" s="117">
        <f>SUMIFS(Data!$S:$S,Data!$A:$A,Data_echipe!$A49,Data!$C:$C,Data_echipe!G$1)</f>
        <v>0</v>
      </c>
      <c r="H49" s="117">
        <f>SUMIFS(Data!$S:$S,Data!$A:$A,Data_echipe!$A49,Data!$C:$C,Data_echipe!H$1)</f>
        <v>3.158666666666667</v>
      </c>
      <c r="I49" s="117">
        <f>SUMIFS(Data!$S:$S,Data!$A:$A,Data_echipe!$A49,Data!$C:$C,Data_echipe!I$1)</f>
        <v>2.6943333333333332</v>
      </c>
      <c r="J49" s="117">
        <f>SUMIFS(Data!$S:$S,Data!$A:$A,Data_echipe!$A49,Data!$C:$C,Data_echipe!J$1)</f>
        <v>3.3513333333333333</v>
      </c>
      <c r="K49" s="92">
        <f>SUMIFS(Data!$S:$S,Data!$A:$A,Data_echipe!$A49,Data!$C:$C,Data_echipe!K$1)</f>
        <v>0</v>
      </c>
      <c r="L49" s="120">
        <f>SUMIFS(Data!$S:$S,Data!$A:$A,Data_echipe!$A49,Data!$C:$C,Data_echipe!L$1)</f>
        <v>0</v>
      </c>
      <c r="M49" s="120">
        <f>SUMIFS(Data!$S:$S,Data!$A:$A,Data_echipe!$A49,Data!$C:$C,Data_echipe!M$1)</f>
        <v>0</v>
      </c>
      <c r="O49" s="41" t="s">
        <v>196</v>
      </c>
    </row>
    <row r="50" spans="1:15">
      <c r="A50" s="41" t="s">
        <v>210</v>
      </c>
      <c r="C50" s="89">
        <f>SUMIFS(Data!$S:$S,Data!$A:$A,Data_echipe!$A50,Data!$C:$C,Data_echipe!C$1)</f>
        <v>2.875</v>
      </c>
      <c r="D50" s="89">
        <f>SUMIFS(Data!$S:$S,Data!$A:$A,Data_echipe!$A50,Data!$C:$C,Data_echipe!D$1)</f>
        <v>2.625</v>
      </c>
      <c r="E50" s="89">
        <f>SUMIFS(Data!$S:$S,Data!$A:$A,Data_echipe!$A50,Data!$C:$C,Data_echipe!E$1)</f>
        <v>2.625</v>
      </c>
      <c r="F50" s="117">
        <f>SUMIFS(Data!$S:$S,Data!$A:$A,Data_echipe!$A50,Data!$C:$C,Data_echipe!F$1)</f>
        <v>2.5</v>
      </c>
      <c r="G50" s="117">
        <f>SUMIFS(Data!$S:$S,Data!$A:$A,Data_echipe!$A50,Data!$C:$C,Data_echipe!G$1)</f>
        <v>2.25</v>
      </c>
      <c r="H50" s="117">
        <f>SUMIFS(Data!$S:$S,Data!$A:$A,Data_echipe!$A50,Data!$C:$C,Data_echipe!H$1)</f>
        <v>2.25</v>
      </c>
      <c r="I50" s="117">
        <f>SUMIFS(Data!$S:$S,Data!$A:$A,Data_echipe!$A50,Data!$C:$C,Data_echipe!I$1)</f>
        <v>2.875</v>
      </c>
      <c r="J50" s="120">
        <f>SUMIFS(Data!$S:$S,Data!$A:$A,Data_echipe!$A50,Data!$C:$C,Data_echipe!J$1)</f>
        <v>1.875</v>
      </c>
      <c r="K50" s="89">
        <f>SUMIFS(Data!$S:$S,Data!$A:$A,Data_echipe!$A50,Data!$C:$C,Data_echipe!K$1)</f>
        <v>2</v>
      </c>
      <c r="L50" s="117">
        <f>SUMIFS(Data!$S:$S,Data!$A:$A,Data_echipe!$A50,Data!$C:$C,Data_echipe!L$1)</f>
        <v>2.125</v>
      </c>
      <c r="M50" s="117">
        <f>SUMIFS(Data!$S:$S,Data!$A:$A,Data_echipe!$A50,Data!$C:$C,Data_echipe!M$1)</f>
        <v>2.25</v>
      </c>
      <c r="O50" s="41" t="s">
        <v>196</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sheetPr>
    <tabColor rgb="FFFFFF00"/>
  </sheetPr>
  <dimension ref="A1:C71"/>
  <sheetViews>
    <sheetView topLeftCell="A43" workbookViewId="0">
      <selection activeCell="A59" sqref="A59"/>
    </sheetView>
  </sheetViews>
  <sheetFormatPr defaultRowHeight="15"/>
  <cols>
    <col min="2" max="2" width="20.5703125" customWidth="1"/>
    <col min="4" max="4" width="22.28515625" customWidth="1"/>
    <col min="5" max="5" width="23.140625" customWidth="1"/>
  </cols>
  <sheetData>
    <row r="1" spans="1:1">
      <c r="A1" s="5" t="s">
        <v>87</v>
      </c>
    </row>
    <row r="2" spans="1:1">
      <c r="A2" s="2" t="s">
        <v>109</v>
      </c>
    </row>
    <row r="3" spans="1:1">
      <c r="A3" s="2" t="s">
        <v>110</v>
      </c>
    </row>
    <row r="4" spans="1:1">
      <c r="A4" s="2" t="s">
        <v>111</v>
      </c>
    </row>
    <row r="5" spans="1:1">
      <c r="A5" s="2" t="s">
        <v>112</v>
      </c>
    </row>
    <row r="6" spans="1:1">
      <c r="A6" s="2" t="s">
        <v>125</v>
      </c>
    </row>
    <row r="7" spans="1:1">
      <c r="A7" s="2" t="s">
        <v>126</v>
      </c>
    </row>
    <row r="8" spans="1:1">
      <c r="A8" s="2" t="s">
        <v>223</v>
      </c>
    </row>
    <row r="9" spans="1:1">
      <c r="A9" s="2" t="s">
        <v>127</v>
      </c>
    </row>
    <row r="10" spans="1:1">
      <c r="A10" s="60" t="s">
        <v>157</v>
      </c>
    </row>
    <row r="11" spans="1:1">
      <c r="A11" s="2" t="s">
        <v>128</v>
      </c>
    </row>
    <row r="12" spans="1:1">
      <c r="A12" s="2" t="s">
        <v>187</v>
      </c>
    </row>
    <row r="13" spans="1:1">
      <c r="A13" s="80" t="s">
        <v>191</v>
      </c>
    </row>
    <row r="14" spans="1:1">
      <c r="A14" s="80" t="s">
        <v>192</v>
      </c>
    </row>
    <row r="15" spans="1:1">
      <c r="A15" s="80" t="s">
        <v>193</v>
      </c>
    </row>
    <row r="16" spans="1:1">
      <c r="A16" s="4" t="s">
        <v>129</v>
      </c>
    </row>
    <row r="17" spans="1:2">
      <c r="A17" s="4" t="s">
        <v>130</v>
      </c>
    </row>
    <row r="18" spans="1:2">
      <c r="A18" s="80" t="s">
        <v>194</v>
      </c>
    </row>
    <row r="19" spans="1:2">
      <c r="A19" s="3"/>
    </row>
    <row r="20" spans="1:2">
      <c r="A20" s="5" t="s">
        <v>121</v>
      </c>
    </row>
    <row r="21" spans="1:2">
      <c r="A21" s="5"/>
    </row>
    <row r="22" spans="1:2">
      <c r="A22" s="50" t="s">
        <v>14</v>
      </c>
      <c r="B22" s="46"/>
    </row>
    <row r="23" spans="1:2">
      <c r="A23" s="49" t="s">
        <v>15</v>
      </c>
      <c r="B23" s="46"/>
    </row>
    <row r="24" spans="1:2">
      <c r="A24" s="49" t="s">
        <v>98</v>
      </c>
      <c r="B24" s="46"/>
    </row>
    <row r="25" spans="1:2">
      <c r="A25" s="49" t="s">
        <v>99</v>
      </c>
      <c r="B25" s="46"/>
    </row>
    <row r="26" spans="1:2">
      <c r="A26" s="49" t="s">
        <v>100</v>
      </c>
      <c r="B26" s="46"/>
    </row>
    <row r="27" spans="1:2">
      <c r="A27" s="49" t="s">
        <v>101</v>
      </c>
      <c r="B27" s="46"/>
    </row>
    <row r="28" spans="1:2">
      <c r="A28" s="49" t="s">
        <v>102</v>
      </c>
      <c r="B28" s="46"/>
    </row>
    <row r="29" spans="1:2">
      <c r="A29" s="49" t="s">
        <v>103</v>
      </c>
      <c r="B29" s="46"/>
    </row>
    <row r="30" spans="1:2">
      <c r="A30" s="49" t="s">
        <v>104</v>
      </c>
      <c r="B30" s="46"/>
    </row>
    <row r="31" spans="1:2">
      <c r="A31" s="49" t="s">
        <v>105</v>
      </c>
      <c r="B31" s="46"/>
    </row>
    <row r="32" spans="1:2">
      <c r="A32" s="49" t="s">
        <v>106</v>
      </c>
      <c r="B32" s="46"/>
    </row>
    <row r="33" spans="1:3" s="47" customFormat="1">
      <c r="A33" s="45"/>
      <c r="B33" s="46"/>
    </row>
    <row r="34" spans="1:3">
      <c r="A34" s="5" t="s">
        <v>16</v>
      </c>
    </row>
    <row r="35" spans="1:3">
      <c r="A35" s="2" t="s">
        <v>17</v>
      </c>
    </row>
    <row r="36" spans="1:3">
      <c r="A36" s="2" t="s">
        <v>18</v>
      </c>
    </row>
    <row r="37" spans="1:3">
      <c r="A37" s="2" t="s">
        <v>19</v>
      </c>
    </row>
    <row r="38" spans="1:3">
      <c r="A38" s="2" t="s">
        <v>20</v>
      </c>
    </row>
    <row r="39" spans="1:3">
      <c r="A39" s="2" t="s">
        <v>21</v>
      </c>
    </row>
    <row r="40" spans="1:3">
      <c r="A40" s="2" t="s">
        <v>22</v>
      </c>
    </row>
    <row r="41" spans="1:3">
      <c r="A41" s="2" t="s">
        <v>23</v>
      </c>
    </row>
    <row r="42" spans="1:3">
      <c r="A42" s="2" t="s">
        <v>24</v>
      </c>
    </row>
    <row r="43" spans="1:3">
      <c r="A43" s="2" t="s">
        <v>25</v>
      </c>
    </row>
    <row r="44" spans="1:3">
      <c r="A44" s="2" t="s">
        <v>156</v>
      </c>
    </row>
    <row r="45" spans="1:3">
      <c r="A45" s="2"/>
    </row>
    <row r="46" spans="1:3">
      <c r="A46" s="48" t="s">
        <v>108</v>
      </c>
    </row>
    <row r="47" spans="1:3">
      <c r="A47" s="2" t="s">
        <v>79</v>
      </c>
      <c r="B47" s="2"/>
      <c r="C47" s="2"/>
    </row>
    <row r="48" spans="1:3">
      <c r="A48" s="2" t="s">
        <v>69</v>
      </c>
      <c r="B48" s="2" t="s">
        <v>80</v>
      </c>
      <c r="C48" s="2"/>
    </row>
    <row r="49" spans="1:3">
      <c r="A49" s="2" t="s">
        <v>70</v>
      </c>
      <c r="B49" s="2" t="s">
        <v>81</v>
      </c>
      <c r="C49" s="2"/>
    </row>
    <row r="50" spans="1:3">
      <c r="A50" s="2" t="s">
        <v>71</v>
      </c>
      <c r="B50" s="2" t="s">
        <v>78</v>
      </c>
      <c r="C50" s="2"/>
    </row>
    <row r="51" spans="1:3">
      <c r="A51" s="2" t="s">
        <v>72</v>
      </c>
      <c r="B51" s="2" t="s">
        <v>77</v>
      </c>
      <c r="C51" s="2"/>
    </row>
    <row r="52" spans="1:3">
      <c r="A52" s="2" t="s">
        <v>73</v>
      </c>
      <c r="B52" s="2" t="s">
        <v>74</v>
      </c>
      <c r="C52" s="2"/>
    </row>
    <row r="53" spans="1:3">
      <c r="A53" s="2" t="s">
        <v>75</v>
      </c>
      <c r="B53" s="2" t="s">
        <v>76</v>
      </c>
      <c r="C53" s="2"/>
    </row>
    <row r="54" spans="1:3">
      <c r="A54" s="2"/>
      <c r="B54" s="2"/>
      <c r="C54" s="2"/>
    </row>
    <row r="55" spans="1:3">
      <c r="A55" s="51" t="s">
        <v>84</v>
      </c>
      <c r="B55" s="2"/>
      <c r="C55" s="2"/>
    </row>
    <row r="56" spans="1:3">
      <c r="A56" s="80" t="s">
        <v>190</v>
      </c>
      <c r="B56" s="2"/>
      <c r="C56" s="2"/>
    </row>
    <row r="57" spans="1:3">
      <c r="A57" s="49" t="s">
        <v>224</v>
      </c>
      <c r="B57" s="2"/>
      <c r="C57" s="2"/>
    </row>
    <row r="58" spans="1:3">
      <c r="A58" s="45" t="s">
        <v>189</v>
      </c>
      <c r="B58" s="2"/>
      <c r="C58" s="2"/>
    </row>
    <row r="59" spans="1:3">
      <c r="A59" s="45" t="s">
        <v>188</v>
      </c>
      <c r="B59" s="2"/>
      <c r="C59" s="2"/>
    </row>
    <row r="60" spans="1:3">
      <c r="A60" s="49" t="s">
        <v>159</v>
      </c>
      <c r="B60" s="2"/>
      <c r="C60" s="2"/>
    </row>
    <row r="61" spans="1:3">
      <c r="A61" s="45" t="s">
        <v>213</v>
      </c>
      <c r="B61" s="2"/>
      <c r="C61" s="2"/>
    </row>
    <row r="62" spans="1:3">
      <c r="A62" s="49" t="s">
        <v>160</v>
      </c>
      <c r="B62" s="2"/>
      <c r="C62" s="2"/>
    </row>
    <row r="63" spans="1:3">
      <c r="A63" s="2"/>
      <c r="B63" s="2"/>
      <c r="C63" s="2"/>
    </row>
    <row r="64" spans="1:3">
      <c r="A64" s="5" t="s">
        <v>26</v>
      </c>
    </row>
    <row r="65" spans="1:1">
      <c r="A65" s="2" t="s">
        <v>27</v>
      </c>
    </row>
    <row r="66" spans="1:1">
      <c r="A66" s="5" t="s">
        <v>28</v>
      </c>
    </row>
    <row r="67" spans="1:1">
      <c r="A67" s="2" t="s">
        <v>113</v>
      </c>
    </row>
    <row r="68" spans="1:1">
      <c r="A68" s="61" t="s">
        <v>85</v>
      </c>
    </row>
    <row r="69" spans="1:1">
      <c r="A69" s="2" t="s">
        <v>185</v>
      </c>
    </row>
    <row r="70" spans="1:1">
      <c r="A70" s="60" t="s">
        <v>186</v>
      </c>
    </row>
    <row r="71" spans="1:1">
      <c r="A71" s="60" t="s">
        <v>211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sheetPr>
    <tabColor rgb="FFFFC000"/>
  </sheetPr>
  <dimension ref="A1:AC39"/>
  <sheetViews>
    <sheetView topLeftCell="C1" workbookViewId="0">
      <selection activeCell="M20" sqref="M20"/>
    </sheetView>
  </sheetViews>
  <sheetFormatPr defaultRowHeight="12" customHeight="1"/>
  <cols>
    <col min="1" max="4" width="9.140625" style="3"/>
    <col min="5" max="5" width="1.85546875" style="3" customWidth="1"/>
    <col min="6" max="9" width="9.140625" style="3"/>
    <col min="10" max="10" width="1.42578125" style="3" customWidth="1"/>
    <col min="11" max="11" width="1.7109375" style="3" customWidth="1"/>
    <col min="12" max="12" width="7.28515625" style="3" bestFit="1" customWidth="1"/>
    <col min="13" max="14" width="12.28515625" style="3" bestFit="1" customWidth="1"/>
    <col min="15" max="17" width="9.140625" style="3"/>
    <col min="18" max="18" width="7" style="3" customWidth="1"/>
    <col min="19" max="19" width="2.28515625" style="3" customWidth="1"/>
    <col min="20" max="21" width="9.140625" style="3"/>
    <col min="22" max="22" width="1.5703125" style="3" customWidth="1"/>
    <col min="23" max="23" width="6.42578125" style="3" customWidth="1"/>
    <col min="24" max="26" width="9.140625" style="3"/>
    <col min="27" max="27" width="1.85546875" style="3" customWidth="1"/>
    <col min="28" max="28" width="9" style="3" customWidth="1"/>
    <col min="29" max="16384" width="9.140625" style="3"/>
  </cols>
  <sheetData>
    <row r="1" spans="1:29" ht="24" customHeight="1">
      <c r="A1" s="26" t="s">
        <v>90</v>
      </c>
      <c r="B1" s="6" t="s">
        <v>29</v>
      </c>
      <c r="C1" s="7" t="s">
        <v>30</v>
      </c>
      <c r="D1" s="6" t="s">
        <v>31</v>
      </c>
      <c r="E1" s="8"/>
      <c r="F1" s="27" t="s">
        <v>92</v>
      </c>
      <c r="G1" s="10" t="s">
        <v>29</v>
      </c>
      <c r="H1" s="9" t="s">
        <v>32</v>
      </c>
      <c r="I1" s="10" t="s">
        <v>31</v>
      </c>
      <c r="J1" s="8"/>
      <c r="K1" s="8"/>
      <c r="L1" s="22" t="s">
        <v>33</v>
      </c>
      <c r="M1" s="22" t="s">
        <v>163</v>
      </c>
      <c r="N1" s="22" t="s">
        <v>164</v>
      </c>
      <c r="O1" s="53" t="s">
        <v>38</v>
      </c>
      <c r="P1" s="53" t="s">
        <v>40</v>
      </c>
      <c r="Q1" s="53" t="s">
        <v>88</v>
      </c>
      <c r="R1" s="53" t="s">
        <v>181</v>
      </c>
      <c r="T1" s="6" t="s">
        <v>162</v>
      </c>
      <c r="U1" s="7" t="s">
        <v>30</v>
      </c>
      <c r="W1" s="27" t="s">
        <v>161</v>
      </c>
      <c r="X1" s="10" t="s">
        <v>29</v>
      </c>
      <c r="Y1" s="9" t="s">
        <v>32</v>
      </c>
      <c r="Z1" s="10" t="s">
        <v>31</v>
      </c>
      <c r="AB1" s="27" t="s">
        <v>158</v>
      </c>
      <c r="AC1" s="10" t="s">
        <v>29</v>
      </c>
    </row>
    <row r="2" spans="1:29" ht="12" customHeight="1">
      <c r="A2" s="11" t="s">
        <v>34</v>
      </c>
      <c r="B2" s="12">
        <v>0</v>
      </c>
      <c r="C2" s="12">
        <v>0</v>
      </c>
      <c r="D2" s="12">
        <v>2.4900000000000002</v>
      </c>
      <c r="E2" s="8"/>
      <c r="F2" s="13" t="s">
        <v>34</v>
      </c>
      <c r="G2" s="14">
        <v>1.1574074074074073E-5</v>
      </c>
      <c r="H2" s="15">
        <v>5</v>
      </c>
      <c r="I2" s="14">
        <v>3.1249999999999997E-3</v>
      </c>
      <c r="J2" s="8"/>
      <c r="K2" s="8"/>
      <c r="L2" s="32">
        <v>1</v>
      </c>
      <c r="M2" s="52">
        <v>43983</v>
      </c>
      <c r="N2" s="52">
        <f>M2+6</f>
        <v>43989</v>
      </c>
      <c r="O2" s="33">
        <v>0.25</v>
      </c>
      <c r="P2" s="33">
        <v>0.25</v>
      </c>
      <c r="Q2" s="33">
        <v>0.5</v>
      </c>
      <c r="R2" s="33" t="s">
        <v>184</v>
      </c>
      <c r="T2" s="12">
        <v>0</v>
      </c>
      <c r="U2" s="12">
        <v>0</v>
      </c>
      <c r="W2" s="13" t="s">
        <v>34</v>
      </c>
      <c r="X2" s="14">
        <v>2.5000000000000001E-3</v>
      </c>
      <c r="Y2" s="15">
        <v>6.6</v>
      </c>
      <c r="Z2" s="14">
        <v>2.5462962962963E-3</v>
      </c>
      <c r="AB2" s="13" t="s">
        <v>34</v>
      </c>
      <c r="AC2" s="14">
        <v>9.0277777777777787E-3</v>
      </c>
    </row>
    <row r="3" spans="1:29" ht="12" customHeight="1">
      <c r="A3" s="11" t="s">
        <v>34</v>
      </c>
      <c r="B3" s="12">
        <v>2.5</v>
      </c>
      <c r="C3" s="12">
        <v>1</v>
      </c>
      <c r="D3" s="12">
        <v>4.49</v>
      </c>
      <c r="E3" s="8"/>
      <c r="F3" s="13" t="s">
        <v>34</v>
      </c>
      <c r="G3" s="14">
        <v>3.1365740740740742E-3</v>
      </c>
      <c r="H3" s="15">
        <v>4.5</v>
      </c>
      <c r="I3" s="14">
        <v>3.2986111111111111E-3</v>
      </c>
      <c r="J3" s="8"/>
      <c r="K3" s="8"/>
      <c r="L3" s="32">
        <v>2</v>
      </c>
      <c r="M3" s="52">
        <f>M2+7</f>
        <v>43990</v>
      </c>
      <c r="N3" s="52">
        <f>N2+7</f>
        <v>43996</v>
      </c>
      <c r="O3" s="33">
        <v>0.5</v>
      </c>
      <c r="P3" s="33">
        <v>0.25</v>
      </c>
      <c r="Q3" s="33">
        <v>0.25</v>
      </c>
      <c r="R3" s="33" t="s">
        <v>182</v>
      </c>
      <c r="T3" s="12">
        <v>26</v>
      </c>
      <c r="U3" s="12">
        <v>0.1</v>
      </c>
      <c r="W3" s="13" t="s">
        <v>34</v>
      </c>
      <c r="X3" s="14">
        <v>2.5578703703703705E-3</v>
      </c>
      <c r="Y3" s="15">
        <v>5.5</v>
      </c>
      <c r="Z3" s="14">
        <v>2.6041666666666665E-3</v>
      </c>
      <c r="AB3" s="13" t="s">
        <v>35</v>
      </c>
      <c r="AC3" s="14">
        <v>7.6388888888888886E-3</v>
      </c>
    </row>
    <row r="4" spans="1:29" ht="12" customHeight="1">
      <c r="A4" s="11" t="s">
        <v>34</v>
      </c>
      <c r="B4" s="12">
        <v>4.5</v>
      </c>
      <c r="C4" s="12">
        <v>1.5</v>
      </c>
      <c r="D4" s="12">
        <v>6.49</v>
      </c>
      <c r="E4" s="8"/>
      <c r="F4" s="13" t="s">
        <v>34</v>
      </c>
      <c r="G4" s="14">
        <v>3.3101851851851851E-3</v>
      </c>
      <c r="H4" s="15">
        <v>4</v>
      </c>
      <c r="I4" s="14">
        <v>3.472222222222222E-3</v>
      </c>
      <c r="J4" s="8"/>
      <c r="K4" s="8"/>
      <c r="L4" s="32">
        <v>3</v>
      </c>
      <c r="M4" s="52">
        <f t="shared" ref="M4:M13" si="0">M3+7</f>
        <v>43997</v>
      </c>
      <c r="N4" s="52">
        <f t="shared" ref="N4:N13" si="1">N3+7</f>
        <v>44003</v>
      </c>
      <c r="O4" s="33">
        <v>0.25</v>
      </c>
      <c r="P4" s="33">
        <v>0.5</v>
      </c>
      <c r="Q4" s="33">
        <v>0.25</v>
      </c>
      <c r="R4" s="33" t="s">
        <v>183</v>
      </c>
      <c r="T4" s="12">
        <f>T3+5</f>
        <v>31</v>
      </c>
      <c r="U4" s="12">
        <v>0.2</v>
      </c>
      <c r="W4" s="13" t="s">
        <v>34</v>
      </c>
      <c r="X4" s="14">
        <v>2.615740740740741E-3</v>
      </c>
      <c r="Y4" s="15">
        <v>4.5</v>
      </c>
      <c r="Z4" s="14">
        <v>2.6620370370370374E-3</v>
      </c>
    </row>
    <row r="5" spans="1:29" ht="12" customHeight="1">
      <c r="A5" s="11" t="s">
        <v>34</v>
      </c>
      <c r="B5" s="12">
        <v>6.5</v>
      </c>
      <c r="C5" s="12">
        <v>2</v>
      </c>
      <c r="D5" s="12">
        <v>8.99</v>
      </c>
      <c r="E5" s="8"/>
      <c r="F5" s="13" t="s">
        <v>34</v>
      </c>
      <c r="G5" s="14">
        <v>3.483796296296296E-3</v>
      </c>
      <c r="H5" s="15">
        <v>3.5</v>
      </c>
      <c r="I5" s="14">
        <v>3.645833333333333E-3</v>
      </c>
      <c r="J5" s="8"/>
      <c r="K5" s="8"/>
      <c r="L5" s="32">
        <v>4</v>
      </c>
      <c r="M5" s="52">
        <f t="shared" si="0"/>
        <v>44004</v>
      </c>
      <c r="N5" s="52">
        <f t="shared" si="1"/>
        <v>44010</v>
      </c>
      <c r="O5" s="33">
        <v>0.25</v>
      </c>
      <c r="P5" s="33">
        <v>0.25</v>
      </c>
      <c r="Q5" s="33">
        <v>0.5</v>
      </c>
      <c r="R5" s="33" t="s">
        <v>184</v>
      </c>
      <c r="T5" s="12">
        <f t="shared" ref="T5:T39" si="2">T4+5</f>
        <v>36</v>
      </c>
      <c r="U5" s="12">
        <v>0.3</v>
      </c>
      <c r="W5" s="13" t="s">
        <v>34</v>
      </c>
      <c r="X5" s="14">
        <v>2.673611111111111E-3</v>
      </c>
      <c r="Y5" s="15">
        <v>3.6</v>
      </c>
      <c r="Z5" s="14">
        <v>2.7199074074074074E-3</v>
      </c>
    </row>
    <row r="6" spans="1:29" ht="12" customHeight="1">
      <c r="A6" s="11" t="s">
        <v>34</v>
      </c>
      <c r="B6" s="12">
        <v>9</v>
      </c>
      <c r="C6" s="12">
        <v>2.5</v>
      </c>
      <c r="D6" s="12">
        <v>11.49</v>
      </c>
      <c r="E6" s="8"/>
      <c r="F6" s="13" t="s">
        <v>34</v>
      </c>
      <c r="G6" s="14">
        <v>3.6574074074074074E-3</v>
      </c>
      <c r="H6" s="15">
        <v>3</v>
      </c>
      <c r="I6" s="14">
        <v>3.8194444444444443E-3</v>
      </c>
      <c r="J6" s="8"/>
      <c r="K6" s="8"/>
      <c r="L6" s="32">
        <v>5</v>
      </c>
      <c r="M6" s="52">
        <f t="shared" si="0"/>
        <v>44011</v>
      </c>
      <c r="N6" s="52">
        <f t="shared" si="1"/>
        <v>44017</v>
      </c>
      <c r="O6" s="33">
        <v>0.5</v>
      </c>
      <c r="P6" s="33">
        <v>0.25</v>
      </c>
      <c r="Q6" s="33">
        <v>0.25</v>
      </c>
      <c r="R6" s="33" t="s">
        <v>182</v>
      </c>
      <c r="T6" s="12">
        <f t="shared" si="2"/>
        <v>41</v>
      </c>
      <c r="U6" s="12">
        <v>0.4</v>
      </c>
      <c r="W6" s="13" t="s">
        <v>34</v>
      </c>
      <c r="X6" s="14">
        <v>2.7314814814814819E-3</v>
      </c>
      <c r="Y6" s="15">
        <v>2.8</v>
      </c>
      <c r="Z6" s="14">
        <v>2.7777777777777779E-3</v>
      </c>
    </row>
    <row r="7" spans="1:29" ht="12" customHeight="1">
      <c r="A7" s="11" t="s">
        <v>34</v>
      </c>
      <c r="B7" s="12">
        <v>11.5</v>
      </c>
      <c r="C7" s="12">
        <v>3</v>
      </c>
      <c r="D7" s="12">
        <v>13.99</v>
      </c>
      <c r="E7" s="8"/>
      <c r="F7" s="13" t="s">
        <v>34</v>
      </c>
      <c r="G7" s="14">
        <v>3.8310185185185183E-3</v>
      </c>
      <c r="H7" s="15">
        <v>2.5</v>
      </c>
      <c r="I7" s="14">
        <v>3.9930555555555561E-3</v>
      </c>
      <c r="J7" s="8"/>
      <c r="K7" s="8"/>
      <c r="L7" s="32">
        <v>6</v>
      </c>
      <c r="M7" s="52">
        <f t="shared" si="0"/>
        <v>44018</v>
      </c>
      <c r="N7" s="52">
        <f t="shared" si="1"/>
        <v>44024</v>
      </c>
      <c r="O7" s="33">
        <v>0.25</v>
      </c>
      <c r="P7" s="33">
        <v>0.5</v>
      </c>
      <c r="Q7" s="33">
        <v>0.25</v>
      </c>
      <c r="R7" s="33" t="s">
        <v>183</v>
      </c>
      <c r="T7" s="12">
        <f t="shared" si="2"/>
        <v>46</v>
      </c>
      <c r="U7" s="12">
        <v>0.5</v>
      </c>
      <c r="W7" s="13" t="s">
        <v>34</v>
      </c>
      <c r="X7" s="14">
        <v>2.7893518518518519E-3</v>
      </c>
      <c r="Y7" s="15">
        <v>2.1</v>
      </c>
      <c r="Z7" s="14">
        <v>2.8356481481481479E-3</v>
      </c>
    </row>
    <row r="8" spans="1:29" ht="12" customHeight="1">
      <c r="A8" s="11" t="s">
        <v>34</v>
      </c>
      <c r="B8" s="12">
        <v>14</v>
      </c>
      <c r="C8" s="12">
        <v>3.5</v>
      </c>
      <c r="D8" s="12">
        <v>15.99</v>
      </c>
      <c r="E8" s="8"/>
      <c r="F8" s="13" t="s">
        <v>34</v>
      </c>
      <c r="G8" s="14">
        <v>4.0046296296296297E-3</v>
      </c>
      <c r="H8" s="15">
        <v>2</v>
      </c>
      <c r="I8" s="14">
        <v>4.1666666666666666E-3</v>
      </c>
      <c r="J8" s="8"/>
      <c r="K8" s="8"/>
      <c r="L8" s="32">
        <v>7</v>
      </c>
      <c r="M8" s="52">
        <f t="shared" si="0"/>
        <v>44025</v>
      </c>
      <c r="N8" s="52">
        <f t="shared" si="1"/>
        <v>44031</v>
      </c>
      <c r="O8" s="33">
        <v>0.25</v>
      </c>
      <c r="P8" s="33">
        <v>0.25</v>
      </c>
      <c r="Q8" s="33">
        <v>0.5</v>
      </c>
      <c r="R8" s="33" t="s">
        <v>184</v>
      </c>
      <c r="T8" s="12">
        <f t="shared" si="2"/>
        <v>51</v>
      </c>
      <c r="U8" s="12">
        <v>0.6</v>
      </c>
      <c r="W8" s="13" t="s">
        <v>34</v>
      </c>
      <c r="X8" s="14">
        <v>2.8472222222222219E-3</v>
      </c>
      <c r="Y8" s="15">
        <v>1.5</v>
      </c>
      <c r="Z8" s="14">
        <v>2.8935185185185188E-3</v>
      </c>
    </row>
    <row r="9" spans="1:29" ht="12" customHeight="1">
      <c r="A9" s="11" t="s">
        <v>34</v>
      </c>
      <c r="B9" s="12">
        <v>16</v>
      </c>
      <c r="C9" s="12">
        <v>4</v>
      </c>
      <c r="D9" s="12">
        <v>17.989999999999998</v>
      </c>
      <c r="E9" s="8"/>
      <c r="F9" s="13" t="s">
        <v>34</v>
      </c>
      <c r="G9" s="14">
        <v>4.1782407407407402E-3</v>
      </c>
      <c r="H9" s="15">
        <v>1.5</v>
      </c>
      <c r="I9" s="14">
        <v>4.5138888888888893E-3</v>
      </c>
      <c r="J9" s="8"/>
      <c r="K9" s="8"/>
      <c r="L9" s="32">
        <v>8</v>
      </c>
      <c r="M9" s="52">
        <f t="shared" si="0"/>
        <v>44032</v>
      </c>
      <c r="N9" s="52">
        <f t="shared" si="1"/>
        <v>44038</v>
      </c>
      <c r="O9" s="33">
        <v>0.5</v>
      </c>
      <c r="P9" s="33">
        <v>0.25</v>
      </c>
      <c r="Q9" s="33">
        <v>0.25</v>
      </c>
      <c r="R9" s="33" t="s">
        <v>182</v>
      </c>
      <c r="T9" s="12">
        <f t="shared" si="2"/>
        <v>56</v>
      </c>
      <c r="U9" s="12">
        <v>0.7</v>
      </c>
      <c r="W9" s="13" t="s">
        <v>34</v>
      </c>
      <c r="X9" s="14">
        <v>2.9050925925925928E-3</v>
      </c>
      <c r="Y9" s="15">
        <v>0.99999999999999989</v>
      </c>
      <c r="Z9" s="14">
        <v>2.9513888888888888E-3</v>
      </c>
    </row>
    <row r="10" spans="1:29" ht="12" customHeight="1">
      <c r="A10" s="11" t="s">
        <v>34</v>
      </c>
      <c r="B10" s="12">
        <v>18</v>
      </c>
      <c r="C10" s="12">
        <v>4.5</v>
      </c>
      <c r="D10" s="12">
        <v>19.989999999999998</v>
      </c>
      <c r="E10" s="8"/>
      <c r="F10" s="13" t="s">
        <v>34</v>
      </c>
      <c r="G10" s="14">
        <v>4.5254629629629629E-3</v>
      </c>
      <c r="H10" s="15">
        <v>1</v>
      </c>
      <c r="I10" s="14">
        <v>6.2499999999999995E-3</v>
      </c>
      <c r="J10" s="8"/>
      <c r="K10" s="8"/>
      <c r="L10" s="32">
        <v>9</v>
      </c>
      <c r="M10" s="52">
        <f t="shared" si="0"/>
        <v>44039</v>
      </c>
      <c r="N10" s="52">
        <f t="shared" si="1"/>
        <v>44045</v>
      </c>
      <c r="O10" s="33">
        <v>0.25</v>
      </c>
      <c r="P10" s="33">
        <v>0.5</v>
      </c>
      <c r="Q10" s="33">
        <v>0.25</v>
      </c>
      <c r="R10" s="33" t="s">
        <v>183</v>
      </c>
      <c r="T10" s="12">
        <f t="shared" si="2"/>
        <v>61</v>
      </c>
      <c r="U10" s="12">
        <v>0.8</v>
      </c>
      <c r="W10" s="13" t="s">
        <v>34</v>
      </c>
      <c r="X10" s="14">
        <v>2.9629629629629628E-3</v>
      </c>
      <c r="Y10" s="15">
        <v>0.6</v>
      </c>
      <c r="Z10" s="14">
        <v>3.0092592592592588E-3</v>
      </c>
    </row>
    <row r="11" spans="1:29" ht="12" customHeight="1">
      <c r="A11" s="11" t="s">
        <v>34</v>
      </c>
      <c r="B11" s="12">
        <v>20</v>
      </c>
      <c r="C11" s="12">
        <v>5</v>
      </c>
      <c r="D11" s="11"/>
      <c r="E11" s="8"/>
      <c r="F11" s="13" t="s">
        <v>34</v>
      </c>
      <c r="G11" s="14">
        <v>6.2615740740740748E-3</v>
      </c>
      <c r="H11" s="15">
        <v>0</v>
      </c>
      <c r="I11" s="18"/>
      <c r="J11" s="8"/>
      <c r="K11" s="8"/>
      <c r="L11" s="32">
        <v>10</v>
      </c>
      <c r="M11" s="52">
        <f t="shared" si="0"/>
        <v>44046</v>
      </c>
      <c r="N11" s="52">
        <f t="shared" si="1"/>
        <v>44052</v>
      </c>
      <c r="O11" s="33">
        <v>0.25</v>
      </c>
      <c r="P11" s="33">
        <v>0.25</v>
      </c>
      <c r="Q11" s="33">
        <v>0.5</v>
      </c>
      <c r="R11" s="33" t="s">
        <v>184</v>
      </c>
      <c r="T11" s="12">
        <f t="shared" si="2"/>
        <v>66</v>
      </c>
      <c r="U11" s="12">
        <v>0.9</v>
      </c>
      <c r="W11" s="13" t="s">
        <v>34</v>
      </c>
      <c r="X11" s="14">
        <v>3.0208333333333333E-3</v>
      </c>
      <c r="Y11" s="15">
        <v>0.30000000000000004</v>
      </c>
      <c r="Z11" s="14">
        <v>3.0671296296296297E-3</v>
      </c>
    </row>
    <row r="12" spans="1:29" ht="12" customHeight="1">
      <c r="A12" s="11" t="s">
        <v>35</v>
      </c>
      <c r="B12" s="12">
        <v>0</v>
      </c>
      <c r="C12" s="12">
        <v>0</v>
      </c>
      <c r="D12" s="12">
        <v>2.99</v>
      </c>
      <c r="E12" s="8"/>
      <c r="F12" s="13" t="s">
        <v>35</v>
      </c>
      <c r="G12" s="14">
        <v>1.1574074074074073E-5</v>
      </c>
      <c r="H12" s="15">
        <v>5</v>
      </c>
      <c r="I12" s="14">
        <v>2.7777777777777779E-3</v>
      </c>
      <c r="J12" s="8"/>
      <c r="K12" s="8"/>
      <c r="L12" s="32">
        <v>11</v>
      </c>
      <c r="M12" s="52">
        <f t="shared" si="0"/>
        <v>44053</v>
      </c>
      <c r="N12" s="52">
        <f t="shared" si="1"/>
        <v>44059</v>
      </c>
      <c r="O12" s="33">
        <v>0.5</v>
      </c>
      <c r="P12" s="33">
        <v>0.25</v>
      </c>
      <c r="Q12" s="33">
        <v>0.25</v>
      </c>
      <c r="R12" s="33" t="s">
        <v>182</v>
      </c>
      <c r="T12" s="12">
        <f t="shared" si="2"/>
        <v>71</v>
      </c>
      <c r="U12" s="12">
        <v>1</v>
      </c>
      <c r="W12" s="13" t="s">
        <v>34</v>
      </c>
      <c r="X12" s="14">
        <v>3.0787037037037037E-3</v>
      </c>
      <c r="Y12" s="15">
        <v>0.1</v>
      </c>
      <c r="Z12" s="14">
        <v>3.1134259259259257E-3</v>
      </c>
    </row>
    <row r="13" spans="1:29" ht="12" customHeight="1">
      <c r="A13" s="11" t="s">
        <v>35</v>
      </c>
      <c r="B13" s="12">
        <v>3</v>
      </c>
      <c r="C13" s="12">
        <v>1</v>
      </c>
      <c r="D13" s="12">
        <v>4.99</v>
      </c>
      <c r="E13" s="8"/>
      <c r="F13" s="13" t="s">
        <v>35</v>
      </c>
      <c r="G13" s="14">
        <v>2.7893518518518519E-3</v>
      </c>
      <c r="H13" s="15">
        <v>4.5</v>
      </c>
      <c r="I13" s="14">
        <v>2.9513888888888888E-3</v>
      </c>
      <c r="J13" s="8"/>
      <c r="K13" s="8"/>
      <c r="L13" s="32">
        <v>12</v>
      </c>
      <c r="M13" s="52">
        <f t="shared" si="0"/>
        <v>44060</v>
      </c>
      <c r="N13" s="52">
        <f t="shared" si="1"/>
        <v>44066</v>
      </c>
      <c r="O13" s="33">
        <v>0.25</v>
      </c>
      <c r="P13" s="33">
        <v>0.5</v>
      </c>
      <c r="Q13" s="33">
        <v>0.25</v>
      </c>
      <c r="R13" s="33" t="s">
        <v>183</v>
      </c>
      <c r="T13" s="12">
        <f t="shared" si="2"/>
        <v>76</v>
      </c>
      <c r="U13" s="12">
        <v>1.1000000000000001</v>
      </c>
      <c r="W13" s="13" t="s">
        <v>34</v>
      </c>
      <c r="X13" s="14">
        <v>3.1249999999999997E-3</v>
      </c>
      <c r="Y13" s="15">
        <v>0</v>
      </c>
      <c r="Z13" s="14"/>
    </row>
    <row r="14" spans="1:29" ht="12" customHeight="1">
      <c r="A14" s="11" t="s">
        <v>35</v>
      </c>
      <c r="B14" s="12">
        <v>5</v>
      </c>
      <c r="C14" s="12">
        <v>1.5</v>
      </c>
      <c r="D14" s="12">
        <v>6.99</v>
      </c>
      <c r="E14" s="8"/>
      <c r="F14" s="13" t="s">
        <v>35</v>
      </c>
      <c r="G14" s="14">
        <v>2.9629629629629628E-3</v>
      </c>
      <c r="H14" s="15">
        <v>4</v>
      </c>
      <c r="I14" s="14">
        <v>3.1249999999999997E-3</v>
      </c>
      <c r="J14" s="8"/>
      <c r="K14" s="8"/>
      <c r="L14" s="8"/>
      <c r="M14" s="8"/>
      <c r="N14" s="8"/>
      <c r="O14" s="17"/>
      <c r="P14" s="17"/>
      <c r="Q14" s="17"/>
      <c r="R14" s="17"/>
      <c r="T14" s="12">
        <f t="shared" si="2"/>
        <v>81</v>
      </c>
      <c r="U14" s="12">
        <v>1.2</v>
      </c>
      <c r="W14" s="13" t="s">
        <v>35</v>
      </c>
      <c r="X14" s="14">
        <v>2.1412037037037038E-3</v>
      </c>
      <c r="Y14" s="15">
        <v>6.6</v>
      </c>
      <c r="Z14" s="14">
        <v>2.1990740740740742E-3</v>
      </c>
    </row>
    <row r="15" spans="1:29" ht="12" customHeight="1">
      <c r="A15" s="11" t="s">
        <v>35</v>
      </c>
      <c r="B15" s="12">
        <v>7</v>
      </c>
      <c r="C15" s="12">
        <v>2</v>
      </c>
      <c r="D15" s="12">
        <v>9.49</v>
      </c>
      <c r="E15" s="8"/>
      <c r="F15" s="13" t="s">
        <v>35</v>
      </c>
      <c r="G15" s="14">
        <v>3.1365740740740742E-3</v>
      </c>
      <c r="H15" s="15">
        <v>3.5</v>
      </c>
      <c r="I15" s="14">
        <v>3.2986111111111111E-3</v>
      </c>
      <c r="J15" s="8"/>
      <c r="K15" s="8"/>
      <c r="L15" s="8"/>
      <c r="M15" s="8"/>
      <c r="N15" s="8"/>
      <c r="O15" s="17"/>
      <c r="P15" s="17"/>
      <c r="Q15" s="17"/>
      <c r="R15" s="17"/>
      <c r="T15" s="12">
        <f t="shared" si="2"/>
        <v>86</v>
      </c>
      <c r="U15" s="12">
        <v>1.3</v>
      </c>
      <c r="W15" s="13" t="s">
        <v>35</v>
      </c>
      <c r="X15" s="14">
        <v>2.2106481481481478E-3</v>
      </c>
      <c r="Y15" s="15">
        <v>5.5</v>
      </c>
      <c r="Z15" s="14">
        <v>2.2569444444444447E-3</v>
      </c>
    </row>
    <row r="16" spans="1:29" ht="12" customHeight="1">
      <c r="A16" s="11" t="s">
        <v>35</v>
      </c>
      <c r="B16" s="12">
        <v>9.5</v>
      </c>
      <c r="C16" s="12">
        <v>2.5</v>
      </c>
      <c r="D16" s="12">
        <v>11.99</v>
      </c>
      <c r="E16" s="8"/>
      <c r="F16" s="13" t="s">
        <v>35</v>
      </c>
      <c r="G16" s="14">
        <v>3.3101851851851851E-3</v>
      </c>
      <c r="H16" s="15">
        <v>3</v>
      </c>
      <c r="I16" s="14">
        <v>3.472222222222222E-3</v>
      </c>
      <c r="J16" s="8"/>
      <c r="K16" s="8"/>
      <c r="L16" s="8"/>
      <c r="M16" s="8"/>
      <c r="N16" s="8"/>
      <c r="O16" s="17"/>
      <c r="P16" s="17"/>
      <c r="Q16" s="17"/>
      <c r="R16" s="17"/>
      <c r="T16" s="12">
        <f t="shared" si="2"/>
        <v>91</v>
      </c>
      <c r="U16" s="12">
        <v>1.4</v>
      </c>
      <c r="W16" s="13" t="s">
        <v>35</v>
      </c>
      <c r="X16" s="14">
        <v>2.2685185185185182E-3</v>
      </c>
      <c r="Y16" s="15">
        <v>4.5</v>
      </c>
      <c r="Z16" s="14">
        <v>2.3148148148148151E-3</v>
      </c>
    </row>
    <row r="17" spans="1:26" ht="12" customHeight="1">
      <c r="A17" s="11" t="s">
        <v>35</v>
      </c>
      <c r="B17" s="12">
        <v>12</v>
      </c>
      <c r="C17" s="12">
        <v>3</v>
      </c>
      <c r="D17" s="12">
        <v>14.99</v>
      </c>
      <c r="E17" s="8"/>
      <c r="F17" s="13" t="s">
        <v>35</v>
      </c>
      <c r="G17" s="14">
        <v>3.483796296296296E-3</v>
      </c>
      <c r="H17" s="15">
        <v>2.5</v>
      </c>
      <c r="I17" s="14">
        <v>3.645833333333333E-3</v>
      </c>
      <c r="J17" s="8"/>
      <c r="K17" s="8"/>
      <c r="L17" s="8"/>
      <c r="M17" s="8"/>
      <c r="N17" s="8"/>
      <c r="O17" s="17"/>
      <c r="P17" s="17"/>
      <c r="Q17" s="17"/>
      <c r="R17" s="17"/>
      <c r="T17" s="12">
        <f t="shared" si="2"/>
        <v>96</v>
      </c>
      <c r="U17" s="12">
        <v>1.5</v>
      </c>
      <c r="W17" s="13" t="s">
        <v>35</v>
      </c>
      <c r="X17" s="14">
        <v>2.3263888888888887E-3</v>
      </c>
      <c r="Y17" s="15">
        <v>3.6</v>
      </c>
      <c r="Z17" s="14">
        <v>2.3726851851851851E-3</v>
      </c>
    </row>
    <row r="18" spans="1:26" ht="12" customHeight="1">
      <c r="A18" s="11" t="s">
        <v>35</v>
      </c>
      <c r="B18" s="12">
        <v>15</v>
      </c>
      <c r="C18" s="12">
        <v>3.5</v>
      </c>
      <c r="D18" s="12">
        <v>16.989999999999998</v>
      </c>
      <c r="E18" s="8"/>
      <c r="F18" s="13" t="s">
        <v>35</v>
      </c>
      <c r="G18" s="14">
        <v>3.6574074074074074E-3</v>
      </c>
      <c r="H18" s="15">
        <v>2</v>
      </c>
      <c r="I18" s="14">
        <v>3.8194444444444443E-3</v>
      </c>
      <c r="J18" s="8"/>
      <c r="K18" s="8"/>
      <c r="L18" s="8"/>
      <c r="M18" s="8"/>
      <c r="N18" s="8"/>
      <c r="T18" s="12">
        <f t="shared" si="2"/>
        <v>101</v>
      </c>
      <c r="U18" s="12">
        <v>1.6</v>
      </c>
      <c r="W18" s="13" t="s">
        <v>35</v>
      </c>
      <c r="X18" s="14">
        <v>2.3842592592592591E-3</v>
      </c>
      <c r="Y18" s="15">
        <v>2.8</v>
      </c>
      <c r="Z18" s="14">
        <v>2.4305555555555556E-3</v>
      </c>
    </row>
    <row r="19" spans="1:26" ht="12" customHeight="1">
      <c r="A19" s="11" t="s">
        <v>35</v>
      </c>
      <c r="B19" s="12">
        <v>17</v>
      </c>
      <c r="C19" s="12">
        <v>4</v>
      </c>
      <c r="D19" s="12">
        <v>18.989999999999998</v>
      </c>
      <c r="E19" s="8"/>
      <c r="F19" s="13" t="s">
        <v>35</v>
      </c>
      <c r="G19" s="14">
        <v>3.8310185185185183E-3</v>
      </c>
      <c r="H19" s="15">
        <v>1.5</v>
      </c>
      <c r="I19" s="14">
        <v>4.1666666666666666E-3</v>
      </c>
      <c r="J19" s="8"/>
      <c r="K19" s="8"/>
      <c r="L19" s="8"/>
      <c r="M19" s="8"/>
      <c r="N19" s="8"/>
      <c r="T19" s="12">
        <f t="shared" si="2"/>
        <v>106</v>
      </c>
      <c r="U19" s="12">
        <v>1.7</v>
      </c>
      <c r="W19" s="13" t="s">
        <v>35</v>
      </c>
      <c r="X19" s="14">
        <v>2.4421296296296296E-3</v>
      </c>
      <c r="Y19" s="15">
        <v>2.1</v>
      </c>
      <c r="Z19" s="14">
        <v>2.488425925925926E-3</v>
      </c>
    </row>
    <row r="20" spans="1:26" ht="12" customHeight="1">
      <c r="A20" s="11" t="s">
        <v>35</v>
      </c>
      <c r="B20" s="12">
        <v>19</v>
      </c>
      <c r="C20" s="12">
        <v>4.5</v>
      </c>
      <c r="D20" s="12">
        <v>20.99</v>
      </c>
      <c r="E20" s="8"/>
      <c r="F20" s="13" t="s">
        <v>35</v>
      </c>
      <c r="G20" s="14">
        <v>4.1782407407407402E-3</v>
      </c>
      <c r="H20" s="15">
        <v>1</v>
      </c>
      <c r="I20" s="14">
        <v>5.5555555555555558E-3</v>
      </c>
      <c r="J20" s="8"/>
      <c r="K20" s="8"/>
      <c r="L20" s="8"/>
      <c r="M20" s="8"/>
      <c r="N20" s="8"/>
      <c r="T20" s="12">
        <f t="shared" si="2"/>
        <v>111</v>
      </c>
      <c r="U20" s="12">
        <v>1.8</v>
      </c>
      <c r="W20" s="13" t="s">
        <v>35</v>
      </c>
      <c r="X20" s="14">
        <v>2.5000000000000001E-3</v>
      </c>
      <c r="Y20" s="15">
        <v>1.5</v>
      </c>
      <c r="Z20" s="14">
        <v>2.5462962962962961E-3</v>
      </c>
    </row>
    <row r="21" spans="1:26" ht="12" customHeight="1">
      <c r="A21" s="11" t="s">
        <v>35</v>
      </c>
      <c r="B21" s="12">
        <v>21</v>
      </c>
      <c r="C21" s="12">
        <v>5</v>
      </c>
      <c r="D21" s="11"/>
      <c r="E21" s="8"/>
      <c r="F21" s="13" t="s">
        <v>35</v>
      </c>
      <c r="G21" s="14">
        <v>5.5671296296296302E-3</v>
      </c>
      <c r="H21" s="15">
        <v>0</v>
      </c>
      <c r="I21" s="18"/>
      <c r="J21" s="8"/>
      <c r="K21" s="8"/>
      <c r="L21" s="8"/>
      <c r="M21" s="8"/>
      <c r="N21" s="8"/>
      <c r="T21" s="12">
        <f t="shared" si="2"/>
        <v>116</v>
      </c>
      <c r="U21" s="12">
        <v>1.9</v>
      </c>
      <c r="W21" s="13" t="s">
        <v>35</v>
      </c>
      <c r="X21" s="14">
        <v>2.5578703703703705E-3</v>
      </c>
      <c r="Y21" s="15">
        <v>0.99999999999999989</v>
      </c>
      <c r="Z21" s="14">
        <v>2.6041666666666665E-3</v>
      </c>
    </row>
    <row r="22" spans="1:26" ht="12.75" customHeight="1">
      <c r="A22" s="8"/>
      <c r="B22" s="8"/>
      <c r="C22" s="8"/>
      <c r="D22" s="8"/>
      <c r="T22" s="12">
        <f t="shared" si="2"/>
        <v>121</v>
      </c>
      <c r="U22" s="12">
        <v>2</v>
      </c>
      <c r="W22" s="13" t="s">
        <v>35</v>
      </c>
      <c r="X22" s="14">
        <v>2.615740740740741E-3</v>
      </c>
      <c r="Y22" s="15">
        <v>0.6</v>
      </c>
      <c r="Z22" s="14">
        <v>2.6620370370370374E-3</v>
      </c>
    </row>
    <row r="23" spans="1:26" ht="12" customHeight="1">
      <c r="A23" s="8"/>
      <c r="B23" s="8"/>
      <c r="C23" s="8"/>
      <c r="D23" s="8"/>
      <c r="T23" s="12">
        <f t="shared" si="2"/>
        <v>126</v>
      </c>
      <c r="U23" s="12">
        <v>2.1</v>
      </c>
      <c r="W23" s="13" t="s">
        <v>35</v>
      </c>
      <c r="X23" s="14">
        <v>2.673611111111111E-3</v>
      </c>
      <c r="Y23" s="15">
        <v>0.30000000000000004</v>
      </c>
      <c r="Z23" s="14">
        <v>2.7199074074074074E-3</v>
      </c>
    </row>
    <row r="24" spans="1:26" ht="12" customHeight="1">
      <c r="A24" s="8"/>
      <c r="B24" s="8"/>
      <c r="C24" s="8"/>
      <c r="D24" s="8"/>
      <c r="T24" s="12">
        <f t="shared" si="2"/>
        <v>131</v>
      </c>
      <c r="U24" s="12">
        <v>2.2000000000000002</v>
      </c>
      <c r="W24" s="13" t="s">
        <v>35</v>
      </c>
      <c r="X24" s="14">
        <v>2.7314814814814819E-3</v>
      </c>
      <c r="Y24" s="15">
        <v>0.1</v>
      </c>
      <c r="Z24" s="14">
        <v>2.7662037037037034E-3</v>
      </c>
    </row>
    <row r="25" spans="1:26" ht="12" customHeight="1">
      <c r="A25" s="8"/>
      <c r="B25" s="8"/>
      <c r="C25" s="8"/>
      <c r="D25" s="8"/>
      <c r="T25" s="12">
        <f t="shared" si="2"/>
        <v>136</v>
      </c>
      <c r="U25" s="12">
        <v>2.2999999999999998</v>
      </c>
      <c r="W25" s="13" t="s">
        <v>35</v>
      </c>
      <c r="X25" s="14">
        <v>2.7777777777777779E-3</v>
      </c>
      <c r="Y25" s="15">
        <v>0</v>
      </c>
      <c r="Z25" s="14"/>
    </row>
    <row r="26" spans="1:26" ht="12" customHeight="1">
      <c r="A26" s="8"/>
      <c r="B26" s="8"/>
      <c r="C26" s="8"/>
      <c r="D26" s="8"/>
      <c r="T26" s="12">
        <f t="shared" si="2"/>
        <v>141</v>
      </c>
      <c r="U26" s="12">
        <v>2.4</v>
      </c>
    </row>
    <row r="27" spans="1:26" ht="12" customHeight="1">
      <c r="A27" s="8"/>
      <c r="B27" s="8"/>
      <c r="C27" s="8"/>
      <c r="D27" s="8"/>
      <c r="T27" s="12">
        <f t="shared" si="2"/>
        <v>146</v>
      </c>
      <c r="U27" s="12">
        <v>2.5</v>
      </c>
    </row>
    <row r="28" spans="1:26" ht="12" customHeight="1">
      <c r="A28" s="8"/>
      <c r="B28" s="8"/>
      <c r="C28" s="8"/>
      <c r="D28" s="8"/>
      <c r="T28" s="12">
        <f t="shared" si="2"/>
        <v>151</v>
      </c>
      <c r="U28" s="12">
        <v>2.6</v>
      </c>
    </row>
    <row r="29" spans="1:26" ht="12" customHeight="1">
      <c r="A29" s="8"/>
      <c r="B29" s="8"/>
      <c r="C29" s="8"/>
      <c r="D29" s="8"/>
      <c r="T29" s="12">
        <f t="shared" si="2"/>
        <v>156</v>
      </c>
      <c r="U29" s="12">
        <v>2.7</v>
      </c>
    </row>
    <row r="30" spans="1:26" ht="12" customHeight="1">
      <c r="T30" s="12">
        <f t="shared" si="2"/>
        <v>161</v>
      </c>
      <c r="U30" s="12">
        <v>2.8</v>
      </c>
    </row>
    <row r="31" spans="1:26" ht="12" customHeight="1">
      <c r="T31" s="12">
        <f t="shared" si="2"/>
        <v>166</v>
      </c>
      <c r="U31" s="12">
        <v>2.9</v>
      </c>
    </row>
    <row r="32" spans="1:26" ht="12" customHeight="1">
      <c r="T32" s="12">
        <f t="shared" si="2"/>
        <v>171</v>
      </c>
      <c r="U32" s="12">
        <v>3</v>
      </c>
    </row>
    <row r="33" spans="20:21" ht="12" customHeight="1">
      <c r="T33" s="12">
        <f t="shared" si="2"/>
        <v>176</v>
      </c>
      <c r="U33" s="12">
        <v>3.1</v>
      </c>
    </row>
    <row r="34" spans="20:21" ht="12" customHeight="1">
      <c r="T34" s="12">
        <f t="shared" si="2"/>
        <v>181</v>
      </c>
      <c r="U34" s="12">
        <v>3.2</v>
      </c>
    </row>
    <row r="35" spans="20:21" ht="12" customHeight="1">
      <c r="T35" s="12">
        <f t="shared" si="2"/>
        <v>186</v>
      </c>
      <c r="U35" s="12">
        <v>3.3</v>
      </c>
    </row>
    <row r="36" spans="20:21" ht="12" customHeight="1">
      <c r="T36" s="12">
        <f t="shared" si="2"/>
        <v>191</v>
      </c>
      <c r="U36" s="12">
        <v>3.4</v>
      </c>
    </row>
    <row r="37" spans="20:21" ht="12" customHeight="1">
      <c r="T37" s="12">
        <f t="shared" si="2"/>
        <v>196</v>
      </c>
      <c r="U37" s="12">
        <v>3.5</v>
      </c>
    </row>
    <row r="38" spans="20:21" ht="12" customHeight="1">
      <c r="T38" s="12">
        <f t="shared" si="2"/>
        <v>201</v>
      </c>
      <c r="U38" s="12">
        <v>3.6</v>
      </c>
    </row>
    <row r="39" spans="20:21" ht="12" customHeight="1">
      <c r="T39" s="12">
        <f t="shared" si="2"/>
        <v>206</v>
      </c>
      <c r="U39" s="12">
        <v>3.7</v>
      </c>
    </row>
  </sheetData>
  <autoFilter ref="L1:Q16"/>
  <pageMargins left="0.7" right="0.7" top="0.75" bottom="0.75" header="0.3" footer="0.3"/>
  <pageSetup paperSize="9" orientation="portrait" horizontalDpi="4294967294" r:id="rId1"/>
</worksheet>
</file>

<file path=xl/worksheets/sheet8.xml><?xml version="1.0" encoding="utf-8"?>
<worksheet xmlns="http://schemas.openxmlformats.org/spreadsheetml/2006/main" xmlns:r="http://schemas.openxmlformats.org/officeDocument/2006/relationships">
  <dimension ref="A1:F43"/>
  <sheetViews>
    <sheetView workbookViewId="0">
      <pane ySplit="2" topLeftCell="A31" activePane="bottomLeft" state="frozen"/>
      <selection pane="bottomLeft" activeCell="B49" sqref="B49"/>
    </sheetView>
  </sheetViews>
  <sheetFormatPr defaultRowHeight="12"/>
  <cols>
    <col min="1" max="1" width="23.28515625" style="59" bestFit="1" customWidth="1"/>
    <col min="2" max="2" width="7.7109375" style="59" bestFit="1" customWidth="1"/>
    <col min="3" max="4" width="3.5703125" style="59" bestFit="1" customWidth="1"/>
    <col min="5" max="5" width="11.140625" style="59" bestFit="1" customWidth="1"/>
    <col min="6" max="6" width="4.5703125" style="59" bestFit="1" customWidth="1"/>
    <col min="7" max="16384" width="9.140625" style="59"/>
  </cols>
  <sheetData>
    <row r="1" spans="1:6" ht="15">
      <c r="A1" s="59" t="s">
        <v>214</v>
      </c>
      <c r="B1" s="59" t="s">
        <v>216</v>
      </c>
      <c r="F1" s="47"/>
    </row>
    <row r="2" spans="1:6" ht="15">
      <c r="A2" s="59" t="s">
        <v>215</v>
      </c>
      <c r="B2" s="129" t="s">
        <v>183</v>
      </c>
      <c r="C2" s="129" t="s">
        <v>182</v>
      </c>
      <c r="D2" s="129" t="s">
        <v>184</v>
      </c>
      <c r="E2" s="129" t="s">
        <v>217</v>
      </c>
      <c r="F2" s="47"/>
    </row>
    <row r="3" spans="1:6" ht="15">
      <c r="A3" s="125" t="s">
        <v>56</v>
      </c>
      <c r="B3" s="124">
        <v>2</v>
      </c>
      <c r="C3" s="124">
        <v>1</v>
      </c>
      <c r="D3" s="124">
        <v>2</v>
      </c>
      <c r="E3" s="124">
        <v>5</v>
      </c>
      <c r="F3" s="47"/>
    </row>
    <row r="4" spans="1:6" ht="15">
      <c r="A4" s="125" t="s">
        <v>52</v>
      </c>
      <c r="B4" s="124">
        <v>4</v>
      </c>
      <c r="C4" s="130">
        <v>4</v>
      </c>
      <c r="D4" s="130">
        <v>4</v>
      </c>
      <c r="E4" s="124">
        <v>12</v>
      </c>
      <c r="F4" s="47"/>
    </row>
    <row r="5" spans="1:6" ht="15">
      <c r="A5" s="125" t="s">
        <v>173</v>
      </c>
      <c r="B5" s="124"/>
      <c r="C5" s="124">
        <v>1</v>
      </c>
      <c r="D5" s="124"/>
      <c r="E5" s="124">
        <v>1</v>
      </c>
      <c r="F5" s="47"/>
    </row>
    <row r="6" spans="1:6" ht="15">
      <c r="A6" s="125" t="s">
        <v>57</v>
      </c>
      <c r="B6" s="124">
        <v>4</v>
      </c>
      <c r="C6" s="130">
        <v>4</v>
      </c>
      <c r="D6" s="130">
        <v>4</v>
      </c>
      <c r="E6" s="124">
        <v>12</v>
      </c>
      <c r="F6" s="47"/>
    </row>
    <row r="7" spans="1:6" ht="15">
      <c r="A7" s="125" t="s">
        <v>131</v>
      </c>
      <c r="B7" s="130">
        <v>4</v>
      </c>
      <c r="C7" s="130">
        <v>4</v>
      </c>
      <c r="D7" s="124">
        <v>4</v>
      </c>
      <c r="E7" s="124">
        <v>12</v>
      </c>
      <c r="F7" s="47"/>
    </row>
    <row r="8" spans="1:6" ht="15">
      <c r="A8" s="125" t="s">
        <v>47</v>
      </c>
      <c r="B8" s="130">
        <v>4</v>
      </c>
      <c r="C8" s="124">
        <v>4</v>
      </c>
      <c r="D8" s="130">
        <v>4</v>
      </c>
      <c r="E8" s="124">
        <v>12</v>
      </c>
      <c r="F8" s="47"/>
    </row>
    <row r="9" spans="1:6" ht="15">
      <c r="A9" s="125" t="s">
        <v>115</v>
      </c>
      <c r="B9" s="130">
        <v>4</v>
      </c>
      <c r="C9" s="124">
        <v>4</v>
      </c>
      <c r="D9" s="130">
        <v>4</v>
      </c>
      <c r="E9" s="124">
        <v>12</v>
      </c>
      <c r="F9" s="47"/>
    </row>
    <row r="10" spans="1:6" ht="15">
      <c r="A10" s="125" t="s">
        <v>210</v>
      </c>
      <c r="B10" s="124">
        <v>3</v>
      </c>
      <c r="C10" s="124">
        <v>4</v>
      </c>
      <c r="D10" s="130">
        <v>4</v>
      </c>
      <c r="E10" s="124">
        <v>11</v>
      </c>
      <c r="F10" s="47"/>
    </row>
    <row r="11" spans="1:6" ht="15">
      <c r="A11" s="125" t="s">
        <v>59</v>
      </c>
      <c r="B11" s="124">
        <v>3</v>
      </c>
      <c r="C11" s="124">
        <v>1</v>
      </c>
      <c r="D11" s="124">
        <v>3</v>
      </c>
      <c r="E11" s="124">
        <v>7</v>
      </c>
      <c r="F11" s="47"/>
    </row>
    <row r="12" spans="1:6" ht="15">
      <c r="A12" s="125" t="s">
        <v>82</v>
      </c>
      <c r="B12" s="124">
        <v>4</v>
      </c>
      <c r="C12" s="130">
        <v>4</v>
      </c>
      <c r="D12" s="130">
        <v>4</v>
      </c>
      <c r="E12" s="124">
        <v>12</v>
      </c>
      <c r="F12" s="47"/>
    </row>
    <row r="13" spans="1:6" ht="15">
      <c r="A13" s="125" t="s">
        <v>62</v>
      </c>
      <c r="B13" s="124">
        <v>4</v>
      </c>
      <c r="C13" s="130">
        <v>4</v>
      </c>
      <c r="D13" s="130">
        <v>4</v>
      </c>
      <c r="E13" s="124">
        <v>12</v>
      </c>
      <c r="F13" s="47"/>
    </row>
    <row r="14" spans="1:6" ht="15">
      <c r="A14" s="125" t="s">
        <v>114</v>
      </c>
      <c r="B14" s="124">
        <v>4</v>
      </c>
      <c r="C14" s="124">
        <v>3</v>
      </c>
      <c r="D14" s="130">
        <v>4</v>
      </c>
      <c r="E14" s="124">
        <v>11</v>
      </c>
      <c r="F14" s="47"/>
    </row>
    <row r="15" spans="1:6" ht="15">
      <c r="A15" s="125" t="s">
        <v>6</v>
      </c>
      <c r="B15" s="130">
        <v>4</v>
      </c>
      <c r="C15" s="124">
        <v>4</v>
      </c>
      <c r="D15" s="130">
        <v>4</v>
      </c>
      <c r="E15" s="124">
        <v>12</v>
      </c>
      <c r="F15" s="47"/>
    </row>
    <row r="16" spans="1:6" ht="15">
      <c r="A16" s="125" t="s">
        <v>66</v>
      </c>
      <c r="B16" s="124">
        <v>4</v>
      </c>
      <c r="C16" s="130">
        <v>4</v>
      </c>
      <c r="D16" s="130">
        <v>4</v>
      </c>
      <c r="E16" s="124">
        <v>12</v>
      </c>
      <c r="F16" s="47"/>
    </row>
    <row r="17" spans="1:6" ht="15">
      <c r="A17" s="125" t="s">
        <v>53</v>
      </c>
      <c r="B17" s="130">
        <v>4</v>
      </c>
      <c r="C17" s="130">
        <v>4</v>
      </c>
      <c r="D17" s="124">
        <v>4</v>
      </c>
      <c r="E17" s="124">
        <v>12</v>
      </c>
      <c r="F17" s="47"/>
    </row>
    <row r="18" spans="1:6" ht="15">
      <c r="A18" s="125" t="s">
        <v>86</v>
      </c>
      <c r="B18" s="124">
        <v>4</v>
      </c>
      <c r="C18" s="130">
        <v>4</v>
      </c>
      <c r="D18" s="130">
        <v>4</v>
      </c>
      <c r="E18" s="124">
        <v>12</v>
      </c>
      <c r="F18" s="47"/>
    </row>
    <row r="19" spans="1:6" ht="15">
      <c r="A19" s="125" t="s">
        <v>208</v>
      </c>
      <c r="B19" s="130">
        <v>4</v>
      </c>
      <c r="C19" s="130">
        <v>4</v>
      </c>
      <c r="D19" s="124">
        <v>3</v>
      </c>
      <c r="E19" s="124">
        <v>11</v>
      </c>
      <c r="F19" s="47"/>
    </row>
    <row r="20" spans="1:6" ht="15">
      <c r="A20" s="125" t="s">
        <v>169</v>
      </c>
      <c r="B20" s="124">
        <v>4</v>
      </c>
      <c r="C20" s="130">
        <v>4</v>
      </c>
      <c r="D20" s="130">
        <v>4</v>
      </c>
      <c r="E20" s="124">
        <v>12</v>
      </c>
      <c r="F20" s="47"/>
    </row>
    <row r="21" spans="1:6" ht="15">
      <c r="A21" s="125" t="s">
        <v>64</v>
      </c>
      <c r="B21" s="124">
        <v>2</v>
      </c>
      <c r="C21" s="124">
        <v>3</v>
      </c>
      <c r="D21" s="130">
        <v>4</v>
      </c>
      <c r="E21" s="124">
        <v>9</v>
      </c>
      <c r="F21" s="47"/>
    </row>
    <row r="22" spans="1:6" ht="15">
      <c r="A22" s="125" t="s">
        <v>67</v>
      </c>
      <c r="B22" s="124">
        <v>2</v>
      </c>
      <c r="C22" s="124">
        <v>2</v>
      </c>
      <c r="D22" s="124">
        <v>2</v>
      </c>
      <c r="E22" s="124">
        <v>6</v>
      </c>
      <c r="F22" s="47"/>
    </row>
    <row r="23" spans="1:6" ht="15">
      <c r="A23" s="125" t="s">
        <v>209</v>
      </c>
      <c r="B23" s="130">
        <v>4</v>
      </c>
      <c r="C23" s="130">
        <v>4</v>
      </c>
      <c r="D23" s="124">
        <v>3</v>
      </c>
      <c r="E23" s="124">
        <v>11</v>
      </c>
      <c r="F23" s="47"/>
    </row>
    <row r="24" spans="1:6" ht="15">
      <c r="A24" s="125" t="s">
        <v>171</v>
      </c>
      <c r="B24" s="124">
        <v>4</v>
      </c>
      <c r="C24" s="130">
        <v>4</v>
      </c>
      <c r="D24" s="130">
        <v>4</v>
      </c>
      <c r="E24" s="124">
        <v>12</v>
      </c>
      <c r="F24" s="47"/>
    </row>
    <row r="25" spans="1:6" ht="15">
      <c r="A25" s="125" t="s">
        <v>68</v>
      </c>
      <c r="B25" s="130">
        <v>4</v>
      </c>
      <c r="C25" s="130">
        <v>4</v>
      </c>
      <c r="D25" s="124">
        <v>4</v>
      </c>
      <c r="E25" s="124">
        <v>12</v>
      </c>
      <c r="F25" s="47"/>
    </row>
    <row r="26" spans="1:6" ht="15">
      <c r="A26" s="125" t="s">
        <v>60</v>
      </c>
      <c r="B26" s="124">
        <v>4</v>
      </c>
      <c r="C26" s="130">
        <v>4</v>
      </c>
      <c r="D26" s="130">
        <v>4</v>
      </c>
      <c r="E26" s="124">
        <v>12</v>
      </c>
      <c r="F26" s="47"/>
    </row>
    <row r="27" spans="1:6" ht="15">
      <c r="A27" s="125" t="s">
        <v>206</v>
      </c>
      <c r="B27" s="124">
        <v>3</v>
      </c>
      <c r="C27" s="130">
        <v>4</v>
      </c>
      <c r="D27" s="130">
        <v>4</v>
      </c>
      <c r="E27" s="124">
        <v>11</v>
      </c>
      <c r="F27" s="47"/>
    </row>
    <row r="28" spans="1:6" ht="15">
      <c r="A28" s="125" t="s">
        <v>201</v>
      </c>
      <c r="B28" s="124">
        <v>4</v>
      </c>
      <c r="C28" s="130">
        <v>4</v>
      </c>
      <c r="D28" s="130">
        <v>4</v>
      </c>
      <c r="E28" s="124">
        <v>12</v>
      </c>
      <c r="F28" s="47"/>
    </row>
    <row r="29" spans="1:6" ht="15">
      <c r="A29" s="125" t="s">
        <v>50</v>
      </c>
      <c r="B29" s="124">
        <v>4</v>
      </c>
      <c r="C29" s="130">
        <v>4</v>
      </c>
      <c r="D29" s="130">
        <v>4</v>
      </c>
      <c r="E29" s="124">
        <v>12</v>
      </c>
      <c r="F29" s="47"/>
    </row>
    <row r="30" spans="1:6" ht="15">
      <c r="A30" s="125" t="s">
        <v>51</v>
      </c>
      <c r="B30" s="124">
        <v>2</v>
      </c>
      <c r="C30" s="124"/>
      <c r="D30" s="124">
        <v>1</v>
      </c>
      <c r="E30" s="124">
        <v>3</v>
      </c>
      <c r="F30" s="47"/>
    </row>
    <row r="31" spans="1:6" ht="15">
      <c r="A31" s="125" t="s">
        <v>54</v>
      </c>
      <c r="B31" s="130">
        <v>4</v>
      </c>
      <c r="C31" s="130">
        <v>4</v>
      </c>
      <c r="D31" s="124">
        <v>3</v>
      </c>
      <c r="E31" s="124">
        <v>11</v>
      </c>
      <c r="F31" s="47"/>
    </row>
    <row r="32" spans="1:6" ht="15">
      <c r="A32" s="125" t="s">
        <v>202</v>
      </c>
      <c r="B32" s="124">
        <v>1</v>
      </c>
      <c r="C32" s="124">
        <v>3</v>
      </c>
      <c r="D32" s="130">
        <v>4</v>
      </c>
      <c r="E32" s="124">
        <v>8</v>
      </c>
      <c r="F32" s="47"/>
    </row>
    <row r="33" spans="1:6" ht="15">
      <c r="A33" s="125" t="s">
        <v>172</v>
      </c>
      <c r="B33" s="124">
        <v>4</v>
      </c>
      <c r="C33" s="130">
        <v>4</v>
      </c>
      <c r="D33" s="130">
        <v>4</v>
      </c>
      <c r="E33" s="124">
        <v>12</v>
      </c>
      <c r="F33" s="47"/>
    </row>
    <row r="34" spans="1:6" ht="15">
      <c r="A34" s="125" t="s">
        <v>204</v>
      </c>
      <c r="B34" s="124">
        <v>3</v>
      </c>
      <c r="C34" s="124">
        <v>2</v>
      </c>
      <c r="D34" s="124">
        <v>4</v>
      </c>
      <c r="E34" s="124">
        <v>9</v>
      </c>
      <c r="F34" s="47"/>
    </row>
    <row r="35" spans="1:6" ht="15">
      <c r="A35" s="125" t="s">
        <v>55</v>
      </c>
      <c r="B35" s="130">
        <v>4</v>
      </c>
      <c r="C35" s="130">
        <v>4</v>
      </c>
      <c r="D35" s="124">
        <v>4</v>
      </c>
      <c r="E35" s="124">
        <v>12</v>
      </c>
      <c r="F35" s="47"/>
    </row>
    <row r="36" spans="1:6" ht="15">
      <c r="A36" s="125" t="s">
        <v>83</v>
      </c>
      <c r="B36" s="124">
        <v>4</v>
      </c>
      <c r="C36" s="130">
        <v>4</v>
      </c>
      <c r="D36" s="124">
        <v>3</v>
      </c>
      <c r="E36" s="124">
        <v>11</v>
      </c>
      <c r="F36" s="47"/>
    </row>
    <row r="37" spans="1:6" ht="15">
      <c r="A37" s="125" t="s">
        <v>8</v>
      </c>
      <c r="B37" s="124">
        <v>4</v>
      </c>
      <c r="C37" s="130">
        <v>4</v>
      </c>
      <c r="D37" s="130">
        <v>4</v>
      </c>
      <c r="E37" s="124">
        <v>12</v>
      </c>
      <c r="F37" s="47"/>
    </row>
    <row r="38" spans="1:6" ht="15">
      <c r="A38" s="125" t="s">
        <v>203</v>
      </c>
      <c r="B38" s="130">
        <v>4</v>
      </c>
      <c r="C38" s="130">
        <v>4</v>
      </c>
      <c r="D38" s="124">
        <v>3</v>
      </c>
      <c r="E38" s="124">
        <v>11</v>
      </c>
      <c r="F38" s="47"/>
    </row>
    <row r="39" spans="1:6" ht="15">
      <c r="A39" s="125" t="s">
        <v>170</v>
      </c>
      <c r="B39" s="124">
        <v>1</v>
      </c>
      <c r="C39" s="124">
        <v>2</v>
      </c>
      <c r="D39" s="124">
        <v>1</v>
      </c>
      <c r="E39" s="124">
        <v>4</v>
      </c>
      <c r="F39" s="47"/>
    </row>
    <row r="40" spans="1:6" ht="15">
      <c r="A40" s="125" t="s">
        <v>205</v>
      </c>
      <c r="B40" s="124">
        <v>3</v>
      </c>
      <c r="C40" s="124">
        <v>2</v>
      </c>
      <c r="D40" s="124">
        <v>1</v>
      </c>
      <c r="E40" s="124">
        <v>6</v>
      </c>
      <c r="F40" s="47"/>
    </row>
    <row r="41" spans="1:6" ht="15">
      <c r="A41" s="125" t="s">
        <v>65</v>
      </c>
      <c r="B41" s="124">
        <v>4</v>
      </c>
      <c r="C41" s="124">
        <v>3</v>
      </c>
      <c r="D41" s="130">
        <v>4</v>
      </c>
      <c r="E41" s="124">
        <v>11</v>
      </c>
      <c r="F41" s="47"/>
    </row>
    <row r="42" spans="1:6" ht="15">
      <c r="A42" s="125" t="s">
        <v>200</v>
      </c>
      <c r="B42" s="124">
        <v>4</v>
      </c>
      <c r="C42" s="130">
        <v>4</v>
      </c>
      <c r="D42" s="130">
        <v>4</v>
      </c>
      <c r="E42" s="124">
        <v>12</v>
      </c>
      <c r="F42" s="47"/>
    </row>
    <row r="43" spans="1:6" ht="15">
      <c r="A43" s="125" t="s">
        <v>217</v>
      </c>
      <c r="B43" s="124">
        <v>137</v>
      </c>
      <c r="C43" s="124">
        <v>135</v>
      </c>
      <c r="D43" s="124">
        <v>137</v>
      </c>
      <c r="E43" s="124">
        <v>409</v>
      </c>
      <c r="F43" s="47"/>
    </row>
  </sheetData>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sheetPr>
    <tabColor theme="0" tint="-0.249977111117893"/>
  </sheetPr>
  <dimension ref="A1:X414"/>
  <sheetViews>
    <sheetView zoomScale="90" zoomScaleNormal="90" workbookViewId="0">
      <pane ySplit="1" topLeftCell="A384" activePane="bottomLeft" state="frozen"/>
      <selection pane="bottomLeft" activeCell="J406" sqref="J406"/>
    </sheetView>
  </sheetViews>
  <sheetFormatPr defaultRowHeight="12"/>
  <cols>
    <col min="1" max="1" width="27" style="3" customWidth="1"/>
    <col min="2" max="2" width="5" style="3" customWidth="1"/>
    <col min="3" max="3" width="7.140625" style="3" bestFit="1" customWidth="1"/>
    <col min="4" max="4" width="9.28515625" style="3" bestFit="1" customWidth="1"/>
    <col min="5" max="5" width="11.140625" style="3" bestFit="1" customWidth="1"/>
    <col min="6" max="6" width="9.28515625" style="38" bestFit="1" customWidth="1"/>
    <col min="7" max="7" width="9.140625" style="3"/>
    <col min="8" max="8" width="6.5703125" style="3" customWidth="1"/>
    <col min="9" max="9" width="10.140625" style="3" bestFit="1" customWidth="1"/>
    <col min="10" max="10" width="8.42578125" style="3" customWidth="1"/>
    <col min="11" max="11" width="7.7109375" style="3" bestFit="1" customWidth="1"/>
    <col min="12" max="12" width="5.7109375" style="3" customWidth="1"/>
    <col min="13" max="13" width="5.42578125" style="3" bestFit="1" customWidth="1"/>
    <col min="14" max="14" width="5.28515625" style="3" bestFit="1" customWidth="1"/>
    <col min="15" max="18" width="6.140625" style="37" customWidth="1"/>
    <col min="19" max="19" width="7.5703125" style="30" customWidth="1"/>
    <col min="20" max="20" width="10.42578125" style="31" customWidth="1"/>
    <col min="21" max="21" width="3.140625" style="3" customWidth="1"/>
    <col min="22" max="22" width="9.140625" style="3"/>
    <col min="23" max="23" width="10.7109375" style="3" bestFit="1" customWidth="1"/>
    <col min="24" max="16384" width="9.140625" style="3"/>
  </cols>
  <sheetData>
    <row r="1" spans="1:24" ht="23.25" customHeight="1">
      <c r="A1" s="71" t="s">
        <v>36</v>
      </c>
      <c r="B1" s="25" t="s">
        <v>37</v>
      </c>
      <c r="C1" s="71" t="s">
        <v>33</v>
      </c>
      <c r="D1" s="71" t="s">
        <v>38</v>
      </c>
      <c r="E1" s="71" t="s">
        <v>39</v>
      </c>
      <c r="F1" s="72" t="s">
        <v>124</v>
      </c>
      <c r="G1" s="19" t="s">
        <v>40</v>
      </c>
      <c r="H1" s="19" t="s">
        <v>41</v>
      </c>
      <c r="I1" s="19" t="s">
        <v>42</v>
      </c>
      <c r="J1" s="73" t="s">
        <v>88</v>
      </c>
      <c r="K1" s="73" t="s">
        <v>181</v>
      </c>
      <c r="L1" s="19" t="s">
        <v>182</v>
      </c>
      <c r="M1" s="19" t="s">
        <v>183</v>
      </c>
      <c r="N1" s="19" t="s">
        <v>184</v>
      </c>
      <c r="O1" s="35" t="s">
        <v>93</v>
      </c>
      <c r="P1" s="35" t="s">
        <v>107</v>
      </c>
      <c r="Q1" s="35" t="s">
        <v>122</v>
      </c>
      <c r="R1" s="35" t="s">
        <v>123</v>
      </c>
      <c r="S1" s="28" t="s">
        <v>43</v>
      </c>
      <c r="T1" s="71" t="s">
        <v>44</v>
      </c>
      <c r="U1" s="19" t="s">
        <v>45</v>
      </c>
      <c r="V1" s="3" t="s">
        <v>118</v>
      </c>
      <c r="W1" s="3" t="s">
        <v>212</v>
      </c>
      <c r="X1" s="3" t="s">
        <v>225</v>
      </c>
    </row>
    <row r="2" spans="1:24">
      <c r="A2" s="74" t="s">
        <v>114</v>
      </c>
      <c r="B2" s="24" t="str">
        <f>VLOOKUP(A2,Participanti!A:B,2,0)</f>
        <v>M</v>
      </c>
      <c r="C2" s="75">
        <v>1</v>
      </c>
      <c r="D2" s="76">
        <v>15.6</v>
      </c>
      <c r="E2" s="77">
        <v>5.4016203703703712E-2</v>
      </c>
      <c r="F2" s="78">
        <v>360</v>
      </c>
      <c r="G2" s="20">
        <f t="shared" ref="G2" si="0">E2/D2</f>
        <v>3.462577160493828E-3</v>
      </c>
      <c r="H2" s="16">
        <f>IF(B2="F",IF(G2&gt;Barem!$AC$2,0,IF(B2="F",VLOOKUP(D2,Barem!$B$2:$C$11,2,1))),IF(G2&gt;Barem!$AC$3,0,VLOOKUP(D2,Barem!$B$12:$C$21,2,1)))</f>
        <v>3.5</v>
      </c>
      <c r="I2" s="16">
        <f>IF(H2=0,0,IF(B2="F",VLOOKUP(G2,Barem!$G$2:$H$11,2,1),VLOOKUP(G2,Barem!$G$12:$H$21,2,1)))</f>
        <v>3</v>
      </c>
      <c r="J2" s="75">
        <v>2.5</v>
      </c>
      <c r="K2" s="82" t="str">
        <f>VLOOKUP($C2,Barem!$L$2:$R$13,7,0)</f>
        <v>P</v>
      </c>
      <c r="L2" s="17">
        <f>IF($K2=L$1,50%,25%)</f>
        <v>0.25</v>
      </c>
      <c r="M2" s="17">
        <f t="shared" ref="M2:N17" si="1">IF($K2=M$1,50%,25%)</f>
        <v>0.25</v>
      </c>
      <c r="N2" s="17">
        <f t="shared" si="1"/>
        <v>0.5</v>
      </c>
      <c r="O2" s="81">
        <f>IF(F2&lt;-49,F2/1500,IF(F2&gt;99,F2/1500,0))</f>
        <v>0.24</v>
      </c>
      <c r="P2" s="36">
        <f>IF(D2&gt;21,VLOOKUP(D2,Barem!$T$1:$U$39,2,1),0)</f>
        <v>0</v>
      </c>
      <c r="Q2" s="32">
        <f>IF(D2&lt;1.609,0,IF(B2="F",VLOOKUP(G2,Barem!$X$2:$Z$13,2,1),VLOOKUP(G2,Barem!$X$14:$Z$25,2,1)))</f>
        <v>0</v>
      </c>
      <c r="R2" s="36">
        <f>VLOOKUP(A2,Participanti!A:C,3,0)</f>
        <v>0</v>
      </c>
      <c r="S2" s="29">
        <f t="shared" ref="S2" si="2">H2*L2+I2*M2+J2*N2+O2+P2+Q2+R2</f>
        <v>3.1150000000000002</v>
      </c>
      <c r="T2" s="79">
        <v>43983</v>
      </c>
      <c r="U2" s="16">
        <f>COUNTIFS(A:A,A2,C:C,C2)</f>
        <v>1</v>
      </c>
      <c r="V2" s="34">
        <f t="shared" ref="V2" si="3">S2/D2</f>
        <v>0.19967948717948719</v>
      </c>
      <c r="W2" s="3" t="str">
        <f>VLOOKUP(A2,Data_echipe!A:O,15,0)</f>
        <v>Serioranistii</v>
      </c>
      <c r="X2" s="3">
        <f>IF(I2&gt;0,1,0)</f>
        <v>1</v>
      </c>
    </row>
    <row r="3" spans="1:24">
      <c r="A3" s="74" t="s">
        <v>62</v>
      </c>
      <c r="B3" s="24" t="str">
        <f>VLOOKUP(A3,Participanti!A:B,2,0)</f>
        <v>M</v>
      </c>
      <c r="C3" s="75">
        <v>1</v>
      </c>
      <c r="D3" s="76">
        <v>6.53</v>
      </c>
      <c r="E3" s="77">
        <v>2.521990740740741E-2</v>
      </c>
      <c r="F3" s="78">
        <v>35</v>
      </c>
      <c r="G3" s="20">
        <f t="shared" ref="G3:G28" si="4">E3/D3</f>
        <v>3.8621603992966937E-3</v>
      </c>
      <c r="H3" s="16">
        <f>IF(B3="F",IF(G3&gt;Barem!$AC$2,0,IF(B3="F",VLOOKUP(D3,Barem!$B$2:$C$11,2,1))),IF(G3&gt;Barem!$AC$3,0,VLOOKUP(D3,Barem!$B$12:$C$21,2,1)))</f>
        <v>1.5</v>
      </c>
      <c r="I3" s="16">
        <f>IF(H3=0,0,IF(B3="F",VLOOKUP(G3,Barem!$G$2:$H$11,2,1),VLOOKUP(G3,Barem!$G$12:$H$21,2,1)))</f>
        <v>1.5</v>
      </c>
      <c r="J3" s="75">
        <v>4</v>
      </c>
      <c r="K3" s="83" t="s">
        <v>183</v>
      </c>
      <c r="L3" s="17">
        <f t="shared" ref="L3:N29" si="5">IF($K3=L$1,50%,25%)</f>
        <v>0.25</v>
      </c>
      <c r="M3" s="17">
        <f t="shared" si="1"/>
        <v>0.5</v>
      </c>
      <c r="N3" s="17">
        <f t="shared" si="1"/>
        <v>0.25</v>
      </c>
      <c r="O3" s="81">
        <f t="shared" ref="O3:O28" si="6">IF(F3&lt;-49,F3/1500,IF(F3&gt;99,F3/1500,0))</f>
        <v>0</v>
      </c>
      <c r="P3" s="36">
        <f>IF(D3&gt;21,VLOOKUP(D3,Barem!$T$1:$U$39,2,1),0)</f>
        <v>0</v>
      </c>
      <c r="Q3" s="32">
        <f>IF(D3&lt;1.609,0,IF(B3="F",VLOOKUP(G3,Barem!$X$2:$Z$13,2,1),VLOOKUP(G3,Barem!$X$14:$Z$25,2,1)))</f>
        <v>0</v>
      </c>
      <c r="R3" s="36">
        <f>VLOOKUP(A3,Participanti!A:C,3,0)</f>
        <v>0</v>
      </c>
      <c r="S3" s="29">
        <f t="shared" ref="S3:S28" si="7">H3*L3+I3*M3+J3*N3+O3+P3+Q3+R3</f>
        <v>2.125</v>
      </c>
      <c r="T3" s="79">
        <v>43983</v>
      </c>
      <c r="U3" s="16">
        <f>COUNTIFS(A:A,A3,C:C,C3)</f>
        <v>1</v>
      </c>
      <c r="V3" s="34">
        <f t="shared" ref="V3:V28" si="8">S3/D3</f>
        <v>0.32542113323124039</v>
      </c>
      <c r="W3" s="3" t="str">
        <f>VLOOKUP(A3,Data_echipe!A:O,15,0)</f>
        <v>Serioranistii</v>
      </c>
      <c r="X3" s="3">
        <f t="shared" ref="X3:X66" si="9">IF(I3&gt;0,1,0)</f>
        <v>1</v>
      </c>
    </row>
    <row r="4" spans="1:24">
      <c r="A4" s="74" t="s">
        <v>172</v>
      </c>
      <c r="B4" s="24" t="str">
        <f>VLOOKUP(A4,Participanti!A:B,2,0)</f>
        <v>F</v>
      </c>
      <c r="C4" s="75">
        <v>1</v>
      </c>
      <c r="D4" s="76">
        <v>21</v>
      </c>
      <c r="E4" s="77">
        <v>8.2407407407407415E-2</v>
      </c>
      <c r="F4" s="78">
        <v>2</v>
      </c>
      <c r="G4" s="20">
        <f t="shared" si="4"/>
        <v>3.924162257495591E-3</v>
      </c>
      <c r="H4" s="16">
        <f>IF(B4="F",IF(G4&gt;Barem!$AC$2,0,IF(B4="F",VLOOKUP(D4,Barem!$B$2:$C$11,2,1))),IF(G4&gt;Barem!$AC$3,0,VLOOKUP(D4,Barem!$B$12:$C$21,2,1)))</f>
        <v>5</v>
      </c>
      <c r="I4" s="16">
        <f>IF(H4=0,0,IF(B4="F",VLOOKUP(G4,Barem!$G$2:$H$11,2,1),VLOOKUP(G4,Barem!$G$12:$H$21,2,1)))</f>
        <v>2.5</v>
      </c>
      <c r="J4" s="75">
        <v>1.5</v>
      </c>
      <c r="K4" s="83" t="s">
        <v>182</v>
      </c>
      <c r="L4" s="17">
        <f t="shared" si="5"/>
        <v>0.5</v>
      </c>
      <c r="M4" s="17">
        <f t="shared" si="1"/>
        <v>0.25</v>
      </c>
      <c r="N4" s="17">
        <f t="shared" si="1"/>
        <v>0.25</v>
      </c>
      <c r="O4" s="81">
        <f t="shared" si="6"/>
        <v>0</v>
      </c>
      <c r="P4" s="36">
        <f>IF(D4&gt;21,VLOOKUP(D4,Barem!$T$1:$U$39,2,1),0)</f>
        <v>0</v>
      </c>
      <c r="Q4" s="32">
        <f>IF(D4&lt;1.609,0,IF(B4="F",VLOOKUP(G4,Barem!$X$2:$Z$13,2,1),VLOOKUP(G4,Barem!$X$14:$Z$25,2,1)))</f>
        <v>0</v>
      </c>
      <c r="R4" s="36">
        <f>VLOOKUP(A4,Participanti!A:C,3,0)</f>
        <v>0</v>
      </c>
      <c r="S4" s="29">
        <f t="shared" si="7"/>
        <v>3.5</v>
      </c>
      <c r="T4" s="79">
        <v>43983</v>
      </c>
      <c r="U4" s="16">
        <f>COUNTIFS(A:A,A4,C:C,C4)</f>
        <v>1</v>
      </c>
      <c r="V4" s="34">
        <f t="shared" si="8"/>
        <v>0.16666666666666666</v>
      </c>
      <c r="W4" s="3" t="str">
        <f>VLOOKUP(A4,Data_echipe!A:O,15,0)</f>
        <v>Unicornii</v>
      </c>
      <c r="X4" s="3">
        <f t="shared" si="9"/>
        <v>1</v>
      </c>
    </row>
    <row r="5" spans="1:24">
      <c r="A5" s="74" t="s">
        <v>60</v>
      </c>
      <c r="B5" s="24" t="str">
        <f>VLOOKUP(A5,Participanti!A:B,2,0)</f>
        <v>M</v>
      </c>
      <c r="C5" s="75">
        <v>1</v>
      </c>
      <c r="D5" s="76">
        <v>21.5</v>
      </c>
      <c r="E5" s="77">
        <v>8.1967592592592592E-2</v>
      </c>
      <c r="F5" s="78">
        <v>48</v>
      </c>
      <c r="G5" s="20">
        <f t="shared" si="4"/>
        <v>3.81244616709733E-3</v>
      </c>
      <c r="H5" s="16">
        <f>IF(B5="F",IF(G5&gt;Barem!$AC$2,0,IF(B5="F",VLOOKUP(D5,Barem!$B$2:$C$11,2,1))),IF(G5&gt;Barem!$AC$3,0,VLOOKUP(D5,Barem!$B$12:$C$21,2,1)))</f>
        <v>5</v>
      </c>
      <c r="I5" s="16">
        <f>IF(H5=0,0,IF(B5="F",VLOOKUP(G5,Barem!$G$2:$H$11,2,1),VLOOKUP(G5,Barem!$G$12:$H$21,2,1)))</f>
        <v>2</v>
      </c>
      <c r="J5" s="75">
        <v>4</v>
      </c>
      <c r="K5" s="82" t="str">
        <f>VLOOKUP($C5,Barem!$L$2:$R$13,7,0)</f>
        <v>P</v>
      </c>
      <c r="L5" s="17">
        <f t="shared" si="5"/>
        <v>0.25</v>
      </c>
      <c r="M5" s="17">
        <f t="shared" si="1"/>
        <v>0.25</v>
      </c>
      <c r="N5" s="17">
        <f t="shared" si="1"/>
        <v>0.5</v>
      </c>
      <c r="O5" s="81">
        <f t="shared" si="6"/>
        <v>0</v>
      </c>
      <c r="P5" s="36">
        <f>IF(D5&gt;21,VLOOKUP(D5,Barem!$T$1:$U$39,2,1),0)</f>
        <v>0</v>
      </c>
      <c r="Q5" s="32">
        <f>IF(D5&lt;1.609,0,IF(B5="F",VLOOKUP(G5,Barem!$X$2:$Z$13,2,1),VLOOKUP(G5,Barem!$X$14:$Z$25,2,1)))</f>
        <v>0</v>
      </c>
      <c r="R5" s="36">
        <f>VLOOKUP(A5,Participanti!A:C,3,0)</f>
        <v>0</v>
      </c>
      <c r="S5" s="29">
        <f t="shared" si="7"/>
        <v>3.75</v>
      </c>
      <c r="T5" s="79">
        <v>43983</v>
      </c>
      <c r="U5" s="16">
        <f>COUNTIFS(A:A,A5,C:C,C5)</f>
        <v>1</v>
      </c>
      <c r="V5" s="34">
        <f t="shared" si="8"/>
        <v>0.1744186046511628</v>
      </c>
      <c r="W5" s="3" t="str">
        <f>VLOOKUP(A5,Data_echipe!A:O,15,0)</f>
        <v>Tenchei</v>
      </c>
      <c r="X5" s="3">
        <f t="shared" si="9"/>
        <v>1</v>
      </c>
    </row>
    <row r="6" spans="1:24">
      <c r="A6" s="74" t="s">
        <v>131</v>
      </c>
      <c r="B6" s="24" t="str">
        <f>VLOOKUP(A6,Participanti!A:B,2,0)</f>
        <v>M</v>
      </c>
      <c r="C6" s="75">
        <v>1</v>
      </c>
      <c r="D6" s="76">
        <v>21.21</v>
      </c>
      <c r="E6" s="77">
        <v>0.10703703703703704</v>
      </c>
      <c r="F6" s="78">
        <v>136</v>
      </c>
      <c r="G6" s="20">
        <f t="shared" si="4"/>
        <v>5.0465363996717132E-3</v>
      </c>
      <c r="H6" s="16">
        <f>IF(B6="F",IF(G6&gt;Barem!$AC$2,0,IF(B6="F",VLOOKUP(D6,Barem!$B$2:$C$11,2,1))),IF(G6&gt;Barem!$AC$3,0,VLOOKUP(D6,Barem!$B$12:$C$21,2,1)))</f>
        <v>5</v>
      </c>
      <c r="I6" s="16">
        <f>IF(H6=0,0,IF(B6="F",VLOOKUP(G6,Barem!$G$2:$H$11,2,1),VLOOKUP(G6,Barem!$G$12:$H$21,2,1)))</f>
        <v>1</v>
      </c>
      <c r="J6" s="75">
        <v>4</v>
      </c>
      <c r="K6" s="82" t="str">
        <f>VLOOKUP($C6,Barem!$L$2:$R$13,7,0)</f>
        <v>P</v>
      </c>
      <c r="L6" s="17">
        <f t="shared" si="5"/>
        <v>0.25</v>
      </c>
      <c r="M6" s="17">
        <f t="shared" si="1"/>
        <v>0.25</v>
      </c>
      <c r="N6" s="17">
        <f t="shared" si="1"/>
        <v>0.5</v>
      </c>
      <c r="O6" s="81">
        <f t="shared" si="6"/>
        <v>9.0666666666666673E-2</v>
      </c>
      <c r="P6" s="36">
        <f>IF(D6&gt;21,VLOOKUP(D6,Barem!$T$1:$U$39,2,1),0)</f>
        <v>0</v>
      </c>
      <c r="Q6" s="32">
        <f>IF(D6&lt;1.609,0,IF(B6="F",VLOOKUP(G6,Barem!$X$2:$Z$13,2,1),VLOOKUP(G6,Barem!$X$14:$Z$25,2,1)))</f>
        <v>0</v>
      </c>
      <c r="R6" s="36">
        <f>VLOOKUP(A6,Participanti!A:C,3,0)</f>
        <v>0</v>
      </c>
      <c r="S6" s="29">
        <f t="shared" si="7"/>
        <v>3.5906666666666665</v>
      </c>
      <c r="T6" s="79">
        <v>43983</v>
      </c>
      <c r="U6" s="16">
        <f>COUNTIFS(A:A,A6,C:C,C6)</f>
        <v>1</v>
      </c>
      <c r="V6" s="34">
        <f t="shared" si="8"/>
        <v>0.16929121483576928</v>
      </c>
      <c r="W6" s="3" t="str">
        <f>VLOOKUP(A6,Data_echipe!A:O,15,0)</f>
        <v xml:space="preserve"> Let it run</v>
      </c>
      <c r="X6" s="3">
        <f t="shared" si="9"/>
        <v>1</v>
      </c>
    </row>
    <row r="7" spans="1:24">
      <c r="A7" s="74" t="s">
        <v>65</v>
      </c>
      <c r="B7" s="24" t="str">
        <f>VLOOKUP(A7,Participanti!A:B,2,0)</f>
        <v>M</v>
      </c>
      <c r="C7" s="75">
        <v>1</v>
      </c>
      <c r="D7" s="76">
        <v>21.24</v>
      </c>
      <c r="E7" s="77">
        <v>7.2060185185185185E-2</v>
      </c>
      <c r="F7" s="78">
        <v>37</v>
      </c>
      <c r="G7" s="20">
        <f t="shared" si="4"/>
        <v>3.3926640859315064E-3</v>
      </c>
      <c r="H7" s="16">
        <f>IF(B7="F",IF(G7&gt;Barem!$AC$2,0,IF(B7="F",VLOOKUP(D7,Barem!$B$2:$C$11,2,1))),IF(G7&gt;Barem!$AC$3,0,VLOOKUP(D7,Barem!$B$12:$C$21,2,1)))</f>
        <v>5</v>
      </c>
      <c r="I7" s="16">
        <f>IF(H7=0,0,IF(B7="F",VLOOKUP(G7,Barem!$G$2:$H$11,2,1),VLOOKUP(G7,Barem!$G$12:$H$21,2,1)))</f>
        <v>3</v>
      </c>
      <c r="J7" s="75">
        <v>3</v>
      </c>
      <c r="K7" s="83" t="s">
        <v>182</v>
      </c>
      <c r="L7" s="17">
        <f t="shared" si="5"/>
        <v>0.5</v>
      </c>
      <c r="M7" s="17">
        <f t="shared" si="1"/>
        <v>0.25</v>
      </c>
      <c r="N7" s="17">
        <f t="shared" si="1"/>
        <v>0.25</v>
      </c>
      <c r="O7" s="81">
        <f t="shared" si="6"/>
        <v>0</v>
      </c>
      <c r="P7" s="36">
        <f>IF(D7&gt;21,VLOOKUP(D7,Barem!$T$1:$U$39,2,1),0)</f>
        <v>0</v>
      </c>
      <c r="Q7" s="32">
        <f>IF(D7&lt;1.609,0,IF(B7="F",VLOOKUP(G7,Barem!$X$2:$Z$13,2,1),VLOOKUP(G7,Barem!$X$14:$Z$25,2,1)))</f>
        <v>0</v>
      </c>
      <c r="R7" s="36">
        <f>VLOOKUP(A7,Participanti!A:C,3,0)</f>
        <v>0</v>
      </c>
      <c r="S7" s="29">
        <f t="shared" si="7"/>
        <v>4</v>
      </c>
      <c r="T7" s="79">
        <v>43983</v>
      </c>
      <c r="U7" s="16">
        <f>COUNTIFS(A:A,A7,C:C,C7)</f>
        <v>1</v>
      </c>
      <c r="V7" s="34">
        <f t="shared" si="8"/>
        <v>0.18832391713747648</v>
      </c>
      <c r="W7" s="3" t="str">
        <f>VLOOKUP(A7,Data_echipe!A:O,15,0)</f>
        <v>X Æ A-12</v>
      </c>
      <c r="X7" s="3">
        <f t="shared" si="9"/>
        <v>1</v>
      </c>
    </row>
    <row r="8" spans="1:24">
      <c r="A8" s="74" t="s">
        <v>83</v>
      </c>
      <c r="B8" s="24" t="str">
        <f>VLOOKUP(A8,Participanti!A:B,2,0)</f>
        <v>F</v>
      </c>
      <c r="C8" s="75">
        <v>1</v>
      </c>
      <c r="D8" s="76">
        <v>12.01</v>
      </c>
      <c r="E8" s="77">
        <v>7.2060185185185185E-2</v>
      </c>
      <c r="F8" s="78">
        <v>13</v>
      </c>
      <c r="G8" s="20">
        <f t="shared" si="4"/>
        <v>6.0000154192493913E-3</v>
      </c>
      <c r="H8" s="16">
        <f>IF(B8="F",IF(G8&gt;Barem!$AC$2,0,IF(B8="F",VLOOKUP(D8,Barem!$B$2:$C$11,2,1))),IF(G8&gt;Barem!$AC$3,0,VLOOKUP(D8,Barem!$B$12:$C$21,2,1)))</f>
        <v>3</v>
      </c>
      <c r="I8" s="16">
        <f>IF(H8=0,0,IF(B8="F",VLOOKUP(G8,Barem!$G$2:$H$11,2,1),VLOOKUP(G8,Barem!$G$12:$H$21,2,1)))</f>
        <v>1</v>
      </c>
      <c r="J8" s="75">
        <v>3</v>
      </c>
      <c r="K8" s="82" t="str">
        <f>VLOOKUP($C8,Barem!$L$2:$R$13,7,0)</f>
        <v>P</v>
      </c>
      <c r="L8" s="17">
        <f t="shared" si="5"/>
        <v>0.25</v>
      </c>
      <c r="M8" s="17">
        <f t="shared" si="1"/>
        <v>0.25</v>
      </c>
      <c r="N8" s="17">
        <f t="shared" si="1"/>
        <v>0.5</v>
      </c>
      <c r="O8" s="81">
        <f t="shared" si="6"/>
        <v>0</v>
      </c>
      <c r="P8" s="36">
        <f>IF(D8&gt;21,VLOOKUP(D8,Barem!$T$1:$U$39,2,1),0)</f>
        <v>0</v>
      </c>
      <c r="Q8" s="32">
        <f>IF(D8&lt;1.609,0,IF(B8="F",VLOOKUP(G8,Barem!$X$2:$Z$13,2,1),VLOOKUP(G8,Barem!$X$14:$Z$25,2,1)))</f>
        <v>0</v>
      </c>
      <c r="R8" s="36">
        <f>VLOOKUP(A8,Participanti!A:C,3,0)</f>
        <v>0.75</v>
      </c>
      <c r="S8" s="29">
        <f t="shared" si="7"/>
        <v>3.25</v>
      </c>
      <c r="T8" s="79">
        <v>43985</v>
      </c>
      <c r="U8" s="16">
        <f>COUNTIFS(A:A,A8,C:C,C8)</f>
        <v>1</v>
      </c>
      <c r="V8" s="34">
        <f t="shared" si="8"/>
        <v>0.27060782681099083</v>
      </c>
      <c r="W8" s="3" t="str">
        <f>VLOOKUP(A8,Data_echipe!A:O,15,0)</f>
        <v>Tenchei</v>
      </c>
      <c r="X8" s="3">
        <f t="shared" si="9"/>
        <v>1</v>
      </c>
    </row>
    <row r="9" spans="1:24">
      <c r="A9" s="74" t="s">
        <v>200</v>
      </c>
      <c r="B9" s="24" t="str">
        <f>VLOOKUP(A9,Participanti!A:B,2,0)</f>
        <v>M</v>
      </c>
      <c r="C9" s="75">
        <v>1</v>
      </c>
      <c r="D9" s="76">
        <v>15.04</v>
      </c>
      <c r="E9" s="77">
        <v>5.9085648148148151E-2</v>
      </c>
      <c r="F9" s="78">
        <v>448</v>
      </c>
      <c r="G9" s="20">
        <f t="shared" si="4"/>
        <v>3.9285670311268719E-3</v>
      </c>
      <c r="H9" s="16">
        <f>IF(B9="F",IF(G9&gt;Barem!$AC$2,0,IF(B9="F",VLOOKUP(D9,Barem!$B$2:$C$11,2,1))),IF(G9&gt;Barem!$AC$3,0,VLOOKUP(D9,Barem!$B$12:$C$21,2,1)))</f>
        <v>3.5</v>
      </c>
      <c r="I9" s="16">
        <f>IF(H9=0,0,IF(B9="F",VLOOKUP(G9,Barem!$G$2:$H$11,2,1),VLOOKUP(G9,Barem!$G$12:$H$21,2,1)))</f>
        <v>1.5</v>
      </c>
      <c r="J9" s="75">
        <v>3.5</v>
      </c>
      <c r="K9" s="82" t="str">
        <f>VLOOKUP($C9,Barem!$L$2:$R$13,7,0)</f>
        <v>P</v>
      </c>
      <c r="L9" s="17">
        <f t="shared" si="5"/>
        <v>0.25</v>
      </c>
      <c r="M9" s="17">
        <f t="shared" si="1"/>
        <v>0.25</v>
      </c>
      <c r="N9" s="17">
        <f t="shared" si="1"/>
        <v>0.5</v>
      </c>
      <c r="O9" s="81">
        <f t="shared" si="6"/>
        <v>0.29866666666666669</v>
      </c>
      <c r="P9" s="36">
        <f>IF(D9&gt;21,VLOOKUP(D9,Barem!$T$1:$U$39,2,1),0)</f>
        <v>0</v>
      </c>
      <c r="Q9" s="32">
        <f>IF(D9&lt;1.609,0,IF(B9="F",VLOOKUP(G9,Barem!$X$2:$Z$13,2,1),VLOOKUP(G9,Barem!$X$14:$Z$25,2,1)))</f>
        <v>0</v>
      </c>
      <c r="R9" s="36">
        <f>VLOOKUP(A9,Participanti!A:C,3,0)</f>
        <v>0</v>
      </c>
      <c r="S9" s="29">
        <f t="shared" si="7"/>
        <v>3.2986666666666666</v>
      </c>
      <c r="T9" s="79">
        <v>43986</v>
      </c>
      <c r="U9" s="16">
        <f>COUNTIFS(A:A,A9,C:C,C9)</f>
        <v>1</v>
      </c>
      <c r="V9" s="34">
        <f t="shared" si="8"/>
        <v>0.21932624113475177</v>
      </c>
      <c r="W9" s="3" t="str">
        <f>VLOOKUP(A9,Data_echipe!A:O,15,0)</f>
        <v xml:space="preserve"> Let it run</v>
      </c>
      <c r="X9" s="3">
        <f t="shared" si="9"/>
        <v>1</v>
      </c>
    </row>
    <row r="10" spans="1:24">
      <c r="A10" s="74" t="s">
        <v>201</v>
      </c>
      <c r="B10" s="24" t="str">
        <f>VLOOKUP(A10,Participanti!A:B,2,0)</f>
        <v>F</v>
      </c>
      <c r="C10" s="75">
        <v>1</v>
      </c>
      <c r="D10" s="76">
        <v>10.35</v>
      </c>
      <c r="E10" s="77">
        <v>6.0416666666666667E-2</v>
      </c>
      <c r="F10" s="78">
        <v>524</v>
      </c>
      <c r="G10" s="20">
        <f t="shared" si="4"/>
        <v>5.8373590982286633E-3</v>
      </c>
      <c r="H10" s="16">
        <f>IF(B10="F",IF(G10&gt;Barem!$AC$2,0,IF(B10="F",VLOOKUP(D10,Barem!$B$2:$C$11,2,1))),IF(G10&gt;Barem!$AC$3,0,VLOOKUP(D10,Barem!$B$12:$C$21,2,1)))</f>
        <v>2.5</v>
      </c>
      <c r="I10" s="16">
        <f>IF(H10=0,0,IF(B10="F",VLOOKUP(G10,Barem!$G$2:$H$11,2,1),VLOOKUP(G10,Barem!$G$12:$H$21,2,1)))</f>
        <v>1</v>
      </c>
      <c r="J10" s="75">
        <v>4</v>
      </c>
      <c r="K10" s="82" t="str">
        <f>VLOOKUP($C10,Barem!$L$2:$R$13,7,0)</f>
        <v>P</v>
      </c>
      <c r="L10" s="17">
        <f t="shared" si="5"/>
        <v>0.25</v>
      </c>
      <c r="M10" s="17">
        <f t="shared" si="1"/>
        <v>0.25</v>
      </c>
      <c r="N10" s="17">
        <f t="shared" si="1"/>
        <v>0.5</v>
      </c>
      <c r="O10" s="81">
        <f t="shared" si="6"/>
        <v>0.34933333333333333</v>
      </c>
      <c r="P10" s="36">
        <f>IF(D10&gt;21,VLOOKUP(D10,Barem!$T$1:$U$39,2,1),0)</f>
        <v>0</v>
      </c>
      <c r="Q10" s="32">
        <f>IF(D10&lt;1.609,0,IF(B10="F",VLOOKUP(G10,Barem!$X$2:$Z$13,2,1),VLOOKUP(G10,Barem!$X$14:$Z$25,2,1)))</f>
        <v>0</v>
      </c>
      <c r="R10" s="36">
        <f>VLOOKUP(A10,Participanti!A:C,3,0)</f>
        <v>0</v>
      </c>
      <c r="S10" s="29">
        <f t="shared" si="7"/>
        <v>3.2243333333333335</v>
      </c>
      <c r="T10" s="79">
        <v>43986</v>
      </c>
      <c r="U10" s="16">
        <f>COUNTIFS(A:A,A10,C:C,C10)</f>
        <v>1</v>
      </c>
      <c r="V10" s="34">
        <f t="shared" si="8"/>
        <v>0.31152979066022546</v>
      </c>
      <c r="W10" s="3" t="str">
        <f>VLOOKUP(A10,Data_echipe!A:O,15,0)</f>
        <v>X Æ A-12</v>
      </c>
      <c r="X10" s="3">
        <f t="shared" si="9"/>
        <v>1</v>
      </c>
    </row>
    <row r="11" spans="1:24">
      <c r="A11" s="74" t="s">
        <v>47</v>
      </c>
      <c r="B11" s="24" t="str">
        <f>VLOOKUP(A11,Participanti!A:B,2,0)</f>
        <v>M</v>
      </c>
      <c r="C11" s="75">
        <v>1</v>
      </c>
      <c r="D11" s="76">
        <v>21.31</v>
      </c>
      <c r="E11" s="77">
        <v>7.6400462962962962E-2</v>
      </c>
      <c r="F11" s="78">
        <v>39</v>
      </c>
      <c r="G11" s="20">
        <f t="shared" si="4"/>
        <v>3.5851930062394633E-3</v>
      </c>
      <c r="H11" s="16">
        <f>IF(B11="F",IF(G11&gt;Barem!$AC$2,0,IF(B11="F",VLOOKUP(D11,Barem!$B$2:$C$11,2,1))),IF(G11&gt;Barem!$AC$3,0,VLOOKUP(D11,Barem!$B$12:$C$21,2,1)))</f>
        <v>5</v>
      </c>
      <c r="I11" s="16">
        <f>IF(H11=0,0,IF(B11="F",VLOOKUP(G11,Barem!$G$2:$H$11,2,1),VLOOKUP(G11,Barem!$G$12:$H$21,2,1)))</f>
        <v>2.5</v>
      </c>
      <c r="J11" s="75">
        <v>4.5</v>
      </c>
      <c r="K11" s="83" t="str">
        <f>VLOOKUP($C11,Barem!$L$2:$R$13,7,0)</f>
        <v>P</v>
      </c>
      <c r="L11" s="17">
        <f t="shared" si="5"/>
        <v>0.25</v>
      </c>
      <c r="M11" s="17">
        <f t="shared" si="1"/>
        <v>0.25</v>
      </c>
      <c r="N11" s="17">
        <f t="shared" si="1"/>
        <v>0.5</v>
      </c>
      <c r="O11" s="81">
        <f t="shared" si="6"/>
        <v>0</v>
      </c>
      <c r="P11" s="36">
        <f>IF(D11&gt;21,VLOOKUP(D11,Barem!$T$1:$U$39,2,1),0)</f>
        <v>0</v>
      </c>
      <c r="Q11" s="32">
        <f>IF(D11&lt;1.609,0,IF(B11="F",VLOOKUP(G11,Barem!$X$2:$Z$13,2,1),VLOOKUP(G11,Barem!$X$14:$Z$25,2,1)))</f>
        <v>0</v>
      </c>
      <c r="R11" s="36">
        <f>VLOOKUP(A11,Participanti!A:C,3,0)</f>
        <v>0</v>
      </c>
      <c r="S11" s="29">
        <f t="shared" si="7"/>
        <v>4.125</v>
      </c>
      <c r="T11" s="79">
        <v>43986</v>
      </c>
      <c r="U11" s="16">
        <f>COUNTIFS(A:A,A11,C:C,C11)</f>
        <v>1</v>
      </c>
      <c r="V11" s="34">
        <f t="shared" si="8"/>
        <v>0.1935710933833881</v>
      </c>
      <c r="W11" s="3" t="str">
        <f>VLOOKUP(A11,Data_echipe!A:O,15,0)</f>
        <v>X Æ A-12</v>
      </c>
      <c r="X11" s="3">
        <f t="shared" si="9"/>
        <v>1</v>
      </c>
    </row>
    <row r="12" spans="1:24">
      <c r="A12" s="74" t="s">
        <v>202</v>
      </c>
      <c r="B12" s="24" t="str">
        <f>VLOOKUP(A12,Participanti!A:B,2,0)</f>
        <v>M</v>
      </c>
      <c r="C12" s="75">
        <v>1</v>
      </c>
      <c r="D12" s="76">
        <v>17.21</v>
      </c>
      <c r="E12" s="77">
        <v>8.6585648148148162E-2</v>
      </c>
      <c r="F12" s="78">
        <v>389</v>
      </c>
      <c r="G12" s="20">
        <f t="shared" si="4"/>
        <v>5.0311242387070399E-3</v>
      </c>
      <c r="H12" s="16">
        <f>IF(B12="F",IF(G12&gt;Barem!$AC$2,0,IF(B12="F",VLOOKUP(D12,Barem!$B$2:$C$11,2,1))),IF(G12&gt;Barem!$AC$3,0,VLOOKUP(D12,Barem!$B$12:$C$21,2,1)))</f>
        <v>4</v>
      </c>
      <c r="I12" s="16">
        <f>IF(H12=0,0,IF(B12="F",VLOOKUP(G12,Barem!$G$2:$H$11,2,1),VLOOKUP(G12,Barem!$G$12:$H$21,2,1)))</f>
        <v>1</v>
      </c>
      <c r="J12" s="75">
        <v>3.5</v>
      </c>
      <c r="K12" s="82" t="str">
        <f>VLOOKUP($C12,Barem!$L$2:$R$13,7,0)</f>
        <v>P</v>
      </c>
      <c r="L12" s="17">
        <f t="shared" si="5"/>
        <v>0.25</v>
      </c>
      <c r="M12" s="17">
        <f t="shared" si="1"/>
        <v>0.25</v>
      </c>
      <c r="N12" s="17">
        <f t="shared" si="1"/>
        <v>0.5</v>
      </c>
      <c r="O12" s="81">
        <f t="shared" si="6"/>
        <v>0.25933333333333336</v>
      </c>
      <c r="P12" s="36">
        <f>IF(D12&gt;21,VLOOKUP(D12,Barem!$T$1:$U$39,2,1),0)</f>
        <v>0</v>
      </c>
      <c r="Q12" s="32">
        <f>IF(D12&lt;1.609,0,IF(B12="F",VLOOKUP(G12,Barem!$X$2:$Z$13,2,1),VLOOKUP(G12,Barem!$X$14:$Z$25,2,1)))</f>
        <v>0</v>
      </c>
      <c r="R12" s="36">
        <f>VLOOKUP(A12,Participanti!A:C,3,0)</f>
        <v>0</v>
      </c>
      <c r="S12" s="29">
        <f t="shared" si="7"/>
        <v>3.2593333333333332</v>
      </c>
      <c r="T12" s="79">
        <v>43988</v>
      </c>
      <c r="U12" s="16">
        <f>COUNTIFS(A:A,A12,C:C,C12)</f>
        <v>1</v>
      </c>
      <c r="V12" s="34">
        <f t="shared" si="8"/>
        <v>0.18938601588223899</v>
      </c>
      <c r="W12" s="3" t="str">
        <f>VLOOKUP(A12,Data_echipe!A:O,15,0)</f>
        <v>X Æ A-12</v>
      </c>
      <c r="X12" s="3">
        <f t="shared" si="9"/>
        <v>1</v>
      </c>
    </row>
    <row r="13" spans="1:24">
      <c r="A13" s="74" t="s">
        <v>86</v>
      </c>
      <c r="B13" s="24" t="str">
        <f>VLOOKUP(A13,Participanti!A:B,2,0)</f>
        <v>M</v>
      </c>
      <c r="C13" s="75">
        <v>1</v>
      </c>
      <c r="D13" s="76">
        <v>5</v>
      </c>
      <c r="E13" s="77">
        <v>1.6192129629629629E-2</v>
      </c>
      <c r="F13" s="78">
        <v>19</v>
      </c>
      <c r="G13" s="20">
        <f t="shared" si="4"/>
        <v>3.2384259259259258E-3</v>
      </c>
      <c r="H13" s="16">
        <f>IF(B13="F",IF(G13&gt;Barem!$AC$2,0,IF(B13="F",VLOOKUP(D13,Barem!$B$2:$C$11,2,1))),IF(G13&gt;Barem!$AC$3,0,VLOOKUP(D13,Barem!$B$12:$C$21,2,1)))</f>
        <v>1.5</v>
      </c>
      <c r="I13" s="16">
        <f>IF(H13=0,0,IF(B13="F",VLOOKUP(G13,Barem!$G$2:$H$11,2,1),VLOOKUP(G13,Barem!$G$12:$H$21,2,1)))</f>
        <v>3.5</v>
      </c>
      <c r="J13" s="75">
        <v>2.5</v>
      </c>
      <c r="K13" s="83" t="s">
        <v>183</v>
      </c>
      <c r="L13" s="17">
        <f t="shared" si="5"/>
        <v>0.25</v>
      </c>
      <c r="M13" s="17">
        <f t="shared" si="1"/>
        <v>0.5</v>
      </c>
      <c r="N13" s="17">
        <f t="shared" si="1"/>
        <v>0.25</v>
      </c>
      <c r="O13" s="81">
        <f t="shared" si="6"/>
        <v>0</v>
      </c>
      <c r="P13" s="36">
        <f>IF(D13&gt;21,VLOOKUP(D13,Barem!$T$1:$U$39,2,1),0)</f>
        <v>0</v>
      </c>
      <c r="Q13" s="32">
        <f>IF(D13&lt;1.609,0,IF(B13="F",VLOOKUP(G13,Barem!$X$2:$Z$13,2,1),VLOOKUP(G13,Barem!$X$14:$Z$25,2,1)))</f>
        <v>0</v>
      </c>
      <c r="R13" s="36">
        <f>VLOOKUP(A13,Participanti!A:C,3,0)</f>
        <v>0</v>
      </c>
      <c r="S13" s="29">
        <f t="shared" si="7"/>
        <v>2.75</v>
      </c>
      <c r="T13" s="79">
        <v>43988</v>
      </c>
      <c r="U13" s="16">
        <f>COUNTIFS(A:A,A13,C:C,C13)</f>
        <v>1</v>
      </c>
      <c r="V13" s="34">
        <f t="shared" si="8"/>
        <v>0.55000000000000004</v>
      </c>
      <c r="W13" s="3" t="str">
        <f>VLOOKUP(A13,Data_echipe!A:O,15,0)</f>
        <v>Unicornii</v>
      </c>
      <c r="X13" s="3">
        <f t="shared" si="9"/>
        <v>1</v>
      </c>
    </row>
    <row r="14" spans="1:24">
      <c r="A14" s="74" t="s">
        <v>66</v>
      </c>
      <c r="B14" s="24" t="str">
        <f>VLOOKUP(A14,Participanti!A:B,2,0)</f>
        <v>M</v>
      </c>
      <c r="C14" s="75">
        <v>1</v>
      </c>
      <c r="D14" s="76">
        <v>4.8499999999999996</v>
      </c>
      <c r="E14" s="77">
        <v>2.1608796296296296E-2</v>
      </c>
      <c r="F14" s="78">
        <v>11</v>
      </c>
      <c r="G14" s="20">
        <f t="shared" si="4"/>
        <v>4.455421916762123E-3</v>
      </c>
      <c r="H14" s="16">
        <f>IF(B14="F",IF(G14&gt;Barem!$AC$2,0,IF(B14="F",VLOOKUP(D14,Barem!$B$2:$C$11,2,1))),IF(G14&gt;Barem!$AC$3,0,VLOOKUP(D14,Barem!$B$12:$C$21,2,1)))</f>
        <v>1</v>
      </c>
      <c r="I14" s="16">
        <f>IF(H14=0,0,IF(B14="F",VLOOKUP(G14,Barem!$G$2:$H$11,2,1),VLOOKUP(G14,Barem!$G$12:$H$21,2,1)))</f>
        <v>1</v>
      </c>
      <c r="J14" s="75">
        <v>1.5</v>
      </c>
      <c r="K14" s="82" t="str">
        <f>VLOOKUP($C14,Barem!$L$2:$R$13,7,0)</f>
        <v>P</v>
      </c>
      <c r="L14" s="17">
        <f t="shared" si="5"/>
        <v>0.25</v>
      </c>
      <c r="M14" s="17">
        <f t="shared" si="1"/>
        <v>0.25</v>
      </c>
      <c r="N14" s="17">
        <f t="shared" si="1"/>
        <v>0.5</v>
      </c>
      <c r="O14" s="81">
        <f t="shared" si="6"/>
        <v>0</v>
      </c>
      <c r="P14" s="36">
        <f>IF(D14&gt;21,VLOOKUP(D14,Barem!$T$1:$U$39,2,1),0)</f>
        <v>0</v>
      </c>
      <c r="Q14" s="32">
        <f>IF(D14&lt;1.609,0,IF(B14="F",VLOOKUP(G14,Barem!$X$2:$Z$13,2,1),VLOOKUP(G14,Barem!$X$14:$Z$25,2,1)))</f>
        <v>0</v>
      </c>
      <c r="R14" s="36">
        <f>VLOOKUP(A14,Participanti!A:C,3,0)</f>
        <v>0</v>
      </c>
      <c r="S14" s="29">
        <f t="shared" si="7"/>
        <v>1.25</v>
      </c>
      <c r="T14" s="79">
        <v>43988</v>
      </c>
      <c r="U14" s="16">
        <f>COUNTIFS(A:A,A14,C:C,C14)</f>
        <v>1</v>
      </c>
      <c r="V14" s="34">
        <f t="shared" si="8"/>
        <v>0.25773195876288663</v>
      </c>
      <c r="W14" s="3" t="str">
        <f>VLOOKUP(A14,Data_echipe!A:O,15,0)</f>
        <v>X Æ A-12</v>
      </c>
      <c r="X14" s="3">
        <f t="shared" si="9"/>
        <v>1</v>
      </c>
    </row>
    <row r="15" spans="1:24">
      <c r="A15" s="74" t="s">
        <v>53</v>
      </c>
      <c r="B15" s="24" t="str">
        <f>VLOOKUP(A15,Participanti!A:B,2,0)</f>
        <v>M</v>
      </c>
      <c r="C15" s="75">
        <v>1</v>
      </c>
      <c r="D15" s="76">
        <v>10.56</v>
      </c>
      <c r="E15" s="77">
        <v>3.3576388888888892E-2</v>
      </c>
      <c r="F15" s="78">
        <v>112</v>
      </c>
      <c r="G15" s="20">
        <f t="shared" si="4"/>
        <v>3.1795822811447813E-3</v>
      </c>
      <c r="H15" s="16">
        <f>IF(B15="F",IF(G15&gt;Barem!$AC$2,0,IF(B15="F",VLOOKUP(D15,Barem!$B$2:$C$11,2,1))),IF(G15&gt;Barem!$AC$3,0,VLOOKUP(D15,Barem!$B$12:$C$21,2,1)))</f>
        <v>2.5</v>
      </c>
      <c r="I15" s="16">
        <f>IF(H15=0,0,IF(B15="F",VLOOKUP(G15,Barem!$G$2:$H$11,2,1),VLOOKUP(G15,Barem!$G$12:$H$21,2,1)))</f>
        <v>3.5</v>
      </c>
      <c r="J15" s="75">
        <v>1</v>
      </c>
      <c r="K15" s="83" t="s">
        <v>183</v>
      </c>
      <c r="L15" s="17">
        <f t="shared" si="5"/>
        <v>0.25</v>
      </c>
      <c r="M15" s="17">
        <f t="shared" si="1"/>
        <v>0.5</v>
      </c>
      <c r="N15" s="17">
        <f t="shared" si="1"/>
        <v>0.25</v>
      </c>
      <c r="O15" s="81">
        <f t="shared" si="6"/>
        <v>7.4666666666666673E-2</v>
      </c>
      <c r="P15" s="36">
        <f>IF(D15&gt;21,VLOOKUP(D15,Barem!$T$1:$U$39,2,1),0)</f>
        <v>0</v>
      </c>
      <c r="Q15" s="32">
        <f>IF(D15&lt;1.609,0,IF(B15="F",VLOOKUP(G15,Barem!$X$2:$Z$13,2,1),VLOOKUP(G15,Barem!$X$14:$Z$25,2,1)))</f>
        <v>0</v>
      </c>
      <c r="R15" s="36">
        <f>VLOOKUP(A15,Participanti!A:C,3,0)</f>
        <v>0</v>
      </c>
      <c r="S15" s="29">
        <f t="shared" si="7"/>
        <v>2.6996666666666669</v>
      </c>
      <c r="T15" s="79">
        <v>43989</v>
      </c>
      <c r="U15" s="16">
        <f>COUNTIFS(A:A,A15,C:C,C15)</f>
        <v>1</v>
      </c>
      <c r="V15" s="34">
        <f t="shared" si="8"/>
        <v>0.25565025252525253</v>
      </c>
      <c r="W15" s="3" t="str">
        <f>VLOOKUP(A15,Data_echipe!A:O,15,0)</f>
        <v>Tenchei</v>
      </c>
      <c r="X15" s="3">
        <f t="shared" si="9"/>
        <v>1</v>
      </c>
    </row>
    <row r="16" spans="1:24">
      <c r="A16" s="74" t="s">
        <v>67</v>
      </c>
      <c r="B16" s="24" t="str">
        <f>VLOOKUP(A16,Participanti!A:B,2,0)</f>
        <v>F</v>
      </c>
      <c r="C16" s="75">
        <v>1</v>
      </c>
      <c r="D16" s="76">
        <v>10.01</v>
      </c>
      <c r="E16" s="77">
        <v>4.223379629629629E-2</v>
      </c>
      <c r="F16" s="78">
        <v>0</v>
      </c>
      <c r="G16" s="20">
        <f t="shared" si="4"/>
        <v>4.2191604691604687E-3</v>
      </c>
      <c r="H16" s="16">
        <f>IF(B16="F",IF(G16&gt;Barem!$AC$2,0,IF(B16="F",VLOOKUP(D16,Barem!$B$2:$C$11,2,1))),IF(G16&gt;Barem!$AC$3,0,VLOOKUP(D16,Barem!$B$12:$C$21,2,1)))</f>
        <v>2.5</v>
      </c>
      <c r="I16" s="16">
        <f>IF(H16=0,0,IF(B16="F",VLOOKUP(G16,Barem!$G$2:$H$11,2,1),VLOOKUP(G16,Barem!$G$12:$H$21,2,1)))</f>
        <v>1.5</v>
      </c>
      <c r="J16" s="75">
        <v>3</v>
      </c>
      <c r="K16" s="82" t="str">
        <f>VLOOKUP($C16,Barem!$L$2:$R$13,7,0)</f>
        <v>P</v>
      </c>
      <c r="L16" s="17">
        <f t="shared" si="5"/>
        <v>0.25</v>
      </c>
      <c r="M16" s="17">
        <f t="shared" si="1"/>
        <v>0.25</v>
      </c>
      <c r="N16" s="17">
        <f t="shared" si="1"/>
        <v>0.5</v>
      </c>
      <c r="O16" s="81">
        <f t="shared" si="6"/>
        <v>0</v>
      </c>
      <c r="P16" s="36">
        <f>IF(D16&gt;21,VLOOKUP(D16,Barem!$T$1:$U$39,2,1),0)</f>
        <v>0</v>
      </c>
      <c r="Q16" s="32">
        <f>IF(D16&lt;1.609,0,IF(B16="F",VLOOKUP(G16,Barem!$X$2:$Z$13,2,1),VLOOKUP(G16,Barem!$X$14:$Z$25,2,1)))</f>
        <v>0</v>
      </c>
      <c r="R16" s="36">
        <f>VLOOKUP(A16,Participanti!A:C,3,0)</f>
        <v>0</v>
      </c>
      <c r="S16" s="29">
        <f t="shared" si="7"/>
        <v>2.5</v>
      </c>
      <c r="T16" s="79">
        <v>43989</v>
      </c>
      <c r="U16" s="16">
        <f>COUNTIFS(A:A,A16,C:C,C16)</f>
        <v>1</v>
      </c>
      <c r="V16" s="34">
        <f t="shared" si="8"/>
        <v>0.24975024975024976</v>
      </c>
      <c r="W16" s="3" t="str">
        <f>VLOOKUP(A16,Data_echipe!A:O,15,0)</f>
        <v>X Æ A-12</v>
      </c>
      <c r="X16" s="3">
        <f t="shared" si="9"/>
        <v>1</v>
      </c>
    </row>
    <row r="17" spans="1:24">
      <c r="A17" s="74" t="s">
        <v>52</v>
      </c>
      <c r="B17" s="24" t="str">
        <f>VLOOKUP(A17,Participanti!A:B,2,0)</f>
        <v>M</v>
      </c>
      <c r="C17" s="75">
        <v>1</v>
      </c>
      <c r="D17" s="76">
        <v>10.62</v>
      </c>
      <c r="E17" s="77">
        <v>3.0486111111111113E-2</v>
      </c>
      <c r="F17" s="78"/>
      <c r="G17" s="20">
        <f t="shared" si="4"/>
        <v>2.8706319313663953E-3</v>
      </c>
      <c r="H17" s="16">
        <f>IF(B17="F",IF(G17&gt;Barem!$AC$2,0,IF(B17="F",VLOOKUP(D17,Barem!$B$2:$C$11,2,1))),IF(G17&gt;Barem!$AC$3,0,VLOOKUP(D17,Barem!$B$12:$C$21,2,1)))</f>
        <v>2.5</v>
      </c>
      <c r="I17" s="16">
        <f>IF(H17=0,0,IF(B17="F",VLOOKUP(G17,Barem!$G$2:$H$11,2,1),VLOOKUP(G17,Barem!$G$12:$H$21,2,1)))</f>
        <v>4.5</v>
      </c>
      <c r="J17" s="75">
        <v>2.5</v>
      </c>
      <c r="K17" s="82" t="str">
        <f>VLOOKUP($C17,Barem!$L$2:$R$13,7,0)</f>
        <v>P</v>
      </c>
      <c r="L17" s="17">
        <f t="shared" si="5"/>
        <v>0.25</v>
      </c>
      <c r="M17" s="17">
        <f t="shared" si="1"/>
        <v>0.25</v>
      </c>
      <c r="N17" s="17">
        <f t="shared" si="1"/>
        <v>0.5</v>
      </c>
      <c r="O17" s="81">
        <f t="shared" si="6"/>
        <v>0</v>
      </c>
      <c r="P17" s="36">
        <f>IF(D17&gt;21,VLOOKUP(D17,Barem!$T$1:$U$39,2,1),0)</f>
        <v>0</v>
      </c>
      <c r="Q17" s="32">
        <f>IF(D17&lt;1.609,0,IF(B17="F",VLOOKUP(G17,Barem!$X$2:$Z$13,2,1),VLOOKUP(G17,Barem!$X$14:$Z$25,2,1)))</f>
        <v>0</v>
      </c>
      <c r="R17" s="36">
        <f>VLOOKUP(A17,Participanti!A:C,3,0)</f>
        <v>0</v>
      </c>
      <c r="S17" s="29">
        <f t="shared" si="7"/>
        <v>3</v>
      </c>
      <c r="T17" s="79">
        <v>43989</v>
      </c>
      <c r="U17" s="16">
        <f>COUNTIFS(A:A,A17,C:C,C17)</f>
        <v>1</v>
      </c>
      <c r="V17" s="34">
        <f t="shared" si="8"/>
        <v>0.2824858757062147</v>
      </c>
      <c r="W17" s="3" t="str">
        <f>VLOOKUP(A17,Data_echipe!A:O,15,0)</f>
        <v xml:space="preserve"> Let it run</v>
      </c>
      <c r="X17" s="3">
        <f t="shared" si="9"/>
        <v>1</v>
      </c>
    </row>
    <row r="18" spans="1:24">
      <c r="A18" s="74" t="s">
        <v>171</v>
      </c>
      <c r="B18" s="24" t="str">
        <f>VLOOKUP(A18,Participanti!A:B,2,0)</f>
        <v>M</v>
      </c>
      <c r="C18" s="75">
        <v>1</v>
      </c>
      <c r="D18" s="76">
        <v>21.14</v>
      </c>
      <c r="E18" s="77">
        <v>7.2465277777777781E-2</v>
      </c>
      <c r="F18" s="78">
        <v>29</v>
      </c>
      <c r="G18" s="20">
        <f t="shared" si="4"/>
        <v>3.427875013139914E-3</v>
      </c>
      <c r="H18" s="16">
        <f>IF(B18="F",IF(G18&gt;Barem!$AC$2,0,IF(B18="F",VLOOKUP(D18,Barem!$B$2:$C$11,2,1))),IF(G18&gt;Barem!$AC$3,0,VLOOKUP(D18,Barem!$B$12:$C$21,2,1)))</f>
        <v>5</v>
      </c>
      <c r="I18" s="16">
        <f>IF(H18=0,0,IF(B18="F",VLOOKUP(G18,Barem!$G$2:$H$11,2,1),VLOOKUP(G18,Barem!$G$12:$H$21,2,1)))</f>
        <v>3</v>
      </c>
      <c r="J18" s="75">
        <v>2</v>
      </c>
      <c r="K18" s="83" t="s">
        <v>182</v>
      </c>
      <c r="L18" s="17">
        <f t="shared" si="5"/>
        <v>0.5</v>
      </c>
      <c r="M18" s="17">
        <f t="shared" si="5"/>
        <v>0.25</v>
      </c>
      <c r="N18" s="17">
        <f t="shared" si="5"/>
        <v>0.25</v>
      </c>
      <c r="O18" s="81">
        <f t="shared" si="6"/>
        <v>0</v>
      </c>
      <c r="P18" s="36">
        <f>IF(D18&gt;21,VLOOKUP(D18,Barem!$T$1:$U$39,2,1),0)</f>
        <v>0</v>
      </c>
      <c r="Q18" s="32">
        <f>IF(D18&lt;1.609,0,IF(B18="F",VLOOKUP(G18,Barem!$X$2:$Z$13,2,1),VLOOKUP(G18,Barem!$X$14:$Z$25,2,1)))</f>
        <v>0</v>
      </c>
      <c r="R18" s="36">
        <f>VLOOKUP(A18,Participanti!A:C,3,0)</f>
        <v>0</v>
      </c>
      <c r="S18" s="29">
        <f t="shared" si="7"/>
        <v>3.75</v>
      </c>
      <c r="T18" s="79">
        <v>43989</v>
      </c>
      <c r="U18" s="16">
        <f>COUNTIFS(A:A,A18,C:C,C18)</f>
        <v>1</v>
      </c>
      <c r="V18" s="34">
        <f t="shared" si="8"/>
        <v>0.17738883632923366</v>
      </c>
      <c r="W18" s="3" t="str">
        <f>VLOOKUP(A18,Data_echipe!A:O,15,0)</f>
        <v>X Æ A-12</v>
      </c>
      <c r="X18" s="3">
        <f t="shared" si="9"/>
        <v>1</v>
      </c>
    </row>
    <row r="19" spans="1:24">
      <c r="A19" s="74" t="s">
        <v>54</v>
      </c>
      <c r="B19" s="24" t="str">
        <f>VLOOKUP(A19,Participanti!A:B,2,0)</f>
        <v>M</v>
      </c>
      <c r="C19" s="75">
        <v>1</v>
      </c>
      <c r="D19" s="76">
        <v>24.06</v>
      </c>
      <c r="E19" s="77">
        <v>0.11653935185185187</v>
      </c>
      <c r="F19" s="78">
        <v>510</v>
      </c>
      <c r="G19" s="20">
        <f t="shared" si="4"/>
        <v>4.8436970844493712E-3</v>
      </c>
      <c r="H19" s="16">
        <f>IF(B19="F",IF(G19&gt;Barem!$AC$2,0,IF(B19="F",VLOOKUP(D19,Barem!$B$2:$C$11,2,1))),IF(G19&gt;Barem!$AC$3,0,VLOOKUP(D19,Barem!$B$12:$C$21,2,1)))</f>
        <v>5</v>
      </c>
      <c r="I19" s="16">
        <f>IF(H19=0,0,IF(B19="F",VLOOKUP(G19,Barem!$G$2:$H$11,2,1),VLOOKUP(G19,Barem!$G$12:$H$21,2,1)))</f>
        <v>1</v>
      </c>
      <c r="J19" s="75">
        <v>3.5</v>
      </c>
      <c r="K19" s="83" t="s">
        <v>182</v>
      </c>
      <c r="L19" s="17">
        <f t="shared" si="5"/>
        <v>0.5</v>
      </c>
      <c r="M19" s="17">
        <f t="shared" si="5"/>
        <v>0.25</v>
      </c>
      <c r="N19" s="17">
        <f t="shared" si="5"/>
        <v>0.25</v>
      </c>
      <c r="O19" s="81">
        <f t="shared" si="6"/>
        <v>0.34</v>
      </c>
      <c r="P19" s="36">
        <f>IF(D19&gt;21,VLOOKUP(D19,Barem!$T$1:$U$39,2,1),0)</f>
        <v>0</v>
      </c>
      <c r="Q19" s="32">
        <f>IF(D19&lt;1.609,0,IF(B19="F",VLOOKUP(G19,Barem!$X$2:$Z$13,2,1),VLOOKUP(G19,Barem!$X$14:$Z$25,2,1)))</f>
        <v>0</v>
      </c>
      <c r="R19" s="36">
        <f>VLOOKUP(A19,Participanti!A:C,3,0)</f>
        <v>0.5</v>
      </c>
      <c r="S19" s="29">
        <f t="shared" si="7"/>
        <v>4.4649999999999999</v>
      </c>
      <c r="T19" s="79">
        <v>43989</v>
      </c>
      <c r="U19" s="16">
        <f>COUNTIFS(A:A,A19,C:C,C19)</f>
        <v>1</v>
      </c>
      <c r="V19" s="34">
        <f t="shared" si="8"/>
        <v>0.18557772236076475</v>
      </c>
      <c r="W19" s="3" t="str">
        <f>VLOOKUP(A19,Data_echipe!A:O,15,0)</f>
        <v>Serioranistii</v>
      </c>
      <c r="X19" s="3">
        <f t="shared" si="9"/>
        <v>1</v>
      </c>
    </row>
    <row r="20" spans="1:24">
      <c r="A20" s="74" t="s">
        <v>59</v>
      </c>
      <c r="B20" s="24" t="str">
        <f>VLOOKUP(A20,Participanti!A:B,2,0)</f>
        <v>M</v>
      </c>
      <c r="C20" s="75">
        <v>1</v>
      </c>
      <c r="D20" s="76">
        <v>4.18</v>
      </c>
      <c r="E20" s="77">
        <v>2.0798611111111111E-2</v>
      </c>
      <c r="F20" s="78">
        <v>0</v>
      </c>
      <c r="G20" s="20">
        <f t="shared" si="4"/>
        <v>4.9757442849548113E-3</v>
      </c>
      <c r="H20" s="16">
        <f>IF(B20="F",IF(G20&gt;Barem!$AC$2,0,IF(B20="F",VLOOKUP(D20,Barem!$B$2:$C$11,2,1))),IF(G20&gt;Barem!$AC$3,0,VLOOKUP(D20,Barem!$B$12:$C$21,2,1)))</f>
        <v>1</v>
      </c>
      <c r="I20" s="16">
        <f>IF(H20=0,0,IF(B20="F",VLOOKUP(G20,Barem!$G$2:$H$11,2,1),VLOOKUP(G20,Barem!$G$12:$H$21,2,1)))</f>
        <v>1</v>
      </c>
      <c r="J20" s="75">
        <v>4</v>
      </c>
      <c r="K20" s="82" t="str">
        <f>VLOOKUP($C20,Barem!$L$2:$R$13,7,0)</f>
        <v>P</v>
      </c>
      <c r="L20" s="17">
        <f t="shared" si="5"/>
        <v>0.25</v>
      </c>
      <c r="M20" s="17">
        <f t="shared" si="5"/>
        <v>0.25</v>
      </c>
      <c r="N20" s="17">
        <f t="shared" si="5"/>
        <v>0.5</v>
      </c>
      <c r="O20" s="81">
        <f t="shared" si="6"/>
        <v>0</v>
      </c>
      <c r="P20" s="36">
        <f>IF(D20&gt;21,VLOOKUP(D20,Barem!$T$1:$U$39,2,1),0)</f>
        <v>0</v>
      </c>
      <c r="Q20" s="32">
        <f>IF(D20&lt;1.609,0,IF(B20="F",VLOOKUP(G20,Barem!$X$2:$Z$13,2,1),VLOOKUP(G20,Barem!$X$14:$Z$25,2,1)))</f>
        <v>0</v>
      </c>
      <c r="R20" s="36">
        <f>VLOOKUP(A20,Participanti!A:C,3,0)</f>
        <v>0</v>
      </c>
      <c r="S20" s="29">
        <f t="shared" si="7"/>
        <v>2.5</v>
      </c>
      <c r="T20" s="79">
        <v>43989</v>
      </c>
      <c r="U20" s="16">
        <f>COUNTIFS(A:A,A20,C:C,C20)</f>
        <v>1</v>
      </c>
      <c r="V20" s="34">
        <f t="shared" si="8"/>
        <v>0.59808612440191389</v>
      </c>
      <c r="W20" s="3" t="str">
        <f>VLOOKUP(A20,Data_echipe!A:O,15,0)</f>
        <v>Tenchei</v>
      </c>
      <c r="X20" s="3">
        <f t="shared" si="9"/>
        <v>1</v>
      </c>
    </row>
    <row r="21" spans="1:24">
      <c r="A21" s="74" t="s">
        <v>68</v>
      </c>
      <c r="B21" s="24" t="str">
        <f>VLOOKUP(A21,Participanti!A:B,2,0)</f>
        <v>M</v>
      </c>
      <c r="C21" s="75">
        <v>1</v>
      </c>
      <c r="D21" s="76">
        <v>10.74</v>
      </c>
      <c r="E21" s="77">
        <v>4.0046296296296295E-2</v>
      </c>
      <c r="F21" s="78">
        <v>54</v>
      </c>
      <c r="G21" s="20">
        <f t="shared" si="4"/>
        <v>3.7287054279605486E-3</v>
      </c>
      <c r="H21" s="16">
        <f>IF(B21="F",IF(G21&gt;Barem!$AC$2,0,IF(B21="F",VLOOKUP(D21,Barem!$B$2:$C$11,2,1))),IF(G21&gt;Barem!$AC$3,0,VLOOKUP(D21,Barem!$B$12:$C$21,2,1)))</f>
        <v>2.5</v>
      </c>
      <c r="I21" s="16">
        <f>IF(H21=0,0,IF(B21="F",VLOOKUP(G21,Barem!$G$2:$H$11,2,1),VLOOKUP(G21,Barem!$G$12:$H$21,2,1)))</f>
        <v>2</v>
      </c>
      <c r="J21" s="75">
        <v>3</v>
      </c>
      <c r="K21" s="82" t="str">
        <f>VLOOKUP($C21,Barem!$L$2:$R$13,7,0)</f>
        <v>P</v>
      </c>
      <c r="L21" s="17">
        <f t="shared" si="5"/>
        <v>0.25</v>
      </c>
      <c r="M21" s="17">
        <f t="shared" si="5"/>
        <v>0.25</v>
      </c>
      <c r="N21" s="17">
        <f t="shared" si="5"/>
        <v>0.5</v>
      </c>
      <c r="O21" s="81">
        <f t="shared" si="6"/>
        <v>0</v>
      </c>
      <c r="P21" s="36">
        <f>IF(D21&gt;21,VLOOKUP(D21,Barem!$T$1:$U$39,2,1),0)</f>
        <v>0</v>
      </c>
      <c r="Q21" s="32">
        <f>IF(D21&lt;1.609,0,IF(B21="F",VLOOKUP(G21,Barem!$X$2:$Z$13,2,1),VLOOKUP(G21,Barem!$X$14:$Z$25,2,1)))</f>
        <v>0</v>
      </c>
      <c r="R21" s="36">
        <f>VLOOKUP(A21,Participanti!A:C,3,0)</f>
        <v>0</v>
      </c>
      <c r="S21" s="29">
        <f t="shared" si="7"/>
        <v>2.625</v>
      </c>
      <c r="T21" s="79">
        <v>43989</v>
      </c>
      <c r="U21" s="16">
        <f>COUNTIFS(A:A,A21,C:C,C21)</f>
        <v>1</v>
      </c>
      <c r="V21" s="34">
        <f t="shared" si="8"/>
        <v>0.24441340782122906</v>
      </c>
      <c r="W21" s="3" t="str">
        <f>VLOOKUP(A21,Data_echipe!A:O,15,0)</f>
        <v>Unicornii</v>
      </c>
      <c r="X21" s="3">
        <f t="shared" si="9"/>
        <v>1</v>
      </c>
    </row>
    <row r="22" spans="1:24">
      <c r="A22" s="74" t="s">
        <v>203</v>
      </c>
      <c r="B22" s="24" t="str">
        <f>VLOOKUP(A22,Participanti!A:B,2,0)</f>
        <v>M</v>
      </c>
      <c r="C22" s="75">
        <v>1</v>
      </c>
      <c r="D22" s="76">
        <v>30.06</v>
      </c>
      <c r="E22" s="77">
        <v>0.12355324074074074</v>
      </c>
      <c r="F22" s="78">
        <v>954</v>
      </c>
      <c r="G22" s="20">
        <f t="shared" si="4"/>
        <v>4.1102209161923073E-3</v>
      </c>
      <c r="H22" s="16">
        <f>IF(B22="F",IF(G22&gt;Barem!$AC$2,0,IF(B22="F",VLOOKUP(D22,Barem!$B$2:$C$11,2,1))),IF(G22&gt;Barem!$AC$3,0,VLOOKUP(D22,Barem!$B$12:$C$21,2,1)))</f>
        <v>5</v>
      </c>
      <c r="I22" s="16">
        <f>IF(H22=0,0,IF(B22="F",VLOOKUP(G22,Barem!$G$2:$H$11,2,1),VLOOKUP(G22,Barem!$G$12:$H$21,2,1)))</f>
        <v>1.5</v>
      </c>
      <c r="J22" s="75">
        <v>3</v>
      </c>
      <c r="K22" s="82" t="str">
        <f>VLOOKUP($C22,Barem!$L$2:$R$13,7,0)</f>
        <v>P</v>
      </c>
      <c r="L22" s="17">
        <f t="shared" si="5"/>
        <v>0.25</v>
      </c>
      <c r="M22" s="17">
        <f t="shared" si="5"/>
        <v>0.25</v>
      </c>
      <c r="N22" s="17">
        <f t="shared" si="5"/>
        <v>0.5</v>
      </c>
      <c r="O22" s="81">
        <f t="shared" si="6"/>
        <v>0.63600000000000001</v>
      </c>
      <c r="P22" s="36">
        <f>IF(D22&gt;21,VLOOKUP(D22,Barem!$T$1:$U$39,2,1),0)</f>
        <v>0.1</v>
      </c>
      <c r="Q22" s="32">
        <f>IF(D22&lt;1.609,0,IF(B22="F",VLOOKUP(G22,Barem!$X$2:$Z$13,2,1),VLOOKUP(G22,Barem!$X$14:$Z$25,2,1)))</f>
        <v>0</v>
      </c>
      <c r="R22" s="36">
        <f>VLOOKUP(A22,Participanti!A:C,3,0)</f>
        <v>0</v>
      </c>
      <c r="S22" s="29">
        <f t="shared" si="7"/>
        <v>3.8610000000000002</v>
      </c>
      <c r="T22" s="79">
        <v>43989</v>
      </c>
      <c r="U22" s="16">
        <f>COUNTIFS(A:A,A22,C:C,C22)</f>
        <v>1</v>
      </c>
      <c r="V22" s="34">
        <f t="shared" si="8"/>
        <v>0.1284431137724551</v>
      </c>
      <c r="W22" s="3" t="str">
        <f>VLOOKUP(A22,Data_echipe!A:O,15,0)</f>
        <v>Tenchei</v>
      </c>
      <c r="X22" s="3">
        <f t="shared" si="9"/>
        <v>1</v>
      </c>
    </row>
    <row r="23" spans="1:24">
      <c r="A23" s="74" t="s">
        <v>55</v>
      </c>
      <c r="B23" s="24" t="str">
        <f>VLOOKUP(A23,Participanti!A:B,2,0)</f>
        <v>M</v>
      </c>
      <c r="C23" s="75">
        <v>1</v>
      </c>
      <c r="D23" s="76">
        <v>55.04</v>
      </c>
      <c r="E23" s="77">
        <v>0.41827546296296297</v>
      </c>
      <c r="F23" s="78">
        <v>2022</v>
      </c>
      <c r="G23" s="20">
        <f t="shared" si="4"/>
        <v>7.5994815218561589E-3</v>
      </c>
      <c r="H23" s="16">
        <f>IF(B23="F",IF(G23&gt;Barem!$AC$2,0,IF(B23="F",VLOOKUP(D23,Barem!$B$2:$C$11,2,1))),IF(G23&gt;Barem!$AC$3,0,VLOOKUP(D23,Barem!$B$12:$C$21,2,1)))</f>
        <v>5</v>
      </c>
      <c r="I23" s="16">
        <f>IF(H23=0,0,IF(B23="F",VLOOKUP(G23,Barem!$G$2:$H$11,2,1),VLOOKUP(G23,Barem!$G$12:$H$21,2,1)))</f>
        <v>0</v>
      </c>
      <c r="J23" s="75">
        <v>4.5</v>
      </c>
      <c r="K23" s="82" t="str">
        <f>VLOOKUP($C23,Barem!$L$2:$R$13,7,0)</f>
        <v>P</v>
      </c>
      <c r="L23" s="17">
        <f t="shared" si="5"/>
        <v>0.25</v>
      </c>
      <c r="M23" s="17">
        <f t="shared" si="5"/>
        <v>0.25</v>
      </c>
      <c r="N23" s="17">
        <f t="shared" si="5"/>
        <v>0.5</v>
      </c>
      <c r="O23" s="81">
        <f t="shared" si="6"/>
        <v>1.3480000000000001</v>
      </c>
      <c r="P23" s="36">
        <f>IF(D23&gt;21,VLOOKUP(D23,Barem!$T$1:$U$39,2,1),0)</f>
        <v>0.6</v>
      </c>
      <c r="Q23" s="32">
        <f>IF(D23&lt;1.609,0,IF(B23="F",VLOOKUP(G23,Barem!$X$2:$Z$13,2,1),VLOOKUP(G23,Barem!$X$14:$Z$25,2,1)))</f>
        <v>0</v>
      </c>
      <c r="R23" s="36">
        <f>VLOOKUP(A23,Participanti!A:C,3,0)</f>
        <v>0</v>
      </c>
      <c r="S23" s="29">
        <f t="shared" si="7"/>
        <v>5.4479999999999995</v>
      </c>
      <c r="T23" s="79">
        <v>43987</v>
      </c>
      <c r="U23" s="16">
        <f>COUNTIFS(A:A,A23,C:C,C23)</f>
        <v>1</v>
      </c>
      <c r="V23" s="34">
        <f t="shared" si="8"/>
        <v>9.8982558139534882E-2</v>
      </c>
      <c r="W23" s="3" t="str">
        <f>VLOOKUP(A23,Data_echipe!A:O,15,0)</f>
        <v>Serioranistii</v>
      </c>
      <c r="X23" s="3">
        <f t="shared" si="9"/>
        <v>0</v>
      </c>
    </row>
    <row r="24" spans="1:24">
      <c r="A24" s="74" t="s">
        <v>205</v>
      </c>
      <c r="B24" s="24" t="str">
        <f>VLOOKUP(A24,Participanti!A:B,2,0)</f>
        <v>M</v>
      </c>
      <c r="C24" s="75">
        <v>1</v>
      </c>
      <c r="D24" s="76">
        <v>34.020000000000003</v>
      </c>
      <c r="E24" s="77">
        <v>0.13442129629629629</v>
      </c>
      <c r="F24" s="78">
        <v>991</v>
      </c>
      <c r="G24" s="20">
        <f t="shared" si="4"/>
        <v>3.9512432773749643E-3</v>
      </c>
      <c r="H24" s="16">
        <f>IF(B24="F",IF(G24&gt;Barem!$AC$2,0,IF(B24="F",VLOOKUP(D24,Barem!$B$2:$C$11,2,1))),IF(G24&gt;Barem!$AC$3,0,VLOOKUP(D24,Barem!$B$12:$C$21,2,1)))</f>
        <v>5</v>
      </c>
      <c r="I24" s="16">
        <f>IF(H24=0,0,IF(B24="F",VLOOKUP(G24,Barem!$G$2:$H$11,2,1),VLOOKUP(G24,Barem!$G$12:$H$21,2,1)))</f>
        <v>1.5</v>
      </c>
      <c r="J24" s="75">
        <v>3.5</v>
      </c>
      <c r="K24" s="83" t="s">
        <v>182</v>
      </c>
      <c r="L24" s="17">
        <f t="shared" si="5"/>
        <v>0.5</v>
      </c>
      <c r="M24" s="17">
        <f t="shared" si="5"/>
        <v>0.25</v>
      </c>
      <c r="N24" s="17">
        <f t="shared" si="5"/>
        <v>0.25</v>
      </c>
      <c r="O24" s="81">
        <f t="shared" si="6"/>
        <v>0.66066666666666662</v>
      </c>
      <c r="P24" s="36">
        <f>IF(D24&gt;21,VLOOKUP(D24,Barem!$T$1:$U$39,2,1),0)</f>
        <v>0.2</v>
      </c>
      <c r="Q24" s="32">
        <f>IF(D24&lt;1.609,0,IF(B24="F",VLOOKUP(G24,Barem!$X$2:$Z$13,2,1),VLOOKUP(G24,Barem!$X$14:$Z$25,2,1)))</f>
        <v>0</v>
      </c>
      <c r="R24" s="36">
        <f>VLOOKUP(A24,Participanti!A:C,3,0)</f>
        <v>0</v>
      </c>
      <c r="S24" s="29">
        <f t="shared" si="7"/>
        <v>4.6106666666666669</v>
      </c>
      <c r="T24" s="79">
        <v>43989</v>
      </c>
      <c r="U24" s="16">
        <f>COUNTIFS(A:A,A24,C:C,C24)</f>
        <v>1</v>
      </c>
      <c r="V24" s="34">
        <f t="shared" si="8"/>
        <v>0.13552812071330589</v>
      </c>
      <c r="W24" s="3" t="str">
        <f>VLOOKUP(A24,Data_echipe!A:O,15,0)</f>
        <v>Serioranistii</v>
      </c>
      <c r="X24" s="3">
        <f t="shared" si="9"/>
        <v>1</v>
      </c>
    </row>
    <row r="25" spans="1:24">
      <c r="A25" s="74" t="s">
        <v>169</v>
      </c>
      <c r="B25" s="24" t="str">
        <f>VLOOKUP(A25,Participanti!A:B,2,0)</f>
        <v>F</v>
      </c>
      <c r="C25" s="75">
        <v>1</v>
      </c>
      <c r="D25" s="76">
        <v>10</v>
      </c>
      <c r="E25" s="77">
        <v>5.5798611111111111E-2</v>
      </c>
      <c r="F25" s="78">
        <v>42</v>
      </c>
      <c r="G25" s="20">
        <f t="shared" si="4"/>
        <v>5.579861111111111E-3</v>
      </c>
      <c r="H25" s="16">
        <f>IF(B25="F",IF(G25&gt;Barem!$AC$2,0,IF(B25="F",VLOOKUP(D25,Barem!$B$2:$C$11,2,1))),IF(G25&gt;Barem!$AC$3,0,VLOOKUP(D25,Barem!$B$12:$C$21,2,1)))</f>
        <v>2.5</v>
      </c>
      <c r="I25" s="16">
        <f>IF(H25=0,0,IF(B25="F",VLOOKUP(G25,Barem!$G$2:$H$11,2,1),VLOOKUP(G25,Barem!$G$12:$H$21,2,1)))</f>
        <v>1</v>
      </c>
      <c r="J25" s="75">
        <v>2.5</v>
      </c>
      <c r="K25" s="82" t="str">
        <f>VLOOKUP($C25,Barem!$L$2:$R$13,7,0)</f>
        <v>P</v>
      </c>
      <c r="L25" s="17">
        <f t="shared" si="5"/>
        <v>0.25</v>
      </c>
      <c r="M25" s="17">
        <f t="shared" si="5"/>
        <v>0.25</v>
      </c>
      <c r="N25" s="17">
        <f t="shared" si="5"/>
        <v>0.5</v>
      </c>
      <c r="O25" s="81">
        <f t="shared" si="6"/>
        <v>0</v>
      </c>
      <c r="P25" s="36">
        <f>IF(D25&gt;21,VLOOKUP(D25,Barem!$T$1:$U$39,2,1),0)</f>
        <v>0</v>
      </c>
      <c r="Q25" s="32">
        <f>IF(D25&lt;1.609,0,IF(B25="F",VLOOKUP(G25,Barem!$X$2:$Z$13,2,1),VLOOKUP(G25,Barem!$X$14:$Z$25,2,1)))</f>
        <v>0</v>
      </c>
      <c r="R25" s="36">
        <f>VLOOKUP(A25,Participanti!A:C,3,0)</f>
        <v>0.5</v>
      </c>
      <c r="S25" s="29">
        <f t="shared" si="7"/>
        <v>2.625</v>
      </c>
      <c r="T25" s="79">
        <v>43986</v>
      </c>
      <c r="U25" s="16">
        <f>COUNTIFS(A:A,A25,C:C,C25)</f>
        <v>1</v>
      </c>
      <c r="V25" s="34">
        <f t="shared" si="8"/>
        <v>0.26250000000000001</v>
      </c>
      <c r="W25" s="3" t="str">
        <f>VLOOKUP(A25,Data_echipe!A:O,15,0)</f>
        <v>Serioranistii</v>
      </c>
      <c r="X25" s="3">
        <f t="shared" si="9"/>
        <v>1</v>
      </c>
    </row>
    <row r="26" spans="1:24">
      <c r="A26" s="74" t="s">
        <v>204</v>
      </c>
      <c r="B26" s="24" t="str">
        <f>VLOOKUP(A26,Participanti!A:B,2,0)</f>
        <v>M</v>
      </c>
      <c r="C26" s="75">
        <v>1</v>
      </c>
      <c r="D26" s="76">
        <v>43.52</v>
      </c>
      <c r="E26" s="77">
        <v>0.16567129629629629</v>
      </c>
      <c r="F26" s="78">
        <v>1296</v>
      </c>
      <c r="G26" s="20">
        <f t="shared" si="4"/>
        <v>3.8067853009259253E-3</v>
      </c>
      <c r="H26" s="16">
        <f>IF(B26="F",IF(G26&gt;Barem!$AC$2,0,IF(B26="F",VLOOKUP(D26,Barem!$B$2:$C$11,2,1))),IF(G26&gt;Barem!$AC$3,0,VLOOKUP(D26,Barem!$B$12:$C$21,2,1)))</f>
        <v>5</v>
      </c>
      <c r="I26" s="16">
        <f>IF(H26=0,0,IF(B26="F",VLOOKUP(G26,Barem!$G$2:$H$11,2,1),VLOOKUP(G26,Barem!$G$12:$H$21,2,1)))</f>
        <v>2</v>
      </c>
      <c r="J26" s="75">
        <v>3.5</v>
      </c>
      <c r="K26" s="83" t="s">
        <v>182</v>
      </c>
      <c r="L26" s="17">
        <f t="shared" si="5"/>
        <v>0.5</v>
      </c>
      <c r="M26" s="17">
        <f t="shared" si="5"/>
        <v>0.25</v>
      </c>
      <c r="N26" s="17">
        <f t="shared" si="5"/>
        <v>0.25</v>
      </c>
      <c r="O26" s="81">
        <f t="shared" si="6"/>
        <v>0.86399999999999999</v>
      </c>
      <c r="P26" s="36">
        <f>IF(D26&gt;21,VLOOKUP(D26,Barem!$T$1:$U$39,2,1),0)</f>
        <v>0.4</v>
      </c>
      <c r="Q26" s="32">
        <f>IF(D26&lt;1.609,0,IF(B26="F",VLOOKUP(G26,Barem!$X$2:$Z$13,2,1),VLOOKUP(G26,Barem!$X$14:$Z$25,2,1)))</f>
        <v>0</v>
      </c>
      <c r="R26" s="36">
        <f>VLOOKUP(A26,Participanti!A:C,3,0)</f>
        <v>0</v>
      </c>
      <c r="S26" s="29">
        <f t="shared" si="7"/>
        <v>5.1390000000000002</v>
      </c>
      <c r="T26" s="79">
        <v>43989</v>
      </c>
      <c r="U26" s="16">
        <f>COUNTIFS(A:A,A26,C:C,C26)</f>
        <v>1</v>
      </c>
      <c r="V26" s="34">
        <f t="shared" si="8"/>
        <v>0.11808363970588236</v>
      </c>
      <c r="W26" s="3" t="str">
        <f>VLOOKUP(A26,Data_echipe!A:O,15,0)</f>
        <v>Unicornii</v>
      </c>
      <c r="X26" s="3">
        <f t="shared" si="9"/>
        <v>1</v>
      </c>
    </row>
    <row r="27" spans="1:24">
      <c r="A27" s="74" t="s">
        <v>57</v>
      </c>
      <c r="B27" s="24" t="str">
        <f>VLOOKUP(A27,Participanti!A:B,2,0)</f>
        <v>M</v>
      </c>
      <c r="C27" s="75">
        <v>1</v>
      </c>
      <c r="D27" s="76">
        <v>35.020000000000003</v>
      </c>
      <c r="E27" s="77">
        <v>0.12162037037037036</v>
      </c>
      <c r="F27" s="78">
        <v>845</v>
      </c>
      <c r="G27" s="20">
        <f t="shared" si="4"/>
        <v>3.4728832201704842E-3</v>
      </c>
      <c r="H27" s="16">
        <f>IF(B27="F",IF(G27&gt;Barem!$AC$2,0,IF(B27="F",VLOOKUP(D27,Barem!$B$2:$C$11,2,1))),IF(G27&gt;Barem!$AC$3,0,VLOOKUP(D27,Barem!$B$12:$C$21,2,1)))</f>
        <v>5</v>
      </c>
      <c r="I27" s="16">
        <f>IF(H27=0,0,IF(B27="F",VLOOKUP(G27,Barem!$G$2:$H$11,2,1),VLOOKUP(G27,Barem!$G$12:$H$21,2,1)))</f>
        <v>3</v>
      </c>
      <c r="J27" s="75">
        <v>4</v>
      </c>
      <c r="K27" s="82" t="str">
        <f>VLOOKUP($C27,Barem!$L$2:$R$13,7,0)</f>
        <v>P</v>
      </c>
      <c r="L27" s="17">
        <f t="shared" si="5"/>
        <v>0.25</v>
      </c>
      <c r="M27" s="17">
        <f t="shared" si="5"/>
        <v>0.25</v>
      </c>
      <c r="N27" s="17">
        <f t="shared" si="5"/>
        <v>0.5</v>
      </c>
      <c r="O27" s="81">
        <f t="shared" si="6"/>
        <v>0.56333333333333335</v>
      </c>
      <c r="P27" s="36">
        <f>IF(D27&gt;21,VLOOKUP(D27,Barem!$T$1:$U$39,2,1),0)</f>
        <v>0.2</v>
      </c>
      <c r="Q27" s="32">
        <f>IF(D27&lt;1.609,0,IF(B27="F",VLOOKUP(G27,Barem!$X$2:$Z$13,2,1),VLOOKUP(G27,Barem!$X$14:$Z$25,2,1)))</f>
        <v>0</v>
      </c>
      <c r="R27" s="36">
        <f>VLOOKUP(A27,Participanti!A:C,3,0)</f>
        <v>0</v>
      </c>
      <c r="S27" s="29">
        <f t="shared" si="7"/>
        <v>4.7633333333333336</v>
      </c>
      <c r="T27" s="79">
        <v>43989</v>
      </c>
      <c r="U27" s="16">
        <f>COUNTIFS(A:A,A27,C:C,C27)</f>
        <v>1</v>
      </c>
      <c r="V27" s="34">
        <f t="shared" si="8"/>
        <v>0.13601751380163715</v>
      </c>
      <c r="W27" s="3" t="str">
        <f>VLOOKUP(A27,Data_echipe!A:O,15,0)</f>
        <v>Tenchei</v>
      </c>
      <c r="X27" s="3">
        <f t="shared" si="9"/>
        <v>1</v>
      </c>
    </row>
    <row r="28" spans="1:24">
      <c r="A28" s="74" t="s">
        <v>50</v>
      </c>
      <c r="B28" s="24" t="str">
        <f>VLOOKUP(A28,Participanti!A:B,2,0)</f>
        <v>F</v>
      </c>
      <c r="C28" s="75">
        <v>1</v>
      </c>
      <c r="D28" s="76">
        <v>10.62</v>
      </c>
      <c r="E28" s="77">
        <v>4.9421296296296297E-2</v>
      </c>
      <c r="F28" s="78">
        <v>0</v>
      </c>
      <c r="G28" s="20">
        <f t="shared" si="4"/>
        <v>4.6536060542651881E-3</v>
      </c>
      <c r="H28" s="16">
        <f>IF(B28="F",IF(G28&gt;Barem!$AC$2,0,IF(B28="F",VLOOKUP(D28,Barem!$B$2:$C$11,2,1))),IF(G28&gt;Barem!$AC$3,0,VLOOKUP(D28,Barem!$B$12:$C$21,2,1)))</f>
        <v>2.5</v>
      </c>
      <c r="I28" s="16">
        <f>IF(H28=0,0,IF(B28="F",VLOOKUP(G28,Barem!$G$2:$H$11,2,1),VLOOKUP(G28,Barem!$G$12:$H$21,2,1)))</f>
        <v>1</v>
      </c>
      <c r="J28" s="75">
        <v>3</v>
      </c>
      <c r="K28" s="83" t="s">
        <v>182</v>
      </c>
      <c r="L28" s="17">
        <f t="shared" si="5"/>
        <v>0.5</v>
      </c>
      <c r="M28" s="17">
        <f t="shared" si="5"/>
        <v>0.25</v>
      </c>
      <c r="N28" s="17">
        <f t="shared" si="5"/>
        <v>0.25</v>
      </c>
      <c r="O28" s="81">
        <f t="shared" si="6"/>
        <v>0</v>
      </c>
      <c r="P28" s="36">
        <f>IF(D28&gt;21,VLOOKUP(D28,Barem!$T$1:$U$39,2,1),0)</f>
        <v>0</v>
      </c>
      <c r="Q28" s="32">
        <f>IF(D28&lt;1.609,0,IF(B28="F",VLOOKUP(G28,Barem!$X$2:$Z$13,2,1),VLOOKUP(G28,Barem!$X$14:$Z$25,2,1)))</f>
        <v>0</v>
      </c>
      <c r="R28" s="36">
        <f>VLOOKUP(A28,Participanti!A:C,3,0)</f>
        <v>0</v>
      </c>
      <c r="S28" s="29">
        <f t="shared" si="7"/>
        <v>2.25</v>
      </c>
      <c r="T28" s="79">
        <v>43989</v>
      </c>
      <c r="U28" s="16">
        <f>COUNTIFS(A:A,A28,C:C,C28)</f>
        <v>1</v>
      </c>
      <c r="V28" s="34">
        <f t="shared" si="8"/>
        <v>0.21186440677966104</v>
      </c>
      <c r="W28" s="3" t="str">
        <f>VLOOKUP(A28,Data_echipe!A:O,15,0)</f>
        <v>Serioranistii</v>
      </c>
      <c r="X28" s="3">
        <f t="shared" si="9"/>
        <v>1</v>
      </c>
    </row>
    <row r="29" spans="1:24">
      <c r="A29" s="74" t="s">
        <v>64</v>
      </c>
      <c r="B29" s="24" t="str">
        <f>VLOOKUP(A29,Participanti!A:B,2,0)</f>
        <v>M</v>
      </c>
      <c r="C29" s="75">
        <v>1</v>
      </c>
      <c r="D29" s="76">
        <v>15.03</v>
      </c>
      <c r="E29" s="77">
        <v>6.40162037037037E-2</v>
      </c>
      <c r="F29" s="78">
        <v>23</v>
      </c>
      <c r="G29" s="20">
        <f t="shared" ref="G29:G37" si="10">E29/D29</f>
        <v>4.2592284566669129E-3</v>
      </c>
      <c r="H29" s="16">
        <f>IF(B29="F",IF(G29&gt;Barem!$AC$2,0,IF(B29="F",VLOOKUP(D29,Barem!$B$2:$C$11,2,1))),IF(G29&gt;Barem!$AC$3,0,VLOOKUP(D29,Barem!$B$12:$C$21,2,1)))</f>
        <v>3.5</v>
      </c>
      <c r="I29" s="16">
        <f>IF(H29=0,0,IF(B29="F",VLOOKUP(G29,Barem!$G$2:$H$11,2,1),VLOOKUP(G29,Barem!$G$12:$H$21,2,1)))</f>
        <v>1</v>
      </c>
      <c r="J29" s="75">
        <v>3.5</v>
      </c>
      <c r="K29" s="82" t="str">
        <f>VLOOKUP($C29,Barem!$L$2:$R$13,7,0)</f>
        <v>P</v>
      </c>
      <c r="L29" s="17">
        <f t="shared" si="5"/>
        <v>0.25</v>
      </c>
      <c r="M29" s="17">
        <f t="shared" si="5"/>
        <v>0.25</v>
      </c>
      <c r="N29" s="17">
        <f t="shared" si="5"/>
        <v>0.5</v>
      </c>
      <c r="O29" s="81">
        <f t="shared" ref="O29:O37" si="11">IF(F29&lt;-49,F29/1500,IF(F29&gt;99,F29/1500,0))</f>
        <v>0</v>
      </c>
      <c r="P29" s="36">
        <f>IF(D29&gt;21,VLOOKUP(D29,Barem!$T$1:$U$39,2,1),0)</f>
        <v>0</v>
      </c>
      <c r="Q29" s="32">
        <f>IF(D29&lt;1.609,0,IF(B29="F",VLOOKUP(G29,Barem!$X$2:$Z$13,2,1),VLOOKUP(G29,Barem!$X$14:$Z$25,2,1)))</f>
        <v>0</v>
      </c>
      <c r="R29" s="36">
        <f>VLOOKUP(A29,Participanti!A:C,3,0)</f>
        <v>0</v>
      </c>
      <c r="S29" s="29">
        <f t="shared" ref="S29:S37" si="12">H29*L29+I29*M29+J29*N29+O29+P29+Q29+R29</f>
        <v>2.875</v>
      </c>
      <c r="T29" s="79">
        <v>43984</v>
      </c>
      <c r="U29" s="16">
        <f>COUNTIFS(A:A,A29,C:C,C29)</f>
        <v>1</v>
      </c>
      <c r="V29" s="34">
        <f t="shared" ref="V29:V36" si="13">S29/D29</f>
        <v>0.19128409846972722</v>
      </c>
      <c r="W29" s="3" t="str">
        <f>VLOOKUP(A29,Data_echipe!A:O,15,0)</f>
        <v xml:space="preserve"> Let it run</v>
      </c>
      <c r="X29" s="3">
        <f t="shared" si="9"/>
        <v>1</v>
      </c>
    </row>
    <row r="30" spans="1:24">
      <c r="A30" s="74" t="s">
        <v>82</v>
      </c>
      <c r="B30" s="24" t="str">
        <f>VLOOKUP(A30,Participanti!A:B,2,0)</f>
        <v>M</v>
      </c>
      <c r="C30" s="75">
        <v>1</v>
      </c>
      <c r="D30" s="76">
        <v>10.02</v>
      </c>
      <c r="E30" s="77">
        <v>3.2372685185185185E-2</v>
      </c>
      <c r="F30" s="78">
        <v>34</v>
      </c>
      <c r="G30" s="20">
        <f t="shared" si="10"/>
        <v>3.2308069047091003E-3</v>
      </c>
      <c r="H30" s="16">
        <f>IF(B30="F",IF(G30&gt;Barem!$AC$2,0,IF(B30="F",VLOOKUP(D30,Barem!$B$2:$C$11,2,1))),IF(G30&gt;Barem!$AC$3,0,VLOOKUP(D30,Barem!$B$12:$C$21,2,1)))</f>
        <v>2.5</v>
      </c>
      <c r="I30" s="16">
        <f>IF(H30=0,0,IF(B30="F",VLOOKUP(G30,Barem!$G$2:$H$11,2,1),VLOOKUP(G30,Barem!$G$12:$H$21,2,1)))</f>
        <v>3.5</v>
      </c>
      <c r="J30" s="75">
        <v>4.5</v>
      </c>
      <c r="K30" s="83" t="s">
        <v>183</v>
      </c>
      <c r="L30" s="17">
        <f t="shared" ref="L30:N45" si="14">IF($K30=L$1,50%,25%)</f>
        <v>0.25</v>
      </c>
      <c r="M30" s="17">
        <f t="shared" si="14"/>
        <v>0.5</v>
      </c>
      <c r="N30" s="17">
        <f t="shared" si="14"/>
        <v>0.25</v>
      </c>
      <c r="O30" s="81">
        <f t="shared" si="11"/>
        <v>0</v>
      </c>
      <c r="P30" s="36">
        <f>IF(D30&gt;21,VLOOKUP(D30,Barem!$T$1:$U$39,2,1),0)</f>
        <v>0</v>
      </c>
      <c r="Q30" s="32">
        <f>IF(D30&lt;1.609,0,IF(B30="F",VLOOKUP(G30,Barem!$X$2:$Z$13,2,1),VLOOKUP(G30,Barem!$X$14:$Z$25,2,1)))</f>
        <v>0</v>
      </c>
      <c r="R30" s="36">
        <f>VLOOKUP(A30,Participanti!A:C,3,0)</f>
        <v>0</v>
      </c>
      <c r="S30" s="29">
        <f t="shared" si="12"/>
        <v>3.5</v>
      </c>
      <c r="T30" s="79">
        <v>43989</v>
      </c>
      <c r="U30" s="16">
        <f>COUNTIFS(A:A,A30,C:C,C30)</f>
        <v>1</v>
      </c>
      <c r="V30" s="34">
        <f t="shared" si="13"/>
        <v>0.34930139720558884</v>
      </c>
      <c r="W30" s="3" t="str">
        <f>VLOOKUP(A30,Data_echipe!A:O,15,0)</f>
        <v xml:space="preserve"> Let it run</v>
      </c>
      <c r="X30" s="3">
        <f t="shared" si="9"/>
        <v>1</v>
      </c>
    </row>
    <row r="31" spans="1:24">
      <c r="A31" s="74" t="s">
        <v>206</v>
      </c>
      <c r="B31" s="24" t="str">
        <f>VLOOKUP(A31,Participanti!A:B,2,0)</f>
        <v>M</v>
      </c>
      <c r="C31" s="75">
        <v>1</v>
      </c>
      <c r="D31" s="76">
        <v>10</v>
      </c>
      <c r="E31" s="77">
        <v>4.5578703703703705E-2</v>
      </c>
      <c r="F31" s="78">
        <v>9</v>
      </c>
      <c r="G31" s="20">
        <f t="shared" si="10"/>
        <v>4.5578703703703701E-3</v>
      </c>
      <c r="H31" s="16">
        <f>IF(B31="F",IF(G31&gt;Barem!$AC$2,0,IF(B31="F",VLOOKUP(D31,Barem!$B$2:$C$11,2,1))),IF(G31&gt;Barem!$AC$3,0,VLOOKUP(D31,Barem!$B$12:$C$21,2,1)))</f>
        <v>2.5</v>
      </c>
      <c r="I31" s="16">
        <f>IF(H31=0,0,IF(B31="F",VLOOKUP(G31,Barem!$G$2:$H$11,2,1),VLOOKUP(G31,Barem!$G$12:$H$21,2,1)))</f>
        <v>1</v>
      </c>
      <c r="J31" s="75">
        <v>4</v>
      </c>
      <c r="K31" s="82" t="str">
        <f>VLOOKUP($C31,Barem!$L$2:$R$13,7,0)</f>
        <v>P</v>
      </c>
      <c r="L31" s="17">
        <f t="shared" si="14"/>
        <v>0.25</v>
      </c>
      <c r="M31" s="17">
        <f t="shared" si="14"/>
        <v>0.25</v>
      </c>
      <c r="N31" s="17">
        <f t="shared" si="14"/>
        <v>0.5</v>
      </c>
      <c r="O31" s="81">
        <f t="shared" si="11"/>
        <v>0</v>
      </c>
      <c r="P31" s="36">
        <f>IF(D31&gt;21,VLOOKUP(D31,Barem!$T$1:$U$39,2,1),0)</f>
        <v>0</v>
      </c>
      <c r="Q31" s="32">
        <f>IF(D31&lt;1.609,0,IF(B31="F",VLOOKUP(G31,Barem!$X$2:$Z$13,2,1),VLOOKUP(G31,Barem!$X$14:$Z$25,2,1)))</f>
        <v>0</v>
      </c>
      <c r="R31" s="36">
        <f>VLOOKUP(A31,Participanti!A:C,3,0)</f>
        <v>0</v>
      </c>
      <c r="S31" s="29">
        <f t="shared" si="12"/>
        <v>2.875</v>
      </c>
      <c r="T31" s="79">
        <v>43989</v>
      </c>
      <c r="U31" s="16">
        <f>COUNTIFS(A:A,A31,C:C,C31)</f>
        <v>1</v>
      </c>
      <c r="V31" s="34">
        <f t="shared" si="13"/>
        <v>0.28749999999999998</v>
      </c>
      <c r="W31" s="3" t="str">
        <f>VLOOKUP(A31,Data_echipe!A:O,15,0)</f>
        <v>Unicornii</v>
      </c>
      <c r="X31" s="3">
        <f t="shared" si="9"/>
        <v>1</v>
      </c>
    </row>
    <row r="32" spans="1:24">
      <c r="A32" s="74" t="s">
        <v>8</v>
      </c>
      <c r="B32" s="24" t="str">
        <f>VLOOKUP(A32,Participanti!A:B,2,0)</f>
        <v>M</v>
      </c>
      <c r="C32" s="75">
        <v>1</v>
      </c>
      <c r="D32" s="76">
        <v>7.71</v>
      </c>
      <c r="E32" s="77">
        <v>3.1678240740740743E-2</v>
      </c>
      <c r="F32" s="78">
        <v>6</v>
      </c>
      <c r="G32" s="20">
        <f t="shared" si="10"/>
        <v>4.1087212374501612E-3</v>
      </c>
      <c r="H32" s="16">
        <f>IF(B32="F",IF(G32&gt;Barem!$AC$2,0,IF(B32="F",VLOOKUP(D32,Barem!$B$2:$C$11,2,1))),IF(G32&gt;Barem!$AC$3,0,VLOOKUP(D32,Barem!$B$12:$C$21,2,1)))</f>
        <v>2</v>
      </c>
      <c r="I32" s="16">
        <f>IF(H32=0,0,IF(B32="F",VLOOKUP(G32,Barem!$G$2:$H$11,2,1),VLOOKUP(G32,Barem!$G$12:$H$21,2,1)))</f>
        <v>1.5</v>
      </c>
      <c r="J32" s="75">
        <v>3.5</v>
      </c>
      <c r="K32" s="82" t="str">
        <f>VLOOKUP($C32,Barem!$L$2:$R$13,7,0)</f>
        <v>P</v>
      </c>
      <c r="L32" s="17">
        <f t="shared" si="14"/>
        <v>0.25</v>
      </c>
      <c r="M32" s="17">
        <f t="shared" si="14"/>
        <v>0.25</v>
      </c>
      <c r="N32" s="17">
        <f t="shared" si="14"/>
        <v>0.5</v>
      </c>
      <c r="O32" s="81">
        <f t="shared" si="11"/>
        <v>0</v>
      </c>
      <c r="P32" s="36">
        <f>IF(D32&gt;21,VLOOKUP(D32,Barem!$T$1:$U$39,2,1),0)</f>
        <v>0</v>
      </c>
      <c r="Q32" s="32">
        <f>IF(D32&lt;1.609,0,IF(B32="F",VLOOKUP(G32,Barem!$X$2:$Z$13,2,1),VLOOKUP(G32,Barem!$X$14:$Z$25,2,1)))</f>
        <v>0</v>
      </c>
      <c r="R32" s="36">
        <f>VLOOKUP(A32,Participanti!A:C,3,0)</f>
        <v>0</v>
      </c>
      <c r="S32" s="29">
        <f t="shared" si="12"/>
        <v>2.625</v>
      </c>
      <c r="T32" s="79">
        <v>43989</v>
      </c>
      <c r="U32" s="16">
        <f>COUNTIFS(A:A,A32,C:C,C32)</f>
        <v>1</v>
      </c>
      <c r="V32" s="34">
        <f t="shared" si="13"/>
        <v>0.34046692607003892</v>
      </c>
      <c r="W32" s="3" t="str">
        <f>VLOOKUP(A32,Data_echipe!A:O,15,0)</f>
        <v xml:space="preserve"> Let it run</v>
      </c>
      <c r="X32" s="3">
        <f t="shared" si="9"/>
        <v>1</v>
      </c>
    </row>
    <row r="33" spans="1:24">
      <c r="A33" s="74" t="s">
        <v>6</v>
      </c>
      <c r="B33" s="24" t="str">
        <f>VLOOKUP(A33,Participanti!A:B,2,0)</f>
        <v>F</v>
      </c>
      <c r="C33" s="75">
        <v>1</v>
      </c>
      <c r="D33" s="76">
        <v>12.01</v>
      </c>
      <c r="E33" s="77">
        <v>4.1041666666666664E-2</v>
      </c>
      <c r="F33" s="78">
        <v>22</v>
      </c>
      <c r="G33" s="20">
        <f t="shared" si="10"/>
        <v>3.4172911462669996E-3</v>
      </c>
      <c r="H33" s="16">
        <f>IF(B33="F",IF(G33&gt;Barem!$AC$2,0,IF(B33="F",VLOOKUP(D33,Barem!$B$2:$C$11,2,1))),IF(G33&gt;Barem!$AC$3,0,VLOOKUP(D33,Barem!$B$12:$C$21,2,1)))</f>
        <v>3</v>
      </c>
      <c r="I33" s="16">
        <f>IF(H33=0,0,IF(B33="F",VLOOKUP(G33,Barem!$G$2:$H$11,2,1),VLOOKUP(G33,Barem!$G$12:$H$21,2,1)))</f>
        <v>4</v>
      </c>
      <c r="J33" s="75">
        <v>4</v>
      </c>
      <c r="K33" s="82" t="str">
        <f>VLOOKUP($C33,Barem!$L$2:$R$13,7,0)</f>
        <v>P</v>
      </c>
      <c r="L33" s="17">
        <f t="shared" si="14"/>
        <v>0.25</v>
      </c>
      <c r="M33" s="17">
        <f t="shared" si="14"/>
        <v>0.25</v>
      </c>
      <c r="N33" s="17">
        <f t="shared" si="14"/>
        <v>0.5</v>
      </c>
      <c r="O33" s="81">
        <f t="shared" si="11"/>
        <v>0</v>
      </c>
      <c r="P33" s="36">
        <f>IF(D33&gt;21,VLOOKUP(D33,Barem!$T$1:$U$39,2,1),0)</f>
        <v>0</v>
      </c>
      <c r="Q33" s="32">
        <f>IF(D33&lt;1.609,0,IF(B33="F",VLOOKUP(G33,Barem!$X$2:$Z$13,2,1),VLOOKUP(G33,Barem!$X$14:$Z$25,2,1)))</f>
        <v>0</v>
      </c>
      <c r="R33" s="36">
        <f>VLOOKUP(A33,Participanti!A:C,3,0)</f>
        <v>0</v>
      </c>
      <c r="S33" s="29">
        <f t="shared" si="12"/>
        <v>3.75</v>
      </c>
      <c r="T33" s="79">
        <v>43985</v>
      </c>
      <c r="U33" s="16">
        <f>COUNTIFS(A:A,A33,C:C,C33)</f>
        <v>1</v>
      </c>
      <c r="V33" s="34">
        <f t="shared" si="13"/>
        <v>0.31223980016652791</v>
      </c>
      <c r="W33" s="3" t="str">
        <f>VLOOKUP(A33,Data_echipe!A:O,15,0)</f>
        <v>Unicornii</v>
      </c>
      <c r="X33" s="3">
        <f t="shared" si="9"/>
        <v>1</v>
      </c>
    </row>
    <row r="34" spans="1:24">
      <c r="A34" s="74" t="s">
        <v>115</v>
      </c>
      <c r="B34" s="24" t="str">
        <f>VLOOKUP(A34,Participanti!A:B,2,0)</f>
        <v>M</v>
      </c>
      <c r="C34" s="75">
        <v>1</v>
      </c>
      <c r="D34" s="76">
        <v>30.5</v>
      </c>
      <c r="E34" s="77">
        <v>0.2318402777777778</v>
      </c>
      <c r="F34" s="78">
        <v>1038</v>
      </c>
      <c r="G34" s="20">
        <f t="shared" si="10"/>
        <v>7.6013205828779603E-3</v>
      </c>
      <c r="H34" s="16">
        <f>IF(B34="F",IF(G34&gt;Barem!$AC$2,0,IF(B34="F",VLOOKUP(D34,Barem!$B$2:$C$11,2,1))),IF(G34&gt;Barem!$AC$3,0,VLOOKUP(D34,Barem!$B$12:$C$21,2,1)))</f>
        <v>5</v>
      </c>
      <c r="I34" s="16">
        <f>IF(H34=0,0,IF(B34="F",VLOOKUP(G34,Barem!$G$2:$H$11,2,1),VLOOKUP(G34,Barem!$G$12:$H$21,2,1)))</f>
        <v>0</v>
      </c>
      <c r="J34" s="75">
        <v>3</v>
      </c>
      <c r="K34" s="82" t="str">
        <f>VLOOKUP($C34,Barem!$L$2:$R$13,7,0)</f>
        <v>P</v>
      </c>
      <c r="L34" s="17">
        <f t="shared" si="14"/>
        <v>0.25</v>
      </c>
      <c r="M34" s="17">
        <f t="shared" si="14"/>
        <v>0.25</v>
      </c>
      <c r="N34" s="17">
        <f t="shared" si="14"/>
        <v>0.5</v>
      </c>
      <c r="O34" s="81">
        <f t="shared" si="11"/>
        <v>0.69199999999999995</v>
      </c>
      <c r="P34" s="36">
        <f>IF(D34&gt;21,VLOOKUP(D34,Barem!$T$1:$U$39,2,1),0)</f>
        <v>0.1</v>
      </c>
      <c r="Q34" s="32">
        <f>IF(D34&lt;1.609,0,IF(B34="F",VLOOKUP(G34,Barem!$X$2:$Z$13,2,1),VLOOKUP(G34,Barem!$X$14:$Z$25,2,1)))</f>
        <v>0</v>
      </c>
      <c r="R34" s="36">
        <f>VLOOKUP(A34,Participanti!A:C,3,0)</f>
        <v>0.5</v>
      </c>
      <c r="S34" s="29">
        <f t="shared" si="12"/>
        <v>4.0419999999999998</v>
      </c>
      <c r="T34" s="79">
        <v>43989</v>
      </c>
      <c r="U34" s="16">
        <f>COUNTIFS(A:A,A34,C:C,C34)</f>
        <v>1</v>
      </c>
      <c r="V34" s="34">
        <f t="shared" si="13"/>
        <v>0.13252459016393442</v>
      </c>
      <c r="W34" s="3" t="str">
        <f>VLOOKUP(A34,Data_echipe!A:O,15,0)</f>
        <v xml:space="preserve"> Let it run</v>
      </c>
      <c r="X34" s="3">
        <f t="shared" si="9"/>
        <v>0</v>
      </c>
    </row>
    <row r="35" spans="1:24">
      <c r="A35" s="74" t="s">
        <v>51</v>
      </c>
      <c r="B35" s="24" t="str">
        <f>VLOOKUP(A35,Participanti!A:B,2,0)</f>
        <v>F</v>
      </c>
      <c r="C35" s="75">
        <v>1</v>
      </c>
      <c r="D35" s="76">
        <v>7.04</v>
      </c>
      <c r="E35" s="77">
        <v>2.90162037037037E-2</v>
      </c>
      <c r="F35" s="78">
        <v>18</v>
      </c>
      <c r="G35" s="20">
        <f t="shared" si="10"/>
        <v>4.1216198442760935E-3</v>
      </c>
      <c r="H35" s="16">
        <f>IF(B35="F",IF(G35&gt;Barem!$AC$2,0,IF(B35="F",VLOOKUP(D35,Barem!$B$2:$C$11,2,1))),IF(G35&gt;Barem!$AC$3,0,VLOOKUP(D35,Barem!$B$12:$C$21,2,1)))</f>
        <v>2</v>
      </c>
      <c r="I35" s="16">
        <f>IF(H35=0,0,IF(B35="F",VLOOKUP(G35,Barem!$G$2:$H$11,2,1),VLOOKUP(G35,Barem!$G$12:$H$21,2,1)))</f>
        <v>2</v>
      </c>
      <c r="J35" s="75">
        <v>4</v>
      </c>
      <c r="K35" s="82" t="str">
        <f>VLOOKUP($C35,Barem!$L$2:$R$13,7,0)</f>
        <v>P</v>
      </c>
      <c r="L35" s="17">
        <f t="shared" si="14"/>
        <v>0.25</v>
      </c>
      <c r="M35" s="17">
        <f t="shared" si="14"/>
        <v>0.25</v>
      </c>
      <c r="N35" s="17">
        <f t="shared" si="14"/>
        <v>0.5</v>
      </c>
      <c r="O35" s="81">
        <f t="shared" si="11"/>
        <v>0</v>
      </c>
      <c r="P35" s="36">
        <f>IF(D35&gt;21,VLOOKUP(D35,Barem!$T$1:$U$39,2,1),0)</f>
        <v>0</v>
      </c>
      <c r="Q35" s="32">
        <f>IF(D35&lt;1.609,0,IF(B35="F",VLOOKUP(G35,Barem!$X$2:$Z$13,2,1),VLOOKUP(G35,Barem!$X$14:$Z$25,2,1)))</f>
        <v>0</v>
      </c>
      <c r="R35" s="36">
        <f>VLOOKUP(A35,Participanti!A:C,3,0)</f>
        <v>0</v>
      </c>
      <c r="S35" s="29">
        <f t="shared" si="12"/>
        <v>3</v>
      </c>
      <c r="T35" s="79">
        <v>43985</v>
      </c>
      <c r="U35" s="16">
        <f>COUNTIFS(A:A,A35,C:C,C35)</f>
        <v>1</v>
      </c>
      <c r="V35" s="34">
        <f t="shared" si="13"/>
        <v>0.42613636363636365</v>
      </c>
      <c r="W35" s="3" t="str">
        <f>VLOOKUP(A35,Data_echipe!A:O,15,0)</f>
        <v>Tenchei</v>
      </c>
      <c r="X35" s="3">
        <f t="shared" si="9"/>
        <v>1</v>
      </c>
    </row>
    <row r="36" spans="1:24" s="110" customFormat="1" ht="12.75" thickBot="1">
      <c r="A36" s="94" t="s">
        <v>56</v>
      </c>
      <c r="B36" s="95" t="str">
        <f>VLOOKUP(A36,Participanti!A:B,2,0)</f>
        <v>M</v>
      </c>
      <c r="C36" s="96">
        <v>1</v>
      </c>
      <c r="D36" s="97">
        <v>10.039999999999999</v>
      </c>
      <c r="E36" s="98">
        <v>3.8773148148148147E-2</v>
      </c>
      <c r="F36" s="99">
        <v>12</v>
      </c>
      <c r="G36" s="100">
        <f t="shared" si="10"/>
        <v>3.8618673454330825E-3</v>
      </c>
      <c r="H36" s="101">
        <f>IF(B36="F",IF(G36&gt;Barem!$AC$2,0,IF(B36="F",VLOOKUP(D36,Barem!$B$2:$C$11,2,1))),IF(G36&gt;Barem!$AC$3,0,VLOOKUP(D36,Barem!$B$12:$C$21,2,1)))</f>
        <v>2.5</v>
      </c>
      <c r="I36" s="101">
        <f>IF(H36=0,0,IF(B36="F",VLOOKUP(G36,Barem!$G$2:$H$11,2,1),VLOOKUP(G36,Barem!$G$12:$H$21,2,1)))</f>
        <v>1.5</v>
      </c>
      <c r="J36" s="96">
        <v>3</v>
      </c>
      <c r="K36" s="102" t="str">
        <f>VLOOKUP($C36,Barem!$L$2:$R$13,7,0)</f>
        <v>P</v>
      </c>
      <c r="L36" s="103">
        <f t="shared" si="14"/>
        <v>0.25</v>
      </c>
      <c r="M36" s="103">
        <f t="shared" si="14"/>
        <v>0.25</v>
      </c>
      <c r="N36" s="103">
        <f t="shared" si="14"/>
        <v>0.5</v>
      </c>
      <c r="O36" s="104">
        <f t="shared" si="11"/>
        <v>0</v>
      </c>
      <c r="P36" s="105">
        <f>IF(D36&gt;21,VLOOKUP(D36,Barem!$T$1:$U$39,2,1),0)</f>
        <v>0</v>
      </c>
      <c r="Q36" s="106">
        <f>IF(D36&lt;1.609,0,IF(B36="F",VLOOKUP(G36,Barem!$X$2:$Z$13,2,1),VLOOKUP(G36,Barem!$X$14:$Z$25,2,1)))</f>
        <v>0</v>
      </c>
      <c r="R36" s="105">
        <f>VLOOKUP(A36,Participanti!A:C,3,0)</f>
        <v>0</v>
      </c>
      <c r="S36" s="107">
        <f t="shared" si="12"/>
        <v>2.5</v>
      </c>
      <c r="T36" s="108">
        <v>43983</v>
      </c>
      <c r="U36" s="101">
        <f>COUNTIFS(A:A,A36,C:C,C36)</f>
        <v>1</v>
      </c>
      <c r="V36" s="109">
        <f t="shared" si="13"/>
        <v>0.24900398406374505</v>
      </c>
      <c r="W36" s="110" t="str">
        <f>VLOOKUP(A36,Data_echipe!A:O,15,0)</f>
        <v>Unicornii</v>
      </c>
      <c r="X36" s="3">
        <f t="shared" si="9"/>
        <v>1</v>
      </c>
    </row>
    <row r="37" spans="1:24">
      <c r="A37" s="74" t="s">
        <v>131</v>
      </c>
      <c r="B37" s="24" t="str">
        <f>VLOOKUP(A37,Participanti!A:B,2,0)</f>
        <v>M</v>
      </c>
      <c r="C37" s="75">
        <v>2</v>
      </c>
      <c r="D37" s="76">
        <v>7.52</v>
      </c>
      <c r="E37" s="77">
        <v>3.2187500000000001E-2</v>
      </c>
      <c r="F37" s="78">
        <v>41</v>
      </c>
      <c r="G37" s="20">
        <f t="shared" si="10"/>
        <v>4.2802526595744688E-3</v>
      </c>
      <c r="H37" s="16">
        <f>IF(B37="F",IF(G37&gt;Barem!$AC$2,0,IF(B37="F",VLOOKUP(D37,Barem!$B$2:$C$11,2,1))),IF(G37&gt;Barem!$AC$3,0,VLOOKUP(D37,Barem!$B$12:$C$21,2,1)))</f>
        <v>2</v>
      </c>
      <c r="I37" s="16">
        <f>IF(H37=0,0,IF(B37="F",VLOOKUP(G37,Barem!$G$2:$H$11,2,1),VLOOKUP(G37,Barem!$G$12:$H$21,2,1)))</f>
        <v>1</v>
      </c>
      <c r="J37" s="75">
        <v>1.5</v>
      </c>
      <c r="K37" s="82" t="str">
        <f>VLOOKUP($C37,Barem!$L$2:$R$13,7,0)</f>
        <v>D</v>
      </c>
      <c r="L37" s="17">
        <f t="shared" si="14"/>
        <v>0.5</v>
      </c>
      <c r="M37" s="17">
        <f t="shared" si="14"/>
        <v>0.25</v>
      </c>
      <c r="N37" s="17">
        <f t="shared" si="14"/>
        <v>0.25</v>
      </c>
      <c r="O37" s="81">
        <f t="shared" si="11"/>
        <v>0</v>
      </c>
      <c r="P37" s="36">
        <f>IF(D37&gt;21,VLOOKUP(D37,Barem!$T$1:$U$39,2,1),0)</f>
        <v>0</v>
      </c>
      <c r="Q37" s="32">
        <f>IF(D37&lt;1.609,0,IF(B37="F",VLOOKUP(G37,Barem!$X$2:$Z$13,2,1),VLOOKUP(G37,Barem!$X$14:$Z$25,2,1)))</f>
        <v>0</v>
      </c>
      <c r="R37" s="36">
        <f>VLOOKUP(A37,Participanti!A:C,3,0)</f>
        <v>0</v>
      </c>
      <c r="S37" s="29">
        <f t="shared" si="12"/>
        <v>1.625</v>
      </c>
      <c r="T37" s="79">
        <v>43990</v>
      </c>
      <c r="U37" s="16">
        <f>COUNTIFS(A:A,A37,C:C,C37)</f>
        <v>1</v>
      </c>
      <c r="V37" s="34">
        <f t="shared" ref="V37:V75" si="15">S37/D37</f>
        <v>0.2160904255319149</v>
      </c>
      <c r="W37" s="3" t="str">
        <f>VLOOKUP(A37,Data_echipe!A:O,15,0)</f>
        <v xml:space="preserve"> Let it run</v>
      </c>
      <c r="X37" s="3">
        <f t="shared" si="9"/>
        <v>1</v>
      </c>
    </row>
    <row r="38" spans="1:24">
      <c r="A38" s="74" t="s">
        <v>114</v>
      </c>
      <c r="B38" s="24" t="str">
        <f>VLOOKUP(A38,Participanti!A:B,2,0)</f>
        <v>M</v>
      </c>
      <c r="C38" s="75">
        <v>2</v>
      </c>
      <c r="D38" s="76">
        <v>14.01</v>
      </c>
      <c r="E38" s="77">
        <v>4.8287037037037038E-2</v>
      </c>
      <c r="F38" s="78">
        <v>312</v>
      </c>
      <c r="G38" s="20">
        <f t="shared" ref="G38:G75" si="16">E38/D38</f>
        <v>3.4466122082110664E-3</v>
      </c>
      <c r="H38" s="16">
        <f>IF(B38="F",IF(G38&gt;Barem!$AC$2,0,IF(B38="F",VLOOKUP(D38,Barem!$B$2:$C$11,2,1))),IF(G38&gt;Barem!$AC$3,0,VLOOKUP(D38,Barem!$B$12:$C$21,2,1)))</f>
        <v>3</v>
      </c>
      <c r="I38" s="16">
        <f>IF(H38=0,0,IF(B38="F",VLOOKUP(G38,Barem!$G$2:$H$11,2,1),VLOOKUP(G38,Barem!$G$12:$H$21,2,1)))</f>
        <v>3</v>
      </c>
      <c r="J38" s="75">
        <v>2</v>
      </c>
      <c r="K38" s="82" t="str">
        <f>VLOOKUP($C38,Barem!$L$2:$R$13,7,0)</f>
        <v>D</v>
      </c>
      <c r="L38" s="17">
        <f t="shared" si="14"/>
        <v>0.5</v>
      </c>
      <c r="M38" s="17">
        <f t="shared" si="14"/>
        <v>0.25</v>
      </c>
      <c r="N38" s="17">
        <f t="shared" si="14"/>
        <v>0.25</v>
      </c>
      <c r="O38" s="81">
        <f t="shared" ref="O38:O75" si="17">IF(F38&lt;-49,F38/1500,IF(F38&gt;99,F38/1500,0))</f>
        <v>0.20799999999999999</v>
      </c>
      <c r="P38" s="36">
        <f>IF(D38&gt;21,VLOOKUP(D38,Barem!$T$1:$U$39,2,1),0)</f>
        <v>0</v>
      </c>
      <c r="Q38" s="32">
        <f>IF(D38&lt;1.609,0,IF(B38="F",VLOOKUP(G38,Barem!$X$2:$Z$13,2,1),VLOOKUP(G38,Barem!$X$14:$Z$25,2,1)))</f>
        <v>0</v>
      </c>
      <c r="R38" s="36">
        <f>VLOOKUP(A38,Participanti!A:C,3,0)</f>
        <v>0</v>
      </c>
      <c r="S38" s="29">
        <f t="shared" ref="S38:S75" si="18">H38*L38+I38*M38+J38*N38+O38+P38+Q38+R38</f>
        <v>2.9580000000000002</v>
      </c>
      <c r="T38" s="79">
        <v>43992</v>
      </c>
      <c r="U38" s="16">
        <f>COUNTIFS(A:A,A38,C:C,C38)</f>
        <v>1</v>
      </c>
      <c r="V38" s="34">
        <f t="shared" si="15"/>
        <v>0.21113490364025697</v>
      </c>
      <c r="W38" s="3" t="str">
        <f>VLOOKUP(A38,Data_echipe!A:O,15,0)</f>
        <v>Serioranistii</v>
      </c>
      <c r="X38" s="3">
        <f t="shared" si="9"/>
        <v>1</v>
      </c>
    </row>
    <row r="39" spans="1:24">
      <c r="A39" s="74" t="s">
        <v>83</v>
      </c>
      <c r="B39" s="24" t="str">
        <f>VLOOKUP(A39,Participanti!A:B,2,0)</f>
        <v>F</v>
      </c>
      <c r="C39" s="75">
        <v>2</v>
      </c>
      <c r="D39" s="76">
        <v>10.01</v>
      </c>
      <c r="E39" s="77">
        <v>5.2777777777777778E-2</v>
      </c>
      <c r="F39" s="78">
        <v>14</v>
      </c>
      <c r="G39" s="20">
        <f t="shared" si="16"/>
        <v>5.2725052725052729E-3</v>
      </c>
      <c r="H39" s="16">
        <f>IF(B39="F",IF(G39&gt;Barem!$AC$2,0,IF(B39="F",VLOOKUP(D39,Barem!$B$2:$C$11,2,1))),IF(G39&gt;Barem!$AC$3,0,VLOOKUP(D39,Barem!$B$12:$C$21,2,1)))</f>
        <v>2.5</v>
      </c>
      <c r="I39" s="16">
        <f>IF(H39=0,0,IF(B39="F",VLOOKUP(G39,Barem!$G$2:$H$11,2,1),VLOOKUP(G39,Barem!$G$12:$H$21,2,1)))</f>
        <v>1</v>
      </c>
      <c r="J39" s="75">
        <v>3</v>
      </c>
      <c r="K39" s="82" t="str">
        <f>VLOOKUP($C39,Barem!$L$2:$R$13,7,0)</f>
        <v>D</v>
      </c>
      <c r="L39" s="17">
        <f t="shared" si="14"/>
        <v>0.5</v>
      </c>
      <c r="M39" s="17">
        <f t="shared" si="14"/>
        <v>0.25</v>
      </c>
      <c r="N39" s="17">
        <f t="shared" si="14"/>
        <v>0.25</v>
      </c>
      <c r="O39" s="81">
        <f t="shared" si="17"/>
        <v>0</v>
      </c>
      <c r="P39" s="36">
        <f>IF(D39&gt;21,VLOOKUP(D39,Barem!$T$1:$U$39,2,1),0)</f>
        <v>0</v>
      </c>
      <c r="Q39" s="32">
        <f>IF(D39&lt;1.609,0,IF(B39="F",VLOOKUP(G39,Barem!$X$2:$Z$13,2,1),VLOOKUP(G39,Barem!$X$14:$Z$25,2,1)))</f>
        <v>0</v>
      </c>
      <c r="R39" s="36">
        <f>VLOOKUP(A39,Participanti!A:C,3,0)</f>
        <v>0.75</v>
      </c>
      <c r="S39" s="29">
        <f t="shared" si="18"/>
        <v>3</v>
      </c>
      <c r="T39" s="79">
        <v>43990</v>
      </c>
      <c r="U39" s="16">
        <f>COUNTIFS(A:A,A39,C:C,C39)</f>
        <v>1</v>
      </c>
      <c r="V39" s="34">
        <f t="shared" si="15"/>
        <v>0.29970029970029971</v>
      </c>
      <c r="W39" s="3" t="str">
        <f>VLOOKUP(A39,Data_echipe!A:O,15,0)</f>
        <v>Tenchei</v>
      </c>
      <c r="X39" s="3">
        <f t="shared" si="9"/>
        <v>1</v>
      </c>
    </row>
    <row r="40" spans="1:24">
      <c r="A40" s="74" t="s">
        <v>205</v>
      </c>
      <c r="B40" s="24" t="str">
        <f>VLOOKUP(A40,Participanti!A:B,2,0)</f>
        <v>M</v>
      </c>
      <c r="C40" s="75">
        <v>2</v>
      </c>
      <c r="D40" s="76">
        <v>13.01</v>
      </c>
      <c r="E40" s="77">
        <v>3.9560185185185184E-2</v>
      </c>
      <c r="F40" s="78">
        <v>354</v>
      </c>
      <c r="G40" s="20">
        <f t="shared" si="16"/>
        <v>3.0407521279927122E-3</v>
      </c>
      <c r="H40" s="16">
        <f>IF(B40="F",IF(G40&gt;Barem!$AC$2,0,IF(B40="F",VLOOKUP(D40,Barem!$B$2:$C$11,2,1))),IF(G40&gt;Barem!$AC$3,0,VLOOKUP(D40,Barem!$B$12:$C$21,2,1)))</f>
        <v>3</v>
      </c>
      <c r="I40" s="16">
        <f>IF(H40=0,0,IF(B40="F",VLOOKUP(G40,Barem!$G$2:$H$11,2,1),VLOOKUP(G40,Barem!$G$12:$H$21,2,1)))</f>
        <v>4</v>
      </c>
      <c r="J40" s="75">
        <v>3</v>
      </c>
      <c r="K40" s="83" t="s">
        <v>183</v>
      </c>
      <c r="L40" s="17">
        <f t="shared" si="14"/>
        <v>0.25</v>
      </c>
      <c r="M40" s="17">
        <f t="shared" si="14"/>
        <v>0.5</v>
      </c>
      <c r="N40" s="17">
        <f t="shared" si="14"/>
        <v>0.25</v>
      </c>
      <c r="O40" s="81">
        <f t="shared" si="17"/>
        <v>0.23599999999999999</v>
      </c>
      <c r="P40" s="36">
        <f>IF(D40&gt;21,VLOOKUP(D40,Barem!$T$1:$U$39,2,1),0)</f>
        <v>0</v>
      </c>
      <c r="Q40" s="32">
        <f>IF(D40&lt;1.609,0,IF(B40="F",VLOOKUP(G40,Barem!$X$2:$Z$13,2,1),VLOOKUP(G40,Barem!$X$14:$Z$25,2,1)))</f>
        <v>0</v>
      </c>
      <c r="R40" s="36">
        <f>VLOOKUP(A40,Participanti!A:C,3,0)</f>
        <v>0</v>
      </c>
      <c r="S40" s="29">
        <f t="shared" si="18"/>
        <v>3.7359999999999998</v>
      </c>
      <c r="T40" s="79">
        <v>43993</v>
      </c>
      <c r="U40" s="16">
        <f>COUNTIFS(A:A,A40,C:C,C40)</f>
        <v>1</v>
      </c>
      <c r="V40" s="34">
        <f t="shared" si="15"/>
        <v>0.28716372021521908</v>
      </c>
      <c r="W40" s="3" t="str">
        <f>VLOOKUP(A40,Data_echipe!A:O,15,0)</f>
        <v>Serioranistii</v>
      </c>
      <c r="X40" s="3">
        <f t="shared" si="9"/>
        <v>1</v>
      </c>
    </row>
    <row r="41" spans="1:24">
      <c r="A41" s="74" t="s">
        <v>55</v>
      </c>
      <c r="B41" s="24" t="str">
        <f>VLOOKUP(A41,Participanti!A:B,2,0)</f>
        <v>M</v>
      </c>
      <c r="C41" s="75">
        <v>2</v>
      </c>
      <c r="D41" s="76">
        <v>17.010000000000002</v>
      </c>
      <c r="E41" s="77">
        <v>5.7708333333333334E-2</v>
      </c>
      <c r="F41" s="78">
        <v>30</v>
      </c>
      <c r="G41" s="20">
        <f t="shared" si="16"/>
        <v>3.3926121889084849E-3</v>
      </c>
      <c r="H41" s="16">
        <f>IF(B41="F",IF(G41&gt;Barem!$AC$2,0,IF(B41="F",VLOOKUP(D41,Barem!$B$2:$C$11,2,1))),IF(G41&gt;Barem!$AC$3,0,VLOOKUP(D41,Barem!$B$12:$C$21,2,1)))</f>
        <v>4</v>
      </c>
      <c r="I41" s="16">
        <f>IF(H41=0,0,IF(B41="F",VLOOKUP(G41,Barem!$G$2:$H$11,2,1),VLOOKUP(G41,Barem!$G$12:$H$21,2,1)))</f>
        <v>3</v>
      </c>
      <c r="J41" s="75">
        <v>4</v>
      </c>
      <c r="K41" s="82" t="str">
        <f>VLOOKUP($C41,Barem!$L$2:$R$13,7,0)</f>
        <v>D</v>
      </c>
      <c r="L41" s="17">
        <f t="shared" si="14"/>
        <v>0.5</v>
      </c>
      <c r="M41" s="17">
        <f t="shared" si="14"/>
        <v>0.25</v>
      </c>
      <c r="N41" s="17">
        <f t="shared" si="14"/>
        <v>0.25</v>
      </c>
      <c r="O41" s="81">
        <f t="shared" si="17"/>
        <v>0</v>
      </c>
      <c r="P41" s="36">
        <f>IF(D41&gt;21,VLOOKUP(D41,Barem!$T$1:$U$39,2,1),0)</f>
        <v>0</v>
      </c>
      <c r="Q41" s="32">
        <f>IF(D41&lt;1.609,0,IF(B41="F",VLOOKUP(G41,Barem!$X$2:$Z$13,2,1),VLOOKUP(G41,Barem!$X$14:$Z$25,2,1)))</f>
        <v>0</v>
      </c>
      <c r="R41" s="36">
        <f>VLOOKUP(A41,Participanti!A:C,3,0)</f>
        <v>0</v>
      </c>
      <c r="S41" s="29">
        <f t="shared" si="18"/>
        <v>3.75</v>
      </c>
      <c r="T41" s="79">
        <v>43993</v>
      </c>
      <c r="U41" s="16">
        <f>COUNTIFS(A:A,A41,C:C,C41)</f>
        <v>1</v>
      </c>
      <c r="V41" s="34">
        <f t="shared" si="15"/>
        <v>0.22045855379188711</v>
      </c>
      <c r="W41" s="3" t="str">
        <f>VLOOKUP(A41,Data_echipe!A:O,15,0)</f>
        <v>Serioranistii</v>
      </c>
      <c r="X41" s="3">
        <f t="shared" si="9"/>
        <v>1</v>
      </c>
    </row>
    <row r="42" spans="1:24">
      <c r="A42" s="74" t="s">
        <v>67</v>
      </c>
      <c r="B42" s="24" t="str">
        <f>VLOOKUP(A42,Participanti!A:B,2,0)</f>
        <v>F</v>
      </c>
      <c r="C42" s="75">
        <v>2</v>
      </c>
      <c r="D42" s="76">
        <v>12.01</v>
      </c>
      <c r="E42" s="77">
        <v>4.9826388888888885E-2</v>
      </c>
      <c r="F42" s="78">
        <v>0</v>
      </c>
      <c r="G42" s="20">
        <f t="shared" si="16"/>
        <v>4.1487417892496995E-3</v>
      </c>
      <c r="H42" s="16">
        <f>IF(B42="F",IF(G42&gt;Barem!$AC$2,0,IF(B42="F",VLOOKUP(D42,Barem!$B$2:$C$11,2,1))),IF(G42&gt;Barem!$AC$3,0,VLOOKUP(D42,Barem!$B$12:$C$21,2,1)))</f>
        <v>3</v>
      </c>
      <c r="I42" s="16">
        <f>IF(H42=0,0,IF(B42="F",VLOOKUP(G42,Barem!$G$2:$H$11,2,1),VLOOKUP(G42,Barem!$G$12:$H$21,2,1)))</f>
        <v>2</v>
      </c>
      <c r="J42" s="75">
        <v>3</v>
      </c>
      <c r="K42" s="82" t="str">
        <f>VLOOKUP($C42,Barem!$L$2:$R$13,7,0)</f>
        <v>D</v>
      </c>
      <c r="L42" s="17">
        <f t="shared" si="14"/>
        <v>0.5</v>
      </c>
      <c r="M42" s="17">
        <f t="shared" si="14"/>
        <v>0.25</v>
      </c>
      <c r="N42" s="17">
        <f t="shared" si="14"/>
        <v>0.25</v>
      </c>
      <c r="O42" s="81">
        <f t="shared" si="17"/>
        <v>0</v>
      </c>
      <c r="P42" s="36">
        <f>IF(D42&gt;21,VLOOKUP(D42,Barem!$T$1:$U$39,2,1),0)</f>
        <v>0</v>
      </c>
      <c r="Q42" s="32">
        <f>IF(D42&lt;1.609,0,IF(B42="F",VLOOKUP(G42,Barem!$X$2:$Z$13,2,1),VLOOKUP(G42,Barem!$X$14:$Z$25,2,1)))</f>
        <v>0</v>
      </c>
      <c r="R42" s="36">
        <f>VLOOKUP(A42,Participanti!A:C,3,0)</f>
        <v>0</v>
      </c>
      <c r="S42" s="29">
        <f t="shared" si="18"/>
        <v>2.75</v>
      </c>
      <c r="T42" s="79">
        <v>43990</v>
      </c>
      <c r="U42" s="16">
        <f>COUNTIFS(A:A,A42,C:C,C42)</f>
        <v>1</v>
      </c>
      <c r="V42" s="34">
        <f t="shared" si="15"/>
        <v>0.22897585345545379</v>
      </c>
      <c r="W42" s="3" t="str">
        <f>VLOOKUP(A42,Data_echipe!A:O,15,0)</f>
        <v>X Æ A-12</v>
      </c>
      <c r="X42" s="3">
        <f t="shared" si="9"/>
        <v>1</v>
      </c>
    </row>
    <row r="43" spans="1:24">
      <c r="A43" s="74" t="s">
        <v>60</v>
      </c>
      <c r="B43" s="24" t="str">
        <f>VLOOKUP(A43,Participanti!A:B,2,0)</f>
        <v>M</v>
      </c>
      <c r="C43" s="75">
        <v>2</v>
      </c>
      <c r="D43" s="76">
        <v>22.04</v>
      </c>
      <c r="E43" s="77">
        <v>8.3506944444444453E-2</v>
      </c>
      <c r="F43" s="78">
        <v>49</v>
      </c>
      <c r="G43" s="20">
        <f t="shared" si="16"/>
        <v>3.7888813268804199E-3</v>
      </c>
      <c r="H43" s="16">
        <f>IF(B43="F",IF(G43&gt;Barem!$AC$2,0,IF(B43="F",VLOOKUP(D43,Barem!$B$2:$C$11,2,1))),IF(G43&gt;Barem!$AC$3,0,VLOOKUP(D43,Barem!$B$12:$C$21,2,1)))</f>
        <v>5</v>
      </c>
      <c r="I43" s="16">
        <f>IF(H43=0,0,IF(B43="F",VLOOKUP(G43,Barem!$G$2:$H$11,2,1),VLOOKUP(G43,Barem!$G$12:$H$21,2,1)))</f>
        <v>2</v>
      </c>
      <c r="J43" s="75">
        <v>3.5</v>
      </c>
      <c r="K43" s="82" t="str">
        <f>VLOOKUP($C43,Barem!$L$2:$R$13,7,0)</f>
        <v>D</v>
      </c>
      <c r="L43" s="17">
        <f t="shared" si="14"/>
        <v>0.5</v>
      </c>
      <c r="M43" s="17">
        <f t="shared" si="14"/>
        <v>0.25</v>
      </c>
      <c r="N43" s="17">
        <f t="shared" si="14"/>
        <v>0.25</v>
      </c>
      <c r="O43" s="81">
        <f t="shared" si="17"/>
        <v>0</v>
      </c>
      <c r="P43" s="36">
        <f>IF(D43&gt;21,VLOOKUP(D43,Barem!$T$1:$U$39,2,1),0)</f>
        <v>0</v>
      </c>
      <c r="Q43" s="32">
        <f>IF(D43&lt;1.609,0,IF(B43="F",VLOOKUP(G43,Barem!$X$2:$Z$13,2,1),VLOOKUP(G43,Barem!$X$14:$Z$25,2,1)))</f>
        <v>0</v>
      </c>
      <c r="R43" s="36">
        <f>VLOOKUP(A43,Participanti!A:C,3,0)</f>
        <v>0</v>
      </c>
      <c r="S43" s="29">
        <f t="shared" si="18"/>
        <v>3.875</v>
      </c>
      <c r="T43" s="79">
        <v>43994</v>
      </c>
      <c r="U43" s="16">
        <f>COUNTIFS(A:A,A43,C:C,C43)</f>
        <v>1</v>
      </c>
      <c r="V43" s="34">
        <f t="shared" si="15"/>
        <v>0.17581669691470056</v>
      </c>
      <c r="W43" s="3" t="str">
        <f>VLOOKUP(A43,Data_echipe!A:O,15,0)</f>
        <v>Tenchei</v>
      </c>
      <c r="X43" s="3">
        <f t="shared" si="9"/>
        <v>1</v>
      </c>
    </row>
    <row r="44" spans="1:24">
      <c r="A44" s="74" t="s">
        <v>173</v>
      </c>
      <c r="B44" s="24" t="str">
        <f>VLOOKUP(A44,Participanti!A:B,2,0)</f>
        <v>M</v>
      </c>
      <c r="C44" s="75">
        <v>2</v>
      </c>
      <c r="D44" s="76">
        <v>10.11</v>
      </c>
      <c r="E44" s="77">
        <v>4.4166666666666667E-2</v>
      </c>
      <c r="F44" s="78">
        <v>23</v>
      </c>
      <c r="G44" s="20">
        <f t="shared" si="16"/>
        <v>4.3686119353775138E-3</v>
      </c>
      <c r="H44" s="16">
        <f>IF(B44="F",IF(G44&gt;Barem!$AC$2,0,IF(B44="F",VLOOKUP(D44,Barem!$B$2:$C$11,2,1))),IF(G44&gt;Barem!$AC$3,0,VLOOKUP(D44,Barem!$B$12:$C$21,2,1)))</f>
        <v>2.5</v>
      </c>
      <c r="I44" s="16">
        <f>IF(H44=0,0,IF(B44="F",VLOOKUP(G44,Barem!$G$2:$H$11,2,1),VLOOKUP(G44,Barem!$G$12:$H$21,2,1)))</f>
        <v>1</v>
      </c>
      <c r="J44" s="75">
        <v>1.5</v>
      </c>
      <c r="K44" s="82" t="str">
        <f>VLOOKUP($C44,Barem!$L$2:$R$13,7,0)</f>
        <v>D</v>
      </c>
      <c r="L44" s="17">
        <f t="shared" si="14"/>
        <v>0.5</v>
      </c>
      <c r="M44" s="17">
        <f t="shared" si="14"/>
        <v>0.25</v>
      </c>
      <c r="N44" s="17">
        <f t="shared" si="14"/>
        <v>0.25</v>
      </c>
      <c r="O44" s="81">
        <f t="shared" si="17"/>
        <v>0</v>
      </c>
      <c r="P44" s="36">
        <f>IF(D44&gt;21,VLOOKUP(D44,Barem!$T$1:$U$39,2,1),0)</f>
        <v>0</v>
      </c>
      <c r="Q44" s="32">
        <f>IF(D44&lt;1.609,0,IF(B44="F",VLOOKUP(G44,Barem!$X$2:$Z$13,2,1),VLOOKUP(G44,Barem!$X$14:$Z$25,2,1)))</f>
        <v>0</v>
      </c>
      <c r="R44" s="36">
        <f>VLOOKUP(A44,Participanti!A:C,3,0)</f>
        <v>0</v>
      </c>
      <c r="S44" s="29">
        <f t="shared" si="18"/>
        <v>1.875</v>
      </c>
      <c r="T44" s="79">
        <v>43993</v>
      </c>
      <c r="U44" s="16">
        <f>COUNTIFS(A:A,A44,C:C,C44)</f>
        <v>1</v>
      </c>
      <c r="V44" s="34">
        <f t="shared" si="15"/>
        <v>0.18545994065281901</v>
      </c>
      <c r="W44" s="3" t="str">
        <f>VLOOKUP(A44,Data_echipe!A:O,15,0)</f>
        <v>Unicornii</v>
      </c>
      <c r="X44" s="3">
        <f t="shared" si="9"/>
        <v>1</v>
      </c>
    </row>
    <row r="45" spans="1:24">
      <c r="A45" s="74" t="s">
        <v>52</v>
      </c>
      <c r="B45" s="24" t="str">
        <f>VLOOKUP(A45,Participanti!A:B,2,0)</f>
        <v>M</v>
      </c>
      <c r="C45" s="75">
        <v>2</v>
      </c>
      <c r="D45" s="76">
        <v>12.54</v>
      </c>
      <c r="E45" s="77">
        <v>5.302083333333333E-2</v>
      </c>
      <c r="F45" s="78">
        <v>274</v>
      </c>
      <c r="G45" s="20">
        <f t="shared" si="16"/>
        <v>4.2281366294524185E-3</v>
      </c>
      <c r="H45" s="16">
        <f>IF(B45="F",IF(G45&gt;Barem!$AC$2,0,IF(B45="F",VLOOKUP(D45,Barem!$B$2:$C$11,2,1))),IF(G45&gt;Barem!$AC$3,0,VLOOKUP(D45,Barem!$B$12:$C$21,2,1)))</f>
        <v>3</v>
      </c>
      <c r="I45" s="16">
        <f>IF(H45=0,0,IF(B45="F",VLOOKUP(G45,Barem!$G$2:$H$11,2,1),VLOOKUP(G45,Barem!$G$12:$H$21,2,1)))</f>
        <v>1</v>
      </c>
      <c r="J45" s="75">
        <v>2.5</v>
      </c>
      <c r="K45" s="82" t="str">
        <f>VLOOKUP($C45,Barem!$L$2:$R$13,7,0)</f>
        <v>D</v>
      </c>
      <c r="L45" s="17">
        <f t="shared" si="14"/>
        <v>0.5</v>
      </c>
      <c r="M45" s="17">
        <f t="shared" si="14"/>
        <v>0.25</v>
      </c>
      <c r="N45" s="17">
        <f t="shared" si="14"/>
        <v>0.25</v>
      </c>
      <c r="O45" s="81">
        <f t="shared" si="17"/>
        <v>0.18266666666666667</v>
      </c>
      <c r="P45" s="36">
        <f>IF(D45&gt;21,VLOOKUP(D45,Barem!$T$1:$U$39,2,1),0)</f>
        <v>0</v>
      </c>
      <c r="Q45" s="32">
        <f>IF(D45&lt;1.609,0,IF(B45="F",VLOOKUP(G45,Barem!$X$2:$Z$13,2,1),VLOOKUP(G45,Barem!$X$14:$Z$25,2,1)))</f>
        <v>0</v>
      </c>
      <c r="R45" s="36">
        <f>VLOOKUP(A45,Participanti!A:C,3,0)</f>
        <v>0</v>
      </c>
      <c r="S45" s="29">
        <f t="shared" si="18"/>
        <v>2.5576666666666665</v>
      </c>
      <c r="T45" s="79">
        <v>43995</v>
      </c>
      <c r="U45" s="16">
        <f>COUNTIFS(A:A,A45,C:C,C45)</f>
        <v>1</v>
      </c>
      <c r="V45" s="34">
        <f t="shared" si="15"/>
        <v>0.20396065922381712</v>
      </c>
      <c r="W45" s="3" t="str">
        <f>VLOOKUP(A45,Data_echipe!A:O,15,0)</f>
        <v xml:space="preserve"> Let it run</v>
      </c>
      <c r="X45" s="3">
        <f t="shared" si="9"/>
        <v>1</v>
      </c>
    </row>
    <row r="46" spans="1:24" ht="12" customHeight="1">
      <c r="A46" s="74" t="s">
        <v>208</v>
      </c>
      <c r="B46" s="24" t="str">
        <f>VLOOKUP(A46,Participanti!A:B,2,0)</f>
        <v>M</v>
      </c>
      <c r="C46" s="75">
        <v>2</v>
      </c>
      <c r="D46" s="76">
        <v>34</v>
      </c>
      <c r="E46" s="77">
        <v>0.11774305555555555</v>
      </c>
      <c r="F46" s="78">
        <v>55</v>
      </c>
      <c r="G46" s="20">
        <f t="shared" si="16"/>
        <v>3.4630310457516335E-3</v>
      </c>
      <c r="H46" s="16">
        <f>IF(B46="F",IF(G46&gt;Barem!$AC$2,0,IF(B46="F",VLOOKUP(D46,Barem!$B$2:$C$11,2,1))),IF(G46&gt;Barem!$AC$3,0,VLOOKUP(D46,Barem!$B$12:$C$21,2,1)))</f>
        <v>5</v>
      </c>
      <c r="I46" s="16">
        <f>IF(H46=0,0,IF(B46="F",VLOOKUP(G46,Barem!$G$2:$H$11,2,1),VLOOKUP(G46,Barem!$G$12:$H$21,2,1)))</f>
        <v>3</v>
      </c>
      <c r="J46" s="75">
        <v>2</v>
      </c>
      <c r="K46" s="82" t="str">
        <f>VLOOKUP($C46,Barem!$L$2:$R$13,7,0)</f>
        <v>D</v>
      </c>
      <c r="L46" s="17">
        <f t="shared" ref="L46:N76" si="19">IF($K46=L$1,50%,25%)</f>
        <v>0.5</v>
      </c>
      <c r="M46" s="17">
        <f t="shared" si="19"/>
        <v>0.25</v>
      </c>
      <c r="N46" s="17">
        <f t="shared" si="19"/>
        <v>0.25</v>
      </c>
      <c r="O46" s="81">
        <f t="shared" si="17"/>
        <v>0</v>
      </c>
      <c r="P46" s="36">
        <f>IF(D46&gt;21,VLOOKUP(D46,Barem!$T$1:$U$39,2,1),0)</f>
        <v>0.2</v>
      </c>
      <c r="Q46" s="32">
        <f>IF(D46&lt;1.609,0,IF(B46="F",VLOOKUP(G46,Barem!$X$2:$Z$13,2,1),VLOOKUP(G46,Barem!$X$14:$Z$25,2,1)))</f>
        <v>0</v>
      </c>
      <c r="R46" s="36">
        <f>VLOOKUP(A46,Participanti!A:C,3,0)</f>
        <v>0</v>
      </c>
      <c r="S46" s="29">
        <f t="shared" si="18"/>
        <v>3.95</v>
      </c>
      <c r="T46" s="79">
        <v>43995</v>
      </c>
      <c r="U46" s="16">
        <f>COUNTIFS(A:A,A46,C:C,C46)</f>
        <v>1</v>
      </c>
      <c r="V46" s="34">
        <f t="shared" si="15"/>
        <v>0.1161764705882353</v>
      </c>
      <c r="W46" s="3" t="str">
        <f>VLOOKUP(A46,Data_echipe!A:O,15,0)</f>
        <v xml:space="preserve"> Let it run</v>
      </c>
      <c r="X46" s="3">
        <f t="shared" si="9"/>
        <v>1</v>
      </c>
    </row>
    <row r="47" spans="1:24">
      <c r="A47" s="74" t="s">
        <v>172</v>
      </c>
      <c r="B47" s="24" t="str">
        <f>VLOOKUP(A47,Participanti!A:B,2,0)</f>
        <v>F</v>
      </c>
      <c r="C47" s="75">
        <v>2</v>
      </c>
      <c r="D47" s="76">
        <v>30.02</v>
      </c>
      <c r="E47" s="77">
        <v>0.12233796296296295</v>
      </c>
      <c r="F47" s="78">
        <v>4</v>
      </c>
      <c r="G47" s="20">
        <f t="shared" si="16"/>
        <v>4.0752152885730501E-3</v>
      </c>
      <c r="H47" s="16">
        <f>IF(B47="F",IF(G47&gt;Barem!$AC$2,0,IF(B47="F",VLOOKUP(D47,Barem!$B$2:$C$11,2,1))),IF(G47&gt;Barem!$AC$3,0,VLOOKUP(D47,Barem!$B$12:$C$21,2,1)))</f>
        <v>5</v>
      </c>
      <c r="I47" s="16">
        <f>IF(H47=0,0,IF(B47="F",VLOOKUP(G47,Barem!$G$2:$H$11,2,1),VLOOKUP(G47,Barem!$G$12:$H$21,2,1)))</f>
        <v>2</v>
      </c>
      <c r="J47" s="75">
        <v>2</v>
      </c>
      <c r="K47" s="82" t="str">
        <f>VLOOKUP($C47,Barem!$L$2:$R$13,7,0)</f>
        <v>D</v>
      </c>
      <c r="L47" s="17">
        <f t="shared" si="19"/>
        <v>0.5</v>
      </c>
      <c r="M47" s="17">
        <f t="shared" si="19"/>
        <v>0.25</v>
      </c>
      <c r="N47" s="17">
        <f t="shared" si="19"/>
        <v>0.25</v>
      </c>
      <c r="O47" s="81">
        <f t="shared" si="17"/>
        <v>0</v>
      </c>
      <c r="P47" s="36">
        <f>IF(D47&gt;21,VLOOKUP(D47,Barem!$T$1:$U$39,2,1),0)</f>
        <v>0.1</v>
      </c>
      <c r="Q47" s="32">
        <f>IF(D47&lt;1.609,0,IF(B47="F",VLOOKUP(G47,Barem!$X$2:$Z$13,2,1),VLOOKUP(G47,Barem!$X$14:$Z$25,2,1)))</f>
        <v>0</v>
      </c>
      <c r="R47" s="36">
        <f>VLOOKUP(A47,Participanti!A:C,3,0)</f>
        <v>0</v>
      </c>
      <c r="S47" s="29">
        <f t="shared" si="18"/>
        <v>3.6</v>
      </c>
      <c r="T47" s="79">
        <v>43995</v>
      </c>
      <c r="U47" s="16">
        <f>COUNTIFS(A:A,A47,C:C,C47)</f>
        <v>1</v>
      </c>
      <c r="V47" s="34">
        <f t="shared" si="15"/>
        <v>0.11992005329780148</v>
      </c>
      <c r="W47" s="3" t="str">
        <f>VLOOKUP(A47,Data_echipe!A:O,15,0)</f>
        <v>Unicornii</v>
      </c>
      <c r="X47" s="3">
        <f t="shared" si="9"/>
        <v>1</v>
      </c>
    </row>
    <row r="48" spans="1:24">
      <c r="A48" s="74" t="s">
        <v>202</v>
      </c>
      <c r="B48" s="24" t="str">
        <f>VLOOKUP(A48,Participanti!A:B,2,0)</f>
        <v>M</v>
      </c>
      <c r="C48" s="75">
        <v>2</v>
      </c>
      <c r="D48" s="76">
        <v>27.01</v>
      </c>
      <c r="E48" s="77">
        <v>0.12275462962962963</v>
      </c>
      <c r="F48" s="78">
        <v>300</v>
      </c>
      <c r="G48" s="20">
        <f t="shared" si="16"/>
        <v>4.5447845105379353E-3</v>
      </c>
      <c r="H48" s="16">
        <f>IF(B48="F",IF(G48&gt;Barem!$AC$2,0,IF(B48="F",VLOOKUP(D48,Barem!$B$2:$C$11,2,1))),IF(G48&gt;Barem!$AC$3,0,VLOOKUP(D48,Barem!$B$12:$C$21,2,1)))</f>
        <v>5</v>
      </c>
      <c r="I48" s="16">
        <f>IF(H48=0,0,IF(B48="F",VLOOKUP(G48,Barem!$G$2:$H$11,2,1),VLOOKUP(G48,Barem!$G$12:$H$21,2,1)))</f>
        <v>1</v>
      </c>
      <c r="J48" s="75">
        <v>3.5</v>
      </c>
      <c r="K48" s="82" t="str">
        <f>VLOOKUP($C48,Barem!$L$2:$R$13,7,0)</f>
        <v>D</v>
      </c>
      <c r="L48" s="17">
        <f t="shared" si="19"/>
        <v>0.5</v>
      </c>
      <c r="M48" s="17">
        <f t="shared" si="19"/>
        <v>0.25</v>
      </c>
      <c r="N48" s="17">
        <f t="shared" si="19"/>
        <v>0.25</v>
      </c>
      <c r="O48" s="81">
        <f t="shared" si="17"/>
        <v>0.2</v>
      </c>
      <c r="P48" s="36">
        <f>IF(D48&gt;21,VLOOKUP(D48,Barem!$T$1:$U$39,2,1),0)</f>
        <v>0.1</v>
      </c>
      <c r="Q48" s="32">
        <f>IF(D48&lt;1.609,0,IF(B48="F",VLOOKUP(G48,Barem!$X$2:$Z$13,2,1),VLOOKUP(G48,Barem!$X$14:$Z$25,2,1)))</f>
        <v>0</v>
      </c>
      <c r="R48" s="36">
        <f>VLOOKUP(A48,Participanti!A:C,3,0)</f>
        <v>0</v>
      </c>
      <c r="S48" s="29">
        <f t="shared" si="18"/>
        <v>3.9250000000000003</v>
      </c>
      <c r="T48" s="79">
        <v>43995</v>
      </c>
      <c r="U48" s="16">
        <f>COUNTIFS(A:A,A48,C:C,C48)</f>
        <v>1</v>
      </c>
      <c r="V48" s="34">
        <f t="shared" si="15"/>
        <v>0.14531654942613847</v>
      </c>
      <c r="W48" s="3" t="str">
        <f>VLOOKUP(A48,Data_echipe!A:O,15,0)</f>
        <v>X Æ A-12</v>
      </c>
      <c r="X48" s="3">
        <f t="shared" si="9"/>
        <v>1</v>
      </c>
    </row>
    <row r="49" spans="1:24">
      <c r="A49" s="74" t="s">
        <v>50</v>
      </c>
      <c r="B49" s="24" t="str">
        <f>VLOOKUP(A49,Participanti!A:B,2,0)</f>
        <v>F</v>
      </c>
      <c r="C49" s="75">
        <v>2</v>
      </c>
      <c r="D49" s="76">
        <v>7.51</v>
      </c>
      <c r="E49" s="77">
        <v>3.1770833333333331E-2</v>
      </c>
      <c r="F49" s="78">
        <v>52</v>
      </c>
      <c r="G49" s="20">
        <f t="shared" si="16"/>
        <v>4.2304704837993782E-3</v>
      </c>
      <c r="H49" s="16">
        <f>IF(B49="F",IF(G49&gt;Barem!$AC$2,0,IF(B49="F",VLOOKUP(D49,Barem!$B$2:$C$11,2,1))),IF(G49&gt;Barem!$AC$3,0,VLOOKUP(D49,Barem!$B$12:$C$21,2,1)))</f>
        <v>2</v>
      </c>
      <c r="I49" s="16">
        <f>IF(H49=0,0,IF(B49="F",VLOOKUP(G49,Barem!$G$2:$H$11,2,1),VLOOKUP(G49,Barem!$G$12:$H$21,2,1)))</f>
        <v>1.5</v>
      </c>
      <c r="J49" s="75">
        <v>3</v>
      </c>
      <c r="K49" s="83" t="s">
        <v>184</v>
      </c>
      <c r="L49" s="17">
        <f t="shared" si="19"/>
        <v>0.25</v>
      </c>
      <c r="M49" s="17">
        <f t="shared" si="19"/>
        <v>0.25</v>
      </c>
      <c r="N49" s="17">
        <f t="shared" si="19"/>
        <v>0.5</v>
      </c>
      <c r="O49" s="81">
        <f t="shared" si="17"/>
        <v>0</v>
      </c>
      <c r="P49" s="36">
        <f>IF(D49&gt;21,VLOOKUP(D49,Barem!$T$1:$U$39,2,1),0)</f>
        <v>0</v>
      </c>
      <c r="Q49" s="32">
        <f>IF(D49&lt;1.609,0,IF(B49="F",VLOOKUP(G49,Barem!$X$2:$Z$13,2,1),VLOOKUP(G49,Barem!$X$14:$Z$25,2,1)))</f>
        <v>0</v>
      </c>
      <c r="R49" s="36">
        <f>VLOOKUP(A49,Participanti!A:C,3,0)</f>
        <v>0</v>
      </c>
      <c r="S49" s="29">
        <f t="shared" si="18"/>
        <v>2.375</v>
      </c>
      <c r="T49" s="79">
        <v>43994</v>
      </c>
      <c r="U49" s="16">
        <f>COUNTIFS(A:A,A49,C:C,C49)</f>
        <v>1</v>
      </c>
      <c r="V49" s="34">
        <f t="shared" si="15"/>
        <v>0.3162450066577896</v>
      </c>
      <c r="W49" s="3" t="str">
        <f>VLOOKUP(A49,Data_echipe!A:O,15,0)</f>
        <v>Serioranistii</v>
      </c>
      <c r="X49" s="3">
        <f t="shared" si="9"/>
        <v>1</v>
      </c>
    </row>
    <row r="50" spans="1:24">
      <c r="A50" s="74" t="s">
        <v>66</v>
      </c>
      <c r="B50" s="24" t="str">
        <f>VLOOKUP(A50,Participanti!A:B,2,0)</f>
        <v>M</v>
      </c>
      <c r="C50" s="75">
        <v>2</v>
      </c>
      <c r="D50" s="76">
        <v>8.0500000000000007</v>
      </c>
      <c r="E50" s="77">
        <v>2.988425925925926E-2</v>
      </c>
      <c r="F50" s="78">
        <v>14</v>
      </c>
      <c r="G50" s="20">
        <f t="shared" si="16"/>
        <v>3.7123303427651251E-3</v>
      </c>
      <c r="H50" s="16">
        <f>IF(B50="F",IF(G50&gt;Barem!$AC$2,0,IF(B50="F",VLOOKUP(D50,Barem!$B$2:$C$11,2,1))),IF(G50&gt;Barem!$AC$3,0,VLOOKUP(D50,Barem!$B$12:$C$21,2,1)))</f>
        <v>2</v>
      </c>
      <c r="I50" s="16">
        <f>IF(H50=0,0,IF(B50="F",VLOOKUP(G50,Barem!$G$2:$H$11,2,1),VLOOKUP(G50,Barem!$G$12:$H$21,2,1)))</f>
        <v>2</v>
      </c>
      <c r="J50" s="75">
        <v>2.5</v>
      </c>
      <c r="K50" s="82" t="str">
        <f>VLOOKUP($C50,Barem!$L$2:$R$13,7,0)</f>
        <v>D</v>
      </c>
      <c r="L50" s="17">
        <f t="shared" si="19"/>
        <v>0.5</v>
      </c>
      <c r="M50" s="17">
        <f t="shared" si="19"/>
        <v>0.25</v>
      </c>
      <c r="N50" s="17">
        <f t="shared" si="19"/>
        <v>0.25</v>
      </c>
      <c r="O50" s="81">
        <f t="shared" si="17"/>
        <v>0</v>
      </c>
      <c r="P50" s="36">
        <f>IF(D50&gt;21,VLOOKUP(D50,Barem!$T$1:$U$39,2,1),0)</f>
        <v>0</v>
      </c>
      <c r="Q50" s="32">
        <f>IF(D50&lt;1.609,0,IF(B50="F",VLOOKUP(G50,Barem!$X$2:$Z$13,2,1),VLOOKUP(G50,Barem!$X$14:$Z$25,2,1)))</f>
        <v>0</v>
      </c>
      <c r="R50" s="36">
        <f>VLOOKUP(A50,Participanti!A:C,3,0)</f>
        <v>0</v>
      </c>
      <c r="S50" s="29">
        <f t="shared" si="18"/>
        <v>2.125</v>
      </c>
      <c r="T50" s="79">
        <v>43995</v>
      </c>
      <c r="U50" s="16">
        <f>COUNTIFS(A:A,A50,C:C,C50)</f>
        <v>1</v>
      </c>
      <c r="V50" s="34">
        <f t="shared" si="15"/>
        <v>0.2639751552795031</v>
      </c>
      <c r="W50" s="3" t="str">
        <f>VLOOKUP(A50,Data_echipe!A:O,15,0)</f>
        <v>X Æ A-12</v>
      </c>
      <c r="X50" s="3">
        <f t="shared" si="9"/>
        <v>1</v>
      </c>
    </row>
    <row r="51" spans="1:24">
      <c r="A51" s="74" t="s">
        <v>200</v>
      </c>
      <c r="B51" s="24" t="str">
        <f>VLOOKUP(A51,Participanti!A:B,2,0)</f>
        <v>M</v>
      </c>
      <c r="C51" s="75">
        <v>2</v>
      </c>
      <c r="D51" s="76">
        <v>25.03</v>
      </c>
      <c r="E51" s="77">
        <v>8.2685185185185181E-2</v>
      </c>
      <c r="F51" s="78">
        <v>0</v>
      </c>
      <c r="G51" s="20">
        <f t="shared" si="16"/>
        <v>3.303443275476835E-3</v>
      </c>
      <c r="H51" s="16">
        <f>IF(B51="F",IF(G51&gt;Barem!$AC$2,0,IF(B51="F",VLOOKUP(D51,Barem!$B$2:$C$11,2,1))),IF(G51&gt;Barem!$AC$3,0,VLOOKUP(D51,Barem!$B$12:$C$21,2,1)))</f>
        <v>5</v>
      </c>
      <c r="I51" s="16">
        <f>IF(H51=0,0,IF(B51="F",VLOOKUP(G51,Barem!$G$2:$H$11,2,1),VLOOKUP(G51,Barem!$G$12:$H$21,2,1)))</f>
        <v>3.5</v>
      </c>
      <c r="J51" s="75">
        <v>4</v>
      </c>
      <c r="K51" s="82" t="str">
        <f>VLOOKUP($C51,Barem!$L$2:$R$13,7,0)</f>
        <v>D</v>
      </c>
      <c r="L51" s="17">
        <f t="shared" si="19"/>
        <v>0.5</v>
      </c>
      <c r="M51" s="17">
        <f t="shared" si="19"/>
        <v>0.25</v>
      </c>
      <c r="N51" s="17">
        <f t="shared" si="19"/>
        <v>0.25</v>
      </c>
      <c r="O51" s="81">
        <f t="shared" si="17"/>
        <v>0</v>
      </c>
      <c r="P51" s="36">
        <f>IF(D51&gt;21,VLOOKUP(D51,Barem!$T$1:$U$39,2,1),0)</f>
        <v>0</v>
      </c>
      <c r="Q51" s="32">
        <f>IF(D51&lt;1.609,0,IF(B51="F",VLOOKUP(G51,Barem!$X$2:$Z$13,2,1),VLOOKUP(G51,Barem!$X$14:$Z$25,2,1)))</f>
        <v>0</v>
      </c>
      <c r="R51" s="36">
        <f>VLOOKUP(A51,Participanti!A:C,3,0)</f>
        <v>0</v>
      </c>
      <c r="S51" s="29">
        <f t="shared" si="18"/>
        <v>4.375</v>
      </c>
      <c r="T51" s="79">
        <v>43995</v>
      </c>
      <c r="U51" s="16">
        <f>COUNTIFS(A:A,A51,C:C,C51)</f>
        <v>1</v>
      </c>
      <c r="V51" s="34">
        <f t="shared" si="15"/>
        <v>0.17479025169796245</v>
      </c>
      <c r="W51" s="3" t="str">
        <f>VLOOKUP(A51,Data_echipe!A:O,15,0)</f>
        <v xml:space="preserve"> Let it run</v>
      </c>
      <c r="X51" s="3">
        <f t="shared" si="9"/>
        <v>1</v>
      </c>
    </row>
    <row r="52" spans="1:24">
      <c r="A52" s="74" t="s">
        <v>209</v>
      </c>
      <c r="B52" s="24" t="str">
        <f>VLOOKUP(A52,Participanti!A:B,2,0)</f>
        <v>M</v>
      </c>
      <c r="C52" s="75">
        <v>2</v>
      </c>
      <c r="D52" s="76">
        <v>16</v>
      </c>
      <c r="E52" s="77">
        <v>5.7175925925925929E-2</v>
      </c>
      <c r="F52" s="78">
        <v>0</v>
      </c>
      <c r="G52" s="20">
        <f t="shared" si="16"/>
        <v>3.5734953703703705E-3</v>
      </c>
      <c r="H52" s="16">
        <f>IF(B52="F",IF(G52&gt;Barem!$AC$2,0,IF(B52="F",VLOOKUP(D52,Barem!$B$2:$C$11,2,1))),IF(G52&gt;Barem!$AC$3,0,VLOOKUP(D52,Barem!$B$12:$C$21,2,1)))</f>
        <v>3.5</v>
      </c>
      <c r="I52" s="16">
        <f>IF(H52=0,0,IF(B52="F",VLOOKUP(G52,Barem!$G$2:$H$11,2,1),VLOOKUP(G52,Barem!$G$12:$H$21,2,1)))</f>
        <v>2.5</v>
      </c>
      <c r="J52" s="75">
        <v>2</v>
      </c>
      <c r="K52" s="82" t="str">
        <f>VLOOKUP($C52,Barem!$L$2:$R$13,7,0)</f>
        <v>D</v>
      </c>
      <c r="L52" s="17">
        <f t="shared" si="19"/>
        <v>0.5</v>
      </c>
      <c r="M52" s="17">
        <f t="shared" si="19"/>
        <v>0.25</v>
      </c>
      <c r="N52" s="17">
        <f t="shared" si="19"/>
        <v>0.25</v>
      </c>
      <c r="O52" s="81">
        <f t="shared" si="17"/>
        <v>0</v>
      </c>
      <c r="P52" s="36">
        <f>IF(D52&gt;21,VLOOKUP(D52,Barem!$T$1:$U$39,2,1),0)</f>
        <v>0</v>
      </c>
      <c r="Q52" s="32">
        <f>IF(D52&lt;1.609,0,IF(B52="F",VLOOKUP(G52,Barem!$X$2:$Z$13,2,1),VLOOKUP(G52,Barem!$X$14:$Z$25,2,1)))</f>
        <v>0</v>
      </c>
      <c r="R52" s="36">
        <f>VLOOKUP(A52,Participanti!A:C,3,0)</f>
        <v>0</v>
      </c>
      <c r="S52" s="29">
        <f t="shared" si="18"/>
        <v>2.875</v>
      </c>
      <c r="T52" s="79">
        <v>43995</v>
      </c>
      <c r="U52" s="16">
        <f>COUNTIFS(A:A,A52,C:C,C52)</f>
        <v>1</v>
      </c>
      <c r="V52" s="34">
        <f t="shared" si="15"/>
        <v>0.1796875</v>
      </c>
      <c r="W52" s="3" t="str">
        <f>VLOOKUP(A52,Data_echipe!A:O,15,0)</f>
        <v>Serioranistii</v>
      </c>
      <c r="X52" s="3">
        <f t="shared" si="9"/>
        <v>1</v>
      </c>
    </row>
    <row r="53" spans="1:24">
      <c r="A53" s="74" t="s">
        <v>169</v>
      </c>
      <c r="B53" s="24" t="str">
        <f>VLOOKUP(A53,Participanti!A:B,2,0)</f>
        <v>F</v>
      </c>
      <c r="C53" s="75">
        <v>2</v>
      </c>
      <c r="D53" s="76">
        <v>8</v>
      </c>
      <c r="E53" s="77">
        <v>5.2986111111111116E-2</v>
      </c>
      <c r="F53" s="78">
        <v>49</v>
      </c>
      <c r="G53" s="20">
        <f t="shared" si="16"/>
        <v>6.6232638888888895E-3</v>
      </c>
      <c r="H53" s="16">
        <f>IF(B53="F",IF(G53&gt;Barem!$AC$2,0,IF(B53="F",VLOOKUP(D53,Barem!$B$2:$C$11,2,1))),IF(G53&gt;Barem!$AC$3,0,VLOOKUP(D53,Barem!$B$12:$C$21,2,1)))</f>
        <v>2</v>
      </c>
      <c r="I53" s="16">
        <f>IF(H53=0,0,IF(B53="F",VLOOKUP(G53,Barem!$G$2:$H$11,2,1),VLOOKUP(G53,Barem!$G$12:$H$21,2,1)))</f>
        <v>0</v>
      </c>
      <c r="J53" s="75">
        <v>1</v>
      </c>
      <c r="K53" s="82" t="str">
        <f>VLOOKUP($C53,Barem!$L$2:$R$13,7,0)</f>
        <v>D</v>
      </c>
      <c r="L53" s="17">
        <f t="shared" si="19"/>
        <v>0.5</v>
      </c>
      <c r="M53" s="17">
        <f t="shared" si="19"/>
        <v>0.25</v>
      </c>
      <c r="N53" s="17">
        <f t="shared" si="19"/>
        <v>0.25</v>
      </c>
      <c r="O53" s="81">
        <f t="shared" si="17"/>
        <v>0</v>
      </c>
      <c r="P53" s="36">
        <f>IF(D53&gt;21,VLOOKUP(D53,Barem!$T$1:$U$39,2,1),0)</f>
        <v>0</v>
      </c>
      <c r="Q53" s="32">
        <f>IF(D53&lt;1.609,0,IF(B53="F",VLOOKUP(G53,Barem!$X$2:$Z$13,2,1),VLOOKUP(G53,Barem!$X$14:$Z$25,2,1)))</f>
        <v>0</v>
      </c>
      <c r="R53" s="36">
        <f>VLOOKUP(A53,Participanti!A:C,3,0)</f>
        <v>0.5</v>
      </c>
      <c r="S53" s="29">
        <f t="shared" si="18"/>
        <v>1.75</v>
      </c>
      <c r="T53" s="79">
        <v>43994</v>
      </c>
      <c r="U53" s="16">
        <f>COUNTIFS(A:A,A53,C:C,C53)</f>
        <v>1</v>
      </c>
      <c r="V53" s="34">
        <f t="shared" si="15"/>
        <v>0.21875</v>
      </c>
      <c r="W53" s="3" t="str">
        <f>VLOOKUP(A53,Data_echipe!A:O,15,0)</f>
        <v>Serioranistii</v>
      </c>
      <c r="X53" s="3">
        <f t="shared" si="9"/>
        <v>0</v>
      </c>
    </row>
    <row r="54" spans="1:24">
      <c r="A54" s="74" t="s">
        <v>201</v>
      </c>
      <c r="B54" s="24" t="str">
        <f>VLOOKUP(A54,Participanti!A:B,2,0)</f>
        <v>F</v>
      </c>
      <c r="C54" s="75">
        <v>2</v>
      </c>
      <c r="D54" s="76">
        <v>22.51</v>
      </c>
      <c r="E54" s="77">
        <v>0.14184027777777777</v>
      </c>
      <c r="F54" s="78">
        <v>706</v>
      </c>
      <c r="G54" s="20">
        <f t="shared" si="16"/>
        <v>6.3012118070980795E-3</v>
      </c>
      <c r="H54" s="16">
        <f>IF(B54="F",IF(G54&gt;Barem!$AC$2,0,IF(B54="F",VLOOKUP(D54,Barem!$B$2:$C$11,2,1))),IF(G54&gt;Barem!$AC$3,0,VLOOKUP(D54,Barem!$B$12:$C$21,2,1)))</f>
        <v>5</v>
      </c>
      <c r="I54" s="16">
        <f>IF(H54=0,0,IF(B54="F",VLOOKUP(G54,Barem!$G$2:$H$11,2,1),VLOOKUP(G54,Barem!$G$12:$H$21,2,1)))</f>
        <v>0</v>
      </c>
      <c r="J54" s="75">
        <v>4</v>
      </c>
      <c r="K54" s="82" t="str">
        <f>VLOOKUP($C54,Barem!$L$2:$R$13,7,0)</f>
        <v>D</v>
      </c>
      <c r="L54" s="17">
        <f t="shared" si="19"/>
        <v>0.5</v>
      </c>
      <c r="M54" s="17">
        <f t="shared" si="19"/>
        <v>0.25</v>
      </c>
      <c r="N54" s="17">
        <f t="shared" si="19"/>
        <v>0.25</v>
      </c>
      <c r="O54" s="81">
        <f t="shared" si="17"/>
        <v>0.47066666666666668</v>
      </c>
      <c r="P54" s="36">
        <f>IF(D54&gt;21,VLOOKUP(D54,Barem!$T$1:$U$39,2,1),0)</f>
        <v>0</v>
      </c>
      <c r="Q54" s="32">
        <f>IF(D54&lt;1.609,0,IF(B54="F",VLOOKUP(G54,Barem!$X$2:$Z$13,2,1),VLOOKUP(G54,Barem!$X$14:$Z$25,2,1)))</f>
        <v>0</v>
      </c>
      <c r="R54" s="36">
        <f>VLOOKUP(A54,Participanti!A:C,3,0)</f>
        <v>0</v>
      </c>
      <c r="S54" s="29">
        <f t="shared" si="18"/>
        <v>3.9706666666666668</v>
      </c>
      <c r="T54" s="79">
        <v>43995</v>
      </c>
      <c r="U54" s="16">
        <f>COUNTIFS(A:A,A54,C:C,C54)</f>
        <v>1</v>
      </c>
      <c r="V54" s="34">
        <f t="shared" si="15"/>
        <v>0.17639567599585368</v>
      </c>
      <c r="W54" s="3" t="str">
        <f>VLOOKUP(A54,Data_echipe!A:O,15,0)</f>
        <v>X Æ A-12</v>
      </c>
      <c r="X54" s="3">
        <f t="shared" si="9"/>
        <v>0</v>
      </c>
    </row>
    <row r="55" spans="1:24">
      <c r="A55" s="74" t="s">
        <v>171</v>
      </c>
      <c r="B55" s="24" t="str">
        <f>VLOOKUP(A55,Participanti!A:B,2,0)</f>
        <v>M</v>
      </c>
      <c r="C55" s="75">
        <v>2</v>
      </c>
      <c r="D55" s="76">
        <v>18.510000000000002</v>
      </c>
      <c r="E55" s="77">
        <v>7.4398148148148144E-2</v>
      </c>
      <c r="F55" s="78">
        <v>476</v>
      </c>
      <c r="G55" s="20">
        <f t="shared" si="16"/>
        <v>4.0193489004942268E-3</v>
      </c>
      <c r="H55" s="16">
        <f>IF(B55="F",IF(G55&gt;Barem!$AC$2,0,IF(B55="F",VLOOKUP(D55,Barem!$B$2:$C$11,2,1))),IF(G55&gt;Barem!$AC$3,0,VLOOKUP(D55,Barem!$B$12:$C$21,2,1)))</f>
        <v>4</v>
      </c>
      <c r="I55" s="16">
        <f>IF(H55=0,0,IF(B55="F",VLOOKUP(G55,Barem!$G$2:$H$11,2,1),VLOOKUP(G55,Barem!$G$12:$H$21,2,1)))</f>
        <v>1.5</v>
      </c>
      <c r="J55" s="75">
        <v>4</v>
      </c>
      <c r="K55" s="83" t="s">
        <v>184</v>
      </c>
      <c r="L55" s="17">
        <f t="shared" si="19"/>
        <v>0.25</v>
      </c>
      <c r="M55" s="17">
        <f t="shared" si="19"/>
        <v>0.25</v>
      </c>
      <c r="N55" s="17">
        <f t="shared" si="19"/>
        <v>0.5</v>
      </c>
      <c r="O55" s="81">
        <f t="shared" si="17"/>
        <v>0.31733333333333336</v>
      </c>
      <c r="P55" s="36">
        <f>IF(D55&gt;21,VLOOKUP(D55,Barem!$T$1:$U$39,2,1),0)</f>
        <v>0</v>
      </c>
      <c r="Q55" s="32">
        <f>IF(D55&lt;1.609,0,IF(B55="F",VLOOKUP(G55,Barem!$X$2:$Z$13,2,1),VLOOKUP(G55,Barem!$X$14:$Z$25,2,1)))</f>
        <v>0</v>
      </c>
      <c r="R55" s="36">
        <f>VLOOKUP(A55,Participanti!A:C,3,0)</f>
        <v>0</v>
      </c>
      <c r="S55" s="29">
        <f t="shared" si="18"/>
        <v>3.6923333333333335</v>
      </c>
      <c r="T55" s="79">
        <v>43995</v>
      </c>
      <c r="U55" s="16">
        <f>COUNTIFS(A:A,A55,C:C,C55)</f>
        <v>1</v>
      </c>
      <c r="V55" s="34">
        <f t="shared" si="15"/>
        <v>0.19947775976949395</v>
      </c>
      <c r="W55" s="3" t="str">
        <f>VLOOKUP(A55,Data_echipe!A:O,15,0)</f>
        <v>X Æ A-12</v>
      </c>
      <c r="X55" s="3">
        <f t="shared" si="9"/>
        <v>1</v>
      </c>
    </row>
    <row r="56" spans="1:24">
      <c r="A56" s="74" t="s">
        <v>57</v>
      </c>
      <c r="B56" s="24" t="str">
        <f>VLOOKUP(A56,Participanti!A:B,2,0)</f>
        <v>M</v>
      </c>
      <c r="C56" s="75">
        <v>2</v>
      </c>
      <c r="D56" s="76">
        <v>42.25</v>
      </c>
      <c r="E56" s="77">
        <v>0.14592592592592593</v>
      </c>
      <c r="F56" s="78">
        <v>880</v>
      </c>
      <c r="G56" s="20">
        <f t="shared" si="16"/>
        <v>3.4538680692526849E-3</v>
      </c>
      <c r="H56" s="16">
        <f>IF(B56="F",IF(G56&gt;Barem!$AC$2,0,IF(B56="F",VLOOKUP(D56,Barem!$B$2:$C$11,2,1))),IF(G56&gt;Barem!$AC$3,0,VLOOKUP(D56,Barem!$B$12:$C$21,2,1)))</f>
        <v>5</v>
      </c>
      <c r="I56" s="16">
        <f>IF(H56=0,0,IF(B56="F",VLOOKUP(G56,Barem!$G$2:$H$11,2,1),VLOOKUP(G56,Barem!$G$12:$H$21,2,1)))</f>
        <v>3</v>
      </c>
      <c r="J56" s="75">
        <v>4</v>
      </c>
      <c r="K56" s="82" t="str">
        <f>VLOOKUP($C56,Barem!$L$2:$R$13,7,0)</f>
        <v>D</v>
      </c>
      <c r="L56" s="17">
        <f t="shared" si="19"/>
        <v>0.5</v>
      </c>
      <c r="M56" s="17">
        <f t="shared" si="19"/>
        <v>0.25</v>
      </c>
      <c r="N56" s="17">
        <f t="shared" si="19"/>
        <v>0.25</v>
      </c>
      <c r="O56" s="81">
        <f t="shared" si="17"/>
        <v>0.58666666666666667</v>
      </c>
      <c r="P56" s="36">
        <f>IF(D56&gt;21,VLOOKUP(D56,Barem!$T$1:$U$39,2,1),0)</f>
        <v>0.4</v>
      </c>
      <c r="Q56" s="32">
        <f>IF(D56&lt;1.609,0,IF(B56="F",VLOOKUP(G56,Barem!$X$2:$Z$13,2,1),VLOOKUP(G56,Barem!$X$14:$Z$25,2,1)))</f>
        <v>0</v>
      </c>
      <c r="R56" s="36">
        <f>VLOOKUP(A56,Participanti!A:C,3,0)</f>
        <v>0</v>
      </c>
      <c r="S56" s="29">
        <f t="shared" si="18"/>
        <v>5.2366666666666672</v>
      </c>
      <c r="T56" s="79">
        <v>43996</v>
      </c>
      <c r="U56" s="16">
        <f>COUNTIFS(A:A,A56,C:C,C56)</f>
        <v>1</v>
      </c>
      <c r="V56" s="34">
        <f t="shared" si="15"/>
        <v>0.12394477317554242</v>
      </c>
      <c r="W56" s="3" t="str">
        <f>VLOOKUP(A56,Data_echipe!A:O,15,0)</f>
        <v>Tenchei</v>
      </c>
      <c r="X56" s="3">
        <f t="shared" si="9"/>
        <v>1</v>
      </c>
    </row>
    <row r="57" spans="1:24">
      <c r="A57" s="74" t="s">
        <v>65</v>
      </c>
      <c r="B57" s="24" t="str">
        <f>VLOOKUP(A57,Participanti!A:B,2,0)</f>
        <v>M</v>
      </c>
      <c r="C57" s="75">
        <v>2</v>
      </c>
      <c r="D57" s="76">
        <v>30.15</v>
      </c>
      <c r="E57" s="77">
        <v>0.11069444444444444</v>
      </c>
      <c r="F57" s="78">
        <v>28</v>
      </c>
      <c r="G57" s="20">
        <f t="shared" si="16"/>
        <v>3.6714575271789202E-3</v>
      </c>
      <c r="H57" s="16">
        <f>IF(B57="F",IF(G57&gt;Barem!$AC$2,0,IF(B57="F",VLOOKUP(D57,Barem!$B$2:$C$11,2,1))),IF(G57&gt;Barem!$AC$3,0,VLOOKUP(D57,Barem!$B$12:$C$21,2,1)))</f>
        <v>5</v>
      </c>
      <c r="I57" s="16">
        <f>IF(H57=0,0,IF(B57="F",VLOOKUP(G57,Barem!$G$2:$H$11,2,1),VLOOKUP(G57,Barem!$G$12:$H$21,2,1)))</f>
        <v>2</v>
      </c>
      <c r="J57" s="75">
        <v>3</v>
      </c>
      <c r="K57" s="82" t="str">
        <f>VLOOKUP($C57,Barem!$L$2:$R$13,7,0)</f>
        <v>D</v>
      </c>
      <c r="L57" s="17">
        <f t="shared" si="19"/>
        <v>0.5</v>
      </c>
      <c r="M57" s="17">
        <f t="shared" si="19"/>
        <v>0.25</v>
      </c>
      <c r="N57" s="17">
        <f t="shared" si="19"/>
        <v>0.25</v>
      </c>
      <c r="O57" s="81">
        <f t="shared" si="17"/>
        <v>0</v>
      </c>
      <c r="P57" s="36">
        <f>IF(D57&gt;21,VLOOKUP(D57,Barem!$T$1:$U$39,2,1),0)</f>
        <v>0.1</v>
      </c>
      <c r="Q57" s="32">
        <f>IF(D57&lt;1.609,0,IF(B57="F",VLOOKUP(G57,Barem!$X$2:$Z$13,2,1),VLOOKUP(G57,Barem!$X$14:$Z$25,2,1)))</f>
        <v>0</v>
      </c>
      <c r="R57" s="36">
        <f>VLOOKUP(A57,Participanti!A:C,3,0)</f>
        <v>0</v>
      </c>
      <c r="S57" s="29">
        <f t="shared" si="18"/>
        <v>3.85</v>
      </c>
      <c r="T57" s="79">
        <v>43996</v>
      </c>
      <c r="U57" s="16">
        <f>COUNTIFS(A:A,A57,C:C,C57)</f>
        <v>1</v>
      </c>
      <c r="V57" s="34">
        <f t="shared" si="15"/>
        <v>0.12769485903814262</v>
      </c>
      <c r="W57" s="3" t="str">
        <f>VLOOKUP(A57,Data_echipe!A:O,15,0)</f>
        <v>X Æ A-12</v>
      </c>
      <c r="X57" s="3">
        <f t="shared" si="9"/>
        <v>1</v>
      </c>
    </row>
    <row r="58" spans="1:24">
      <c r="A58" s="74" t="s">
        <v>64</v>
      </c>
      <c r="B58" s="24" t="str">
        <f>VLOOKUP(A58,Participanti!A:B,2,0)</f>
        <v>M</v>
      </c>
      <c r="C58" s="75">
        <v>2</v>
      </c>
      <c r="D58" s="76">
        <v>15.08</v>
      </c>
      <c r="E58" s="77">
        <v>7.0995370370370361E-2</v>
      </c>
      <c r="F58" s="78">
        <v>67</v>
      </c>
      <c r="G58" s="20">
        <f t="shared" si="16"/>
        <v>4.7079158070537372E-3</v>
      </c>
      <c r="H58" s="16">
        <f>IF(B58="F",IF(G58&gt;Barem!$AC$2,0,IF(B58="F",VLOOKUP(D58,Barem!$B$2:$C$11,2,1))),IF(G58&gt;Barem!$AC$3,0,VLOOKUP(D58,Barem!$B$12:$C$21,2,1)))</f>
        <v>3.5</v>
      </c>
      <c r="I58" s="16">
        <f>IF(H58=0,0,IF(B58="F",VLOOKUP(G58,Barem!$G$2:$H$11,2,1),VLOOKUP(G58,Barem!$G$12:$H$21,2,1)))</f>
        <v>1</v>
      </c>
      <c r="J58" s="75">
        <v>3.5</v>
      </c>
      <c r="K58" s="82" t="str">
        <f>VLOOKUP($C58,Barem!$L$2:$R$13,7,0)</f>
        <v>D</v>
      </c>
      <c r="L58" s="17">
        <f t="shared" si="19"/>
        <v>0.5</v>
      </c>
      <c r="M58" s="17">
        <f t="shared" si="19"/>
        <v>0.25</v>
      </c>
      <c r="N58" s="17">
        <f t="shared" si="19"/>
        <v>0.25</v>
      </c>
      <c r="O58" s="81">
        <f t="shared" si="17"/>
        <v>0</v>
      </c>
      <c r="P58" s="36">
        <f>IF(D58&gt;21,VLOOKUP(D58,Barem!$T$1:$U$39,2,1),0)</f>
        <v>0</v>
      </c>
      <c r="Q58" s="32">
        <f>IF(D58&lt;1.609,0,IF(B58="F",VLOOKUP(G58,Barem!$X$2:$Z$13,2,1),VLOOKUP(G58,Barem!$X$14:$Z$25,2,1)))</f>
        <v>0</v>
      </c>
      <c r="R58" s="36">
        <f>VLOOKUP(A58,Participanti!A:C,3,0)</f>
        <v>0</v>
      </c>
      <c r="S58" s="29">
        <f t="shared" si="18"/>
        <v>2.875</v>
      </c>
      <c r="T58" s="79">
        <v>43996</v>
      </c>
      <c r="U58" s="16">
        <f>COUNTIFS(A:A,A58,C:C,C58)</f>
        <v>1</v>
      </c>
      <c r="V58" s="34">
        <f t="shared" si="15"/>
        <v>0.1906498673740053</v>
      </c>
      <c r="W58" s="3" t="str">
        <f>VLOOKUP(A58,Data_echipe!A:O,15,0)</f>
        <v xml:space="preserve"> Let it run</v>
      </c>
      <c r="X58" s="3">
        <f t="shared" si="9"/>
        <v>1</v>
      </c>
    </row>
    <row r="59" spans="1:24">
      <c r="A59" s="74" t="s">
        <v>203</v>
      </c>
      <c r="B59" s="24" t="str">
        <f>VLOOKUP(A59,Participanti!A:B,2,0)</f>
        <v>M</v>
      </c>
      <c r="C59" s="75">
        <v>2</v>
      </c>
      <c r="D59" s="76">
        <v>42.2</v>
      </c>
      <c r="E59" s="77">
        <v>0.15883101851851852</v>
      </c>
      <c r="F59" s="78">
        <v>986</v>
      </c>
      <c r="G59" s="20">
        <f t="shared" si="16"/>
        <v>3.7637682113393013E-3</v>
      </c>
      <c r="H59" s="16">
        <f>IF(B59="F",IF(G59&gt;Barem!$AC$2,0,IF(B59="F",VLOOKUP(D59,Barem!$B$2:$C$11,2,1))),IF(G59&gt;Barem!$AC$3,0,VLOOKUP(D59,Barem!$B$12:$C$21,2,1)))</f>
        <v>5</v>
      </c>
      <c r="I59" s="16">
        <f>IF(H59=0,0,IF(B59="F",VLOOKUP(G59,Barem!$G$2:$H$11,2,1),VLOOKUP(G59,Barem!$G$12:$H$21,2,1)))</f>
        <v>2</v>
      </c>
      <c r="J59" s="75">
        <v>3</v>
      </c>
      <c r="K59" s="82" t="str">
        <f>VLOOKUP($C59,Barem!$L$2:$R$13,7,0)</f>
        <v>D</v>
      </c>
      <c r="L59" s="17">
        <f t="shared" si="19"/>
        <v>0.5</v>
      </c>
      <c r="M59" s="17">
        <f t="shared" si="19"/>
        <v>0.25</v>
      </c>
      <c r="N59" s="17">
        <f t="shared" si="19"/>
        <v>0.25</v>
      </c>
      <c r="O59" s="81">
        <f t="shared" si="17"/>
        <v>0.65733333333333333</v>
      </c>
      <c r="P59" s="36">
        <f>IF(D59&gt;21,VLOOKUP(D59,Barem!$T$1:$U$39,2,1),0)</f>
        <v>0.4</v>
      </c>
      <c r="Q59" s="32">
        <f>IF(D59&lt;1.609,0,IF(B59="F",VLOOKUP(G59,Barem!$X$2:$Z$13,2,1),VLOOKUP(G59,Barem!$X$14:$Z$25,2,1)))</f>
        <v>0</v>
      </c>
      <c r="R59" s="36">
        <f>VLOOKUP(A59,Participanti!A:C,3,0)</f>
        <v>0</v>
      </c>
      <c r="S59" s="29">
        <f t="shared" si="18"/>
        <v>4.8073333333333341</v>
      </c>
      <c r="T59" s="79">
        <v>43996</v>
      </c>
      <c r="U59" s="16">
        <f>COUNTIFS(A:A,A59,C:C,C59)</f>
        <v>1</v>
      </c>
      <c r="V59" s="34">
        <f t="shared" si="15"/>
        <v>0.1139178515007899</v>
      </c>
      <c r="W59" s="3" t="str">
        <f>VLOOKUP(A59,Data_echipe!A:O,15,0)</f>
        <v>Tenchei</v>
      </c>
      <c r="X59" s="3">
        <f t="shared" si="9"/>
        <v>1</v>
      </c>
    </row>
    <row r="60" spans="1:24">
      <c r="A60" s="74" t="s">
        <v>54</v>
      </c>
      <c r="B60" s="24" t="str">
        <f>VLOOKUP(A60,Participanti!A:B,2,0)</f>
        <v>M</v>
      </c>
      <c r="C60" s="75">
        <v>2</v>
      </c>
      <c r="D60" s="76">
        <v>9.48</v>
      </c>
      <c r="E60" s="77">
        <v>3.9155092592592596E-2</v>
      </c>
      <c r="F60" s="78">
        <v>115</v>
      </c>
      <c r="G60" s="20">
        <f t="shared" si="16"/>
        <v>4.1302840287544933E-3</v>
      </c>
      <c r="H60" s="16">
        <f>IF(B60="F",IF(G60&gt;Barem!$AC$2,0,IF(B60="F",VLOOKUP(D60,Barem!$B$2:$C$11,2,1))),IF(G60&gt;Barem!$AC$3,0,VLOOKUP(D60,Barem!$B$12:$C$21,2,1)))</f>
        <v>2</v>
      </c>
      <c r="I60" s="16">
        <f>IF(H60=0,0,IF(B60="F",VLOOKUP(G60,Barem!$G$2:$H$11,2,1),VLOOKUP(G60,Barem!$G$12:$H$21,2,1)))</f>
        <v>1.5</v>
      </c>
      <c r="J60" s="75">
        <v>3</v>
      </c>
      <c r="K60" s="83" t="s">
        <v>184</v>
      </c>
      <c r="L60" s="17">
        <f t="shared" si="19"/>
        <v>0.25</v>
      </c>
      <c r="M60" s="17">
        <f t="shared" si="19"/>
        <v>0.25</v>
      </c>
      <c r="N60" s="17">
        <f t="shared" si="19"/>
        <v>0.5</v>
      </c>
      <c r="O60" s="81">
        <f t="shared" si="17"/>
        <v>7.6666666666666661E-2</v>
      </c>
      <c r="P60" s="36">
        <f>IF(D60&gt;21,VLOOKUP(D60,Barem!$T$1:$U$39,2,1),0)</f>
        <v>0</v>
      </c>
      <c r="Q60" s="32">
        <f>IF(D60&lt;1.609,0,IF(B60="F",VLOOKUP(G60,Barem!$X$2:$Z$13,2,1),VLOOKUP(G60,Barem!$X$14:$Z$25,2,1)))</f>
        <v>0</v>
      </c>
      <c r="R60" s="36">
        <f>VLOOKUP(A60,Participanti!A:C,3,0)</f>
        <v>0.5</v>
      </c>
      <c r="S60" s="29">
        <f t="shared" si="18"/>
        <v>2.9516666666666667</v>
      </c>
      <c r="T60" s="79">
        <v>43996</v>
      </c>
      <c r="U60" s="16">
        <f>COUNTIFS(A:A,A60,C:C,C60)</f>
        <v>1</v>
      </c>
      <c r="V60" s="34">
        <f t="shared" si="15"/>
        <v>0.31135724331926862</v>
      </c>
      <c r="W60" s="3" t="str">
        <f>VLOOKUP(A60,Data_echipe!A:O,15,0)</f>
        <v>Serioranistii</v>
      </c>
      <c r="X60" s="3">
        <f t="shared" si="9"/>
        <v>1</v>
      </c>
    </row>
    <row r="61" spans="1:24">
      <c r="A61" s="74" t="s">
        <v>68</v>
      </c>
      <c r="B61" s="24" t="str">
        <f>VLOOKUP(A61,Participanti!A:B,2,0)</f>
        <v>M</v>
      </c>
      <c r="C61" s="75">
        <v>2</v>
      </c>
      <c r="D61" s="76">
        <v>15.1</v>
      </c>
      <c r="E61" s="77">
        <v>5.1736111111111115E-2</v>
      </c>
      <c r="F61" s="78">
        <v>150</v>
      </c>
      <c r="G61" s="20">
        <f t="shared" si="16"/>
        <v>3.4262325239146434E-3</v>
      </c>
      <c r="H61" s="16">
        <f>IF(B61="F",IF(G61&gt;Barem!$AC$2,0,IF(B61="F",VLOOKUP(D61,Barem!$B$2:$C$11,2,1))),IF(G61&gt;Barem!$AC$3,0,VLOOKUP(D61,Barem!$B$12:$C$21,2,1)))</f>
        <v>3.5</v>
      </c>
      <c r="I61" s="16">
        <f>IF(H61=0,0,IF(B61="F",VLOOKUP(G61,Barem!$G$2:$H$11,2,1),VLOOKUP(G61,Barem!$G$12:$H$21,2,1)))</f>
        <v>3</v>
      </c>
      <c r="J61" s="75">
        <v>4</v>
      </c>
      <c r="K61" s="82" t="str">
        <f>VLOOKUP($C61,Barem!$L$2:$R$13,7,0)</f>
        <v>D</v>
      </c>
      <c r="L61" s="17">
        <f t="shared" si="19"/>
        <v>0.5</v>
      </c>
      <c r="M61" s="17">
        <f t="shared" si="19"/>
        <v>0.25</v>
      </c>
      <c r="N61" s="17">
        <f t="shared" si="19"/>
        <v>0.25</v>
      </c>
      <c r="O61" s="81">
        <f t="shared" si="17"/>
        <v>0.1</v>
      </c>
      <c r="P61" s="36">
        <f>IF(D61&gt;21,VLOOKUP(D61,Barem!$T$1:$U$39,2,1),0)</f>
        <v>0</v>
      </c>
      <c r="Q61" s="32">
        <f>IF(D61&lt;1.609,0,IF(B61="F",VLOOKUP(G61,Barem!$X$2:$Z$13,2,1),VLOOKUP(G61,Barem!$X$14:$Z$25,2,1)))</f>
        <v>0</v>
      </c>
      <c r="R61" s="36">
        <f>VLOOKUP(A61,Participanti!A:C,3,0)</f>
        <v>0</v>
      </c>
      <c r="S61" s="29">
        <f t="shared" si="18"/>
        <v>3.6</v>
      </c>
      <c r="T61" s="79">
        <v>43996</v>
      </c>
      <c r="U61" s="16">
        <f>COUNTIFS(A:A,A61,C:C,C61)</f>
        <v>1</v>
      </c>
      <c r="V61" s="34">
        <f t="shared" si="15"/>
        <v>0.23841059602649009</v>
      </c>
      <c r="W61" s="3" t="str">
        <f>VLOOKUP(A61,Data_echipe!A:O,15,0)</f>
        <v>Unicornii</v>
      </c>
      <c r="X61" s="3">
        <f t="shared" si="9"/>
        <v>1</v>
      </c>
    </row>
    <row r="62" spans="1:24">
      <c r="A62" s="74" t="s">
        <v>86</v>
      </c>
      <c r="B62" s="24" t="str">
        <f>VLOOKUP(A62,Participanti!A:B,2,0)</f>
        <v>M</v>
      </c>
      <c r="C62" s="75">
        <v>2</v>
      </c>
      <c r="D62" s="76">
        <v>25</v>
      </c>
      <c r="E62" s="77">
        <v>0.11466435185185185</v>
      </c>
      <c r="F62" s="78">
        <v>55</v>
      </c>
      <c r="G62" s="20">
        <f t="shared" si="16"/>
        <v>4.5865740740740736E-3</v>
      </c>
      <c r="H62" s="16">
        <f>IF(B62="F",IF(G62&gt;Barem!$AC$2,0,IF(B62="F",VLOOKUP(D62,Barem!$B$2:$C$11,2,1))),IF(G62&gt;Barem!$AC$3,0,VLOOKUP(D62,Barem!$B$12:$C$21,2,1)))</f>
        <v>5</v>
      </c>
      <c r="I62" s="16">
        <f>IF(H62=0,0,IF(B62="F",VLOOKUP(G62,Barem!$G$2:$H$11,2,1),VLOOKUP(G62,Barem!$G$12:$H$21,2,1)))</f>
        <v>1</v>
      </c>
      <c r="J62" s="75">
        <v>4</v>
      </c>
      <c r="K62" s="83" t="s">
        <v>184</v>
      </c>
      <c r="L62" s="17">
        <f t="shared" si="19"/>
        <v>0.25</v>
      </c>
      <c r="M62" s="17">
        <f t="shared" si="19"/>
        <v>0.25</v>
      </c>
      <c r="N62" s="17">
        <f t="shared" si="19"/>
        <v>0.5</v>
      </c>
      <c r="O62" s="81">
        <f t="shared" si="17"/>
        <v>0</v>
      </c>
      <c r="P62" s="36">
        <f>IF(D62&gt;21,VLOOKUP(D62,Barem!$T$1:$U$39,2,1),0)</f>
        <v>0</v>
      </c>
      <c r="Q62" s="32">
        <f>IF(D62&lt;1.609,0,IF(B62="F",VLOOKUP(G62,Barem!$X$2:$Z$13,2,1),VLOOKUP(G62,Barem!$X$14:$Z$25,2,1)))</f>
        <v>0</v>
      </c>
      <c r="R62" s="36">
        <f>VLOOKUP(A62,Participanti!A:C,3,0)</f>
        <v>0</v>
      </c>
      <c r="S62" s="29">
        <f t="shared" si="18"/>
        <v>3.5</v>
      </c>
      <c r="T62" s="79">
        <v>43996</v>
      </c>
      <c r="U62" s="16">
        <f>COUNTIFS(A:A,A62,C:C,C62)</f>
        <v>1</v>
      </c>
      <c r="V62" s="34">
        <f t="shared" si="15"/>
        <v>0.14000000000000001</v>
      </c>
      <c r="W62" s="3" t="str">
        <f>VLOOKUP(A62,Data_echipe!A:O,15,0)</f>
        <v>Unicornii</v>
      </c>
      <c r="X62" s="3">
        <f t="shared" si="9"/>
        <v>1</v>
      </c>
    </row>
    <row r="63" spans="1:24">
      <c r="A63" s="74" t="s">
        <v>210</v>
      </c>
      <c r="B63" s="24" t="str">
        <f>VLOOKUP(A63,Participanti!A:B,2,0)</f>
        <v>F</v>
      </c>
      <c r="C63" s="75">
        <v>2</v>
      </c>
      <c r="D63" s="76">
        <v>6.68</v>
      </c>
      <c r="E63" s="77">
        <v>2.6053240740740738E-2</v>
      </c>
      <c r="F63" s="78">
        <v>9</v>
      </c>
      <c r="G63" s="20">
        <f t="shared" si="16"/>
        <v>3.9001857396318471E-3</v>
      </c>
      <c r="H63" s="16">
        <f>IF(B63="F",IF(G63&gt;Barem!$AC$2,0,IF(B63="F",VLOOKUP(D63,Barem!$B$2:$C$11,2,1))),IF(G63&gt;Barem!$AC$3,0,VLOOKUP(D63,Barem!$B$12:$C$21,2,1)))</f>
        <v>2</v>
      </c>
      <c r="I63" s="16">
        <f>IF(H63=0,0,IF(B63="F",VLOOKUP(G63,Barem!$G$2:$H$11,2,1),VLOOKUP(G63,Barem!$G$12:$H$21,2,1)))</f>
        <v>2.5</v>
      </c>
      <c r="J63" s="75">
        <v>3.5</v>
      </c>
      <c r="K63" s="83" t="s">
        <v>184</v>
      </c>
      <c r="L63" s="17">
        <f t="shared" si="19"/>
        <v>0.25</v>
      </c>
      <c r="M63" s="17">
        <f t="shared" si="19"/>
        <v>0.25</v>
      </c>
      <c r="N63" s="17">
        <f t="shared" si="19"/>
        <v>0.5</v>
      </c>
      <c r="O63" s="81">
        <f t="shared" si="17"/>
        <v>0</v>
      </c>
      <c r="P63" s="36">
        <f>IF(D63&gt;21,VLOOKUP(D63,Barem!$T$1:$U$39,2,1),0)</f>
        <v>0</v>
      </c>
      <c r="Q63" s="32">
        <f>IF(D63&lt;1.609,0,IF(B63="F",VLOOKUP(G63,Barem!$X$2:$Z$13,2,1),VLOOKUP(G63,Barem!$X$14:$Z$25,2,1)))</f>
        <v>0</v>
      </c>
      <c r="R63" s="36">
        <f>VLOOKUP(A63,Participanti!A:C,3,0)</f>
        <v>0</v>
      </c>
      <c r="S63" s="29">
        <f t="shared" si="18"/>
        <v>2.875</v>
      </c>
      <c r="T63" s="79">
        <v>43990</v>
      </c>
      <c r="U63" s="16">
        <f>COUNTIFS(A:A,A63,C:C,C63)</f>
        <v>1</v>
      </c>
      <c r="V63" s="34">
        <f t="shared" si="15"/>
        <v>0.43038922155688625</v>
      </c>
      <c r="W63" s="3" t="str">
        <f>VLOOKUP(A63,Data_echipe!A:O,15,0)</f>
        <v>X Æ A-12</v>
      </c>
      <c r="X63" s="3">
        <f t="shared" si="9"/>
        <v>1</v>
      </c>
    </row>
    <row r="64" spans="1:24">
      <c r="A64" s="74" t="s">
        <v>62</v>
      </c>
      <c r="B64" s="24" t="str">
        <f>VLOOKUP(A64,Participanti!A:B,2,0)</f>
        <v>M</v>
      </c>
      <c r="C64" s="75">
        <v>2</v>
      </c>
      <c r="D64" s="76">
        <v>10.039999999999999</v>
      </c>
      <c r="E64" s="77">
        <v>4.1215277777777774E-2</v>
      </c>
      <c r="F64" s="78">
        <v>135</v>
      </c>
      <c r="G64" s="20">
        <f t="shared" si="16"/>
        <v>4.1051073483842409E-3</v>
      </c>
      <c r="H64" s="16">
        <f>IF(B64="F",IF(G64&gt;Barem!$AC$2,0,IF(B64="F",VLOOKUP(D64,Barem!$B$2:$C$11,2,1))),IF(G64&gt;Barem!$AC$3,0,VLOOKUP(D64,Barem!$B$12:$C$21,2,1)))</f>
        <v>2.5</v>
      </c>
      <c r="I64" s="16">
        <f>IF(H64=0,0,IF(B64="F",VLOOKUP(G64,Barem!$G$2:$H$11,2,1),VLOOKUP(G64,Barem!$G$12:$H$21,2,1)))</f>
        <v>1.5</v>
      </c>
      <c r="J64" s="75">
        <v>4</v>
      </c>
      <c r="K64" s="83" t="s">
        <v>184</v>
      </c>
      <c r="L64" s="17">
        <f t="shared" si="19"/>
        <v>0.25</v>
      </c>
      <c r="M64" s="17">
        <f t="shared" si="19"/>
        <v>0.25</v>
      </c>
      <c r="N64" s="17">
        <f t="shared" si="19"/>
        <v>0.5</v>
      </c>
      <c r="O64" s="81">
        <f t="shared" si="17"/>
        <v>0.09</v>
      </c>
      <c r="P64" s="36">
        <f>IF(D64&gt;21,VLOOKUP(D64,Barem!$T$1:$U$39,2,1),0)</f>
        <v>0</v>
      </c>
      <c r="Q64" s="32">
        <f>IF(D64&lt;1.609,0,IF(B64="F",VLOOKUP(G64,Barem!$X$2:$Z$13,2,1),VLOOKUP(G64,Barem!$X$14:$Z$25,2,1)))</f>
        <v>0</v>
      </c>
      <c r="R64" s="36">
        <f>VLOOKUP(A64,Participanti!A:C,3,0)</f>
        <v>0</v>
      </c>
      <c r="S64" s="29">
        <f t="shared" si="18"/>
        <v>3.09</v>
      </c>
      <c r="T64" s="79">
        <v>43990</v>
      </c>
      <c r="U64" s="16">
        <f>COUNTIFS(A:A,A64,C:C,C64)</f>
        <v>1</v>
      </c>
      <c r="V64" s="34">
        <f t="shared" si="15"/>
        <v>0.30776892430278885</v>
      </c>
      <c r="W64" s="3" t="str">
        <f>VLOOKUP(A64,Data_echipe!A:O,15,0)</f>
        <v>Serioranistii</v>
      </c>
      <c r="X64" s="3">
        <f t="shared" si="9"/>
        <v>1</v>
      </c>
    </row>
    <row r="65" spans="1:24">
      <c r="A65" s="74" t="s">
        <v>8</v>
      </c>
      <c r="B65" s="24" t="str">
        <f>VLOOKUP(A65,Participanti!A:B,2,0)</f>
        <v>M</v>
      </c>
      <c r="C65" s="75">
        <v>2</v>
      </c>
      <c r="D65" s="76">
        <v>8.84</v>
      </c>
      <c r="E65" s="77">
        <v>3.3333333333333333E-2</v>
      </c>
      <c r="F65" s="78">
        <v>7</v>
      </c>
      <c r="G65" s="20">
        <f t="shared" si="16"/>
        <v>3.770739064856712E-3</v>
      </c>
      <c r="H65" s="16">
        <f>IF(B65="F",IF(G65&gt;Barem!$AC$2,0,IF(B65="F",VLOOKUP(D65,Barem!$B$2:$C$11,2,1))),IF(G65&gt;Barem!$AC$3,0,VLOOKUP(D65,Barem!$B$12:$C$21,2,1)))</f>
        <v>2</v>
      </c>
      <c r="I65" s="16">
        <f>IF(H65=0,0,IF(B65="F",VLOOKUP(G65,Barem!$G$2:$H$11,2,1),VLOOKUP(G65,Barem!$G$12:$H$21,2,1)))</f>
        <v>2</v>
      </c>
      <c r="J65" s="75">
        <v>3.5</v>
      </c>
      <c r="K65" s="83" t="s">
        <v>184</v>
      </c>
      <c r="L65" s="17">
        <f t="shared" si="19"/>
        <v>0.25</v>
      </c>
      <c r="M65" s="17">
        <f t="shared" si="19"/>
        <v>0.25</v>
      </c>
      <c r="N65" s="17">
        <f t="shared" si="19"/>
        <v>0.5</v>
      </c>
      <c r="O65" s="81">
        <f t="shared" si="17"/>
        <v>0</v>
      </c>
      <c r="P65" s="36">
        <f>IF(D65&gt;21,VLOOKUP(D65,Barem!$T$1:$U$39,2,1),0)</f>
        <v>0</v>
      </c>
      <c r="Q65" s="32">
        <f>IF(D65&lt;1.609,0,IF(B65="F",VLOOKUP(G65,Barem!$X$2:$Z$13,2,1),VLOOKUP(G65,Barem!$X$14:$Z$25,2,1)))</f>
        <v>0</v>
      </c>
      <c r="R65" s="36">
        <f>VLOOKUP(A65,Participanti!A:C,3,0)</f>
        <v>0</v>
      </c>
      <c r="S65" s="29">
        <f t="shared" si="18"/>
        <v>2.75</v>
      </c>
      <c r="T65" s="79">
        <v>43996</v>
      </c>
      <c r="U65" s="16">
        <f>COUNTIFS(A:A,A65,C:C,C65)</f>
        <v>1</v>
      </c>
      <c r="V65" s="34">
        <f t="shared" si="15"/>
        <v>0.31108597285067874</v>
      </c>
      <c r="W65" s="3" t="str">
        <f>VLOOKUP(A65,Data_echipe!A:O,15,0)</f>
        <v xml:space="preserve"> Let it run</v>
      </c>
      <c r="X65" s="3">
        <f t="shared" si="9"/>
        <v>1</v>
      </c>
    </row>
    <row r="66" spans="1:24">
      <c r="A66" s="74" t="s">
        <v>47</v>
      </c>
      <c r="B66" s="24" t="str">
        <f>VLOOKUP(A66,Participanti!A:B,2,0)</f>
        <v>M</v>
      </c>
      <c r="C66" s="75">
        <v>2</v>
      </c>
      <c r="D66" s="76">
        <v>21.3</v>
      </c>
      <c r="E66" s="77">
        <v>7.9872685185185185E-2</v>
      </c>
      <c r="F66" s="78">
        <v>33</v>
      </c>
      <c r="G66" s="20">
        <f t="shared" si="16"/>
        <v>3.7498913232481305E-3</v>
      </c>
      <c r="H66" s="16">
        <f>IF(B66="F",IF(G66&gt;Barem!$AC$2,0,IF(B66="F",VLOOKUP(D66,Barem!$B$2:$C$11,2,1))),IF(G66&gt;Barem!$AC$3,0,VLOOKUP(D66,Barem!$B$12:$C$21,2,1)))</f>
        <v>5</v>
      </c>
      <c r="I66" s="16">
        <f>IF(H66=0,0,IF(B66="F",VLOOKUP(G66,Barem!$G$2:$H$11,2,1),VLOOKUP(G66,Barem!$G$12:$H$21,2,1)))</f>
        <v>2</v>
      </c>
      <c r="J66" s="75">
        <v>4.5</v>
      </c>
      <c r="K66" s="82" t="str">
        <f>VLOOKUP($C66,Barem!$L$2:$R$13,7,0)</f>
        <v>D</v>
      </c>
      <c r="L66" s="17">
        <f t="shared" si="19"/>
        <v>0.5</v>
      </c>
      <c r="M66" s="17">
        <f t="shared" si="19"/>
        <v>0.25</v>
      </c>
      <c r="N66" s="17">
        <f t="shared" si="19"/>
        <v>0.25</v>
      </c>
      <c r="O66" s="81">
        <f t="shared" si="17"/>
        <v>0</v>
      </c>
      <c r="P66" s="36">
        <f>IF(D66&gt;21,VLOOKUP(D66,Barem!$T$1:$U$39,2,1),0)</f>
        <v>0</v>
      </c>
      <c r="Q66" s="32">
        <f>IF(D66&lt;1.609,0,IF(B66="F",VLOOKUP(G66,Barem!$X$2:$Z$13,2,1),VLOOKUP(G66,Barem!$X$14:$Z$25,2,1)))</f>
        <v>0</v>
      </c>
      <c r="R66" s="36">
        <f>VLOOKUP(A66,Participanti!A:C,3,0)</f>
        <v>0</v>
      </c>
      <c r="S66" s="29">
        <f t="shared" si="18"/>
        <v>4.125</v>
      </c>
      <c r="T66" s="79">
        <v>43993</v>
      </c>
      <c r="U66" s="16">
        <f>COUNTIFS(A:A,A66,C:C,C66)</f>
        <v>1</v>
      </c>
      <c r="V66" s="34">
        <f t="shared" si="15"/>
        <v>0.19366197183098591</v>
      </c>
      <c r="W66" s="3" t="str">
        <f>VLOOKUP(A66,Data_echipe!A:O,15,0)</f>
        <v>X Æ A-12</v>
      </c>
      <c r="X66" s="3">
        <f t="shared" si="9"/>
        <v>1</v>
      </c>
    </row>
    <row r="67" spans="1:24">
      <c r="A67" s="74" t="s">
        <v>204</v>
      </c>
      <c r="B67" s="24" t="str">
        <f>VLOOKUP(A67,Participanti!A:B,2,0)</f>
        <v>M</v>
      </c>
      <c r="C67" s="75">
        <v>2</v>
      </c>
      <c r="D67" s="76">
        <v>10.029999999999999</v>
      </c>
      <c r="E67" s="77">
        <v>2.5532407407407406E-2</v>
      </c>
      <c r="F67" s="78">
        <v>30</v>
      </c>
      <c r="G67" s="20">
        <f t="shared" si="16"/>
        <v>2.5456039289538791E-3</v>
      </c>
      <c r="H67" s="16">
        <f>IF(B67="F",IF(G67&gt;Barem!$AC$2,0,IF(B67="F",VLOOKUP(D67,Barem!$B$2:$C$11,2,1))),IF(G67&gt;Barem!$AC$3,0,VLOOKUP(D67,Barem!$B$12:$C$21,2,1)))</f>
        <v>2.5</v>
      </c>
      <c r="I67" s="16">
        <f>IF(H67=0,0,IF(B67="F",VLOOKUP(G67,Barem!$G$2:$H$11,2,1),VLOOKUP(G67,Barem!$G$12:$H$21,2,1)))</f>
        <v>5</v>
      </c>
      <c r="J67" s="75">
        <v>2.5</v>
      </c>
      <c r="K67" s="83" t="s">
        <v>183</v>
      </c>
      <c r="L67" s="17">
        <f t="shared" si="19"/>
        <v>0.25</v>
      </c>
      <c r="M67" s="17">
        <f t="shared" si="19"/>
        <v>0.5</v>
      </c>
      <c r="N67" s="17">
        <f t="shared" si="19"/>
        <v>0.25</v>
      </c>
      <c r="O67" s="81">
        <f t="shared" si="17"/>
        <v>0</v>
      </c>
      <c r="P67" s="36">
        <f>IF(D67&gt;21,VLOOKUP(D67,Barem!$T$1:$U$39,2,1),0)</f>
        <v>0</v>
      </c>
      <c r="Q67" s="32">
        <f>IF(D67&lt;1.609,0,IF(B67="F",VLOOKUP(G67,Barem!$X$2:$Z$13,2,1),VLOOKUP(G67,Barem!$X$14:$Z$25,2,1)))</f>
        <v>1.5</v>
      </c>
      <c r="R67" s="36">
        <f>VLOOKUP(A67,Participanti!A:C,3,0)</f>
        <v>0</v>
      </c>
      <c r="S67" s="29">
        <f t="shared" si="18"/>
        <v>5.25</v>
      </c>
      <c r="T67" s="79">
        <v>43995</v>
      </c>
      <c r="U67" s="16">
        <f>COUNTIFS(A:A,A67,C:C,C67)</f>
        <v>1</v>
      </c>
      <c r="V67" s="34">
        <f t="shared" si="15"/>
        <v>0.52342971086739787</v>
      </c>
      <c r="W67" s="3" t="str">
        <f>VLOOKUP(A67,Data_echipe!A:O,15,0)</f>
        <v>Unicornii</v>
      </c>
      <c r="X67" s="3">
        <f t="shared" ref="X67:X130" si="20">IF(I67&gt;0,1,0)</f>
        <v>1</v>
      </c>
    </row>
    <row r="68" spans="1:24">
      <c r="A68" s="74" t="s">
        <v>206</v>
      </c>
      <c r="B68" s="24" t="str">
        <f>VLOOKUP(A68,Participanti!A:B,2,0)</f>
        <v>M</v>
      </c>
      <c r="C68" s="75">
        <v>2</v>
      </c>
      <c r="D68" s="76">
        <v>9</v>
      </c>
      <c r="E68" s="77">
        <v>3.7314814814814815E-2</v>
      </c>
      <c r="F68" s="78">
        <v>9</v>
      </c>
      <c r="G68" s="20">
        <f t="shared" si="16"/>
        <v>4.1460905349794235E-3</v>
      </c>
      <c r="H68" s="16">
        <f>IF(B68="F",IF(G68&gt;Barem!$AC$2,0,IF(B68="F",VLOOKUP(D68,Barem!$B$2:$C$11,2,1))),IF(G68&gt;Barem!$AC$3,0,VLOOKUP(D68,Barem!$B$12:$C$21,2,1)))</f>
        <v>2</v>
      </c>
      <c r="I68" s="16">
        <f>IF(H68=0,0,IF(B68="F",VLOOKUP(G68,Barem!$G$2:$H$11,2,1),VLOOKUP(G68,Barem!$G$12:$H$21,2,1)))</f>
        <v>1.5</v>
      </c>
      <c r="J68" s="75">
        <v>3.5</v>
      </c>
      <c r="K68" s="82" t="str">
        <f>VLOOKUP($C68,Barem!$L$2:$R$13,7,0)</f>
        <v>D</v>
      </c>
      <c r="L68" s="17">
        <f t="shared" si="19"/>
        <v>0.5</v>
      </c>
      <c r="M68" s="17">
        <f t="shared" si="19"/>
        <v>0.25</v>
      </c>
      <c r="N68" s="17">
        <f t="shared" si="19"/>
        <v>0.25</v>
      </c>
      <c r="O68" s="81">
        <f t="shared" si="17"/>
        <v>0</v>
      </c>
      <c r="P68" s="36">
        <f>IF(D68&gt;21,VLOOKUP(D68,Barem!$T$1:$U$39,2,1),0)</f>
        <v>0</v>
      </c>
      <c r="Q68" s="32">
        <f>IF(D68&lt;1.609,0,IF(B68="F",VLOOKUP(G68,Barem!$X$2:$Z$13,2,1),VLOOKUP(G68,Barem!$X$14:$Z$25,2,1)))</f>
        <v>0</v>
      </c>
      <c r="R68" s="36">
        <f>VLOOKUP(A68,Participanti!A:C,3,0)</f>
        <v>0</v>
      </c>
      <c r="S68" s="29">
        <f t="shared" si="18"/>
        <v>2.25</v>
      </c>
      <c r="T68" s="79">
        <v>43995</v>
      </c>
      <c r="U68" s="16">
        <f>COUNTIFS(A:A,A68,C:C,C68)</f>
        <v>1</v>
      </c>
      <c r="V68" s="34">
        <f t="shared" si="15"/>
        <v>0.25</v>
      </c>
      <c r="W68" s="3" t="str">
        <f>VLOOKUP(A68,Data_echipe!A:O,15,0)</f>
        <v>Unicornii</v>
      </c>
      <c r="X68" s="3">
        <f t="shared" si="20"/>
        <v>1</v>
      </c>
    </row>
    <row r="69" spans="1:24">
      <c r="A69" s="74" t="s">
        <v>56</v>
      </c>
      <c r="B69" s="24" t="str">
        <f>VLOOKUP(A69,Participanti!A:B,2,0)</f>
        <v>M</v>
      </c>
      <c r="C69" s="75">
        <v>2</v>
      </c>
      <c r="D69" s="76">
        <v>10.029999999999999</v>
      </c>
      <c r="E69" s="77">
        <v>3.9178240740740743E-2</v>
      </c>
      <c r="F69" s="78">
        <v>10</v>
      </c>
      <c r="G69" s="20">
        <f t="shared" si="16"/>
        <v>3.9061057568036636E-3</v>
      </c>
      <c r="H69" s="16">
        <f>IF(B69="F",IF(G69&gt;Barem!$AC$2,0,IF(B69="F",VLOOKUP(D69,Barem!$B$2:$C$11,2,1))),IF(G69&gt;Barem!$AC$3,0,VLOOKUP(D69,Barem!$B$12:$C$21,2,1)))</f>
        <v>2.5</v>
      </c>
      <c r="I69" s="16">
        <f>IF(H69=0,0,IF(B69="F",VLOOKUP(G69,Barem!$G$2:$H$11,2,1),VLOOKUP(G69,Barem!$G$12:$H$21,2,1)))</f>
        <v>1.5</v>
      </c>
      <c r="J69" s="75">
        <v>2</v>
      </c>
      <c r="K69" s="82" t="str">
        <f>VLOOKUP($C69,Barem!$L$2:$R$13,7,0)</f>
        <v>D</v>
      </c>
      <c r="L69" s="17">
        <f t="shared" si="19"/>
        <v>0.5</v>
      </c>
      <c r="M69" s="17">
        <f t="shared" si="19"/>
        <v>0.25</v>
      </c>
      <c r="N69" s="17">
        <f t="shared" si="19"/>
        <v>0.25</v>
      </c>
      <c r="O69" s="81">
        <f t="shared" si="17"/>
        <v>0</v>
      </c>
      <c r="P69" s="36">
        <f>IF(D69&gt;21,VLOOKUP(D69,Barem!$T$1:$U$39,2,1),0)</f>
        <v>0</v>
      </c>
      <c r="Q69" s="32">
        <f>IF(D69&lt;1.609,0,IF(B69="F",VLOOKUP(G69,Barem!$X$2:$Z$13,2,1),VLOOKUP(G69,Barem!$X$14:$Z$25,2,1)))</f>
        <v>0</v>
      </c>
      <c r="R69" s="36">
        <f>VLOOKUP(A69,Participanti!A:C,3,0)</f>
        <v>0</v>
      </c>
      <c r="S69" s="29">
        <f t="shared" si="18"/>
        <v>2.125</v>
      </c>
      <c r="T69" s="79">
        <v>43990</v>
      </c>
      <c r="U69" s="16">
        <f>COUNTIFS(A:A,A69,C:C,C69)</f>
        <v>1</v>
      </c>
      <c r="V69" s="34">
        <f t="shared" si="15"/>
        <v>0.21186440677966104</v>
      </c>
      <c r="W69" s="3" t="str">
        <f>VLOOKUP(A69,Data_echipe!A:O,15,0)</f>
        <v>Unicornii</v>
      </c>
      <c r="X69" s="3">
        <f t="shared" si="20"/>
        <v>1</v>
      </c>
    </row>
    <row r="70" spans="1:24">
      <c r="A70" s="74" t="s">
        <v>115</v>
      </c>
      <c r="B70" s="24" t="str">
        <f>VLOOKUP(A70,Participanti!A:B,2,0)</f>
        <v>M</v>
      </c>
      <c r="C70" s="75">
        <v>2</v>
      </c>
      <c r="D70" s="76">
        <v>10.56</v>
      </c>
      <c r="E70" s="77">
        <v>7.2696759259259267E-2</v>
      </c>
      <c r="F70" s="78">
        <v>205</v>
      </c>
      <c r="G70" s="20">
        <f t="shared" si="16"/>
        <v>6.8841628086419755E-3</v>
      </c>
      <c r="H70" s="16">
        <f>IF(B70="F",IF(G70&gt;Barem!$AC$2,0,IF(B70="F",VLOOKUP(D70,Barem!$B$2:$C$11,2,1))),IF(G70&gt;Barem!$AC$3,0,VLOOKUP(D70,Barem!$B$12:$C$21,2,1)))</f>
        <v>2.5</v>
      </c>
      <c r="I70" s="16">
        <f>IF(H70=0,0,IF(B70="F",VLOOKUP(G70,Barem!$G$2:$H$11,2,1),VLOOKUP(G70,Barem!$G$12:$H$21,2,1)))</f>
        <v>0</v>
      </c>
      <c r="J70" s="75">
        <v>3.5</v>
      </c>
      <c r="K70" s="83" t="s">
        <v>184</v>
      </c>
      <c r="L70" s="17">
        <f t="shared" si="19"/>
        <v>0.25</v>
      </c>
      <c r="M70" s="17">
        <f t="shared" si="19"/>
        <v>0.25</v>
      </c>
      <c r="N70" s="17">
        <f t="shared" si="19"/>
        <v>0.5</v>
      </c>
      <c r="O70" s="81">
        <f t="shared" si="17"/>
        <v>0.13666666666666666</v>
      </c>
      <c r="P70" s="36">
        <f>IF(D70&gt;21,VLOOKUP(D70,Barem!$T$1:$U$39,2,1),0)</f>
        <v>0</v>
      </c>
      <c r="Q70" s="32">
        <f>IF(D70&lt;1.609,0,IF(B70="F",VLOOKUP(G70,Barem!$X$2:$Z$13,2,1),VLOOKUP(G70,Barem!$X$14:$Z$25,2,1)))</f>
        <v>0</v>
      </c>
      <c r="R70" s="36">
        <f>VLOOKUP(A70,Participanti!A:C,3,0)</f>
        <v>0.5</v>
      </c>
      <c r="S70" s="29">
        <f t="shared" si="18"/>
        <v>3.0116666666666667</v>
      </c>
      <c r="T70" s="79">
        <v>43993</v>
      </c>
      <c r="U70" s="16">
        <f>COUNTIFS(A:A,A70,C:C,C70)</f>
        <v>1</v>
      </c>
      <c r="V70" s="34">
        <f t="shared" si="15"/>
        <v>0.28519570707070707</v>
      </c>
      <c r="W70" s="3" t="str">
        <f>VLOOKUP(A70,Data_echipe!A:O,15,0)</f>
        <v xml:space="preserve"> Let it run</v>
      </c>
      <c r="X70" s="3">
        <f t="shared" si="20"/>
        <v>0</v>
      </c>
    </row>
    <row r="71" spans="1:24">
      <c r="A71" s="74" t="s">
        <v>82</v>
      </c>
      <c r="B71" s="24" t="str">
        <f>VLOOKUP(A71,Participanti!A:B,2,0)</f>
        <v>M</v>
      </c>
      <c r="C71" s="75">
        <v>2</v>
      </c>
      <c r="D71" s="76">
        <v>12.04</v>
      </c>
      <c r="E71" s="77">
        <v>4.2094907407407407E-2</v>
      </c>
      <c r="F71" s="78">
        <v>36</v>
      </c>
      <c r="G71" s="20">
        <f t="shared" si="16"/>
        <v>3.4962547680570939E-3</v>
      </c>
      <c r="H71" s="16">
        <f>IF(B71="F",IF(G71&gt;Barem!$AC$2,0,IF(B71="F",VLOOKUP(D71,Barem!$B$2:$C$11,2,1))),IF(G71&gt;Barem!$AC$3,0,VLOOKUP(D71,Barem!$B$12:$C$21,2,1)))</f>
        <v>3</v>
      </c>
      <c r="I71" s="16">
        <f>IF(H71=0,0,IF(B71="F",VLOOKUP(G71,Barem!$G$2:$H$11,2,1),VLOOKUP(G71,Barem!$G$12:$H$21,2,1)))</f>
        <v>2.5</v>
      </c>
      <c r="J71" s="75">
        <v>4</v>
      </c>
      <c r="K71" s="82" t="str">
        <f>VLOOKUP($C71,Barem!$L$2:$R$13,7,0)</f>
        <v>D</v>
      </c>
      <c r="L71" s="17">
        <f t="shared" si="19"/>
        <v>0.5</v>
      </c>
      <c r="M71" s="17">
        <f t="shared" si="19"/>
        <v>0.25</v>
      </c>
      <c r="N71" s="17">
        <f t="shared" si="19"/>
        <v>0.25</v>
      </c>
      <c r="O71" s="81">
        <f t="shared" si="17"/>
        <v>0</v>
      </c>
      <c r="P71" s="36">
        <f>IF(D71&gt;21,VLOOKUP(D71,Barem!$T$1:$U$39,2,1),0)</f>
        <v>0</v>
      </c>
      <c r="Q71" s="32">
        <f>IF(D71&lt;1.609,0,IF(B71="F",VLOOKUP(G71,Barem!$X$2:$Z$13,2,1),VLOOKUP(G71,Barem!$X$14:$Z$25,2,1)))</f>
        <v>0</v>
      </c>
      <c r="R71" s="36">
        <f>VLOOKUP(A71,Participanti!A:C,3,0)</f>
        <v>0</v>
      </c>
      <c r="S71" s="29">
        <f t="shared" si="18"/>
        <v>3.125</v>
      </c>
      <c r="T71" s="79">
        <v>43996</v>
      </c>
      <c r="U71" s="16">
        <f>COUNTIFS(A:A,A71,C:C,C71)</f>
        <v>1</v>
      </c>
      <c r="V71" s="34">
        <f t="shared" si="15"/>
        <v>0.25955149501661129</v>
      </c>
      <c r="W71" s="3" t="str">
        <f>VLOOKUP(A71,Data_echipe!A:O,15,0)</f>
        <v xml:space="preserve"> Let it run</v>
      </c>
      <c r="X71" s="3">
        <f t="shared" si="20"/>
        <v>1</v>
      </c>
    </row>
    <row r="72" spans="1:24">
      <c r="A72" s="74" t="s">
        <v>6</v>
      </c>
      <c r="B72" s="24" t="str">
        <f>VLOOKUP(A72,Participanti!A:B,2,0)</f>
        <v>F</v>
      </c>
      <c r="C72" s="75">
        <v>2</v>
      </c>
      <c r="D72" s="76">
        <v>21.12</v>
      </c>
      <c r="E72" s="77">
        <v>7.6215277777777771E-2</v>
      </c>
      <c r="F72" s="78">
        <v>73</v>
      </c>
      <c r="G72" s="20">
        <f t="shared" si="16"/>
        <v>3.6086779250841744E-3</v>
      </c>
      <c r="H72" s="16">
        <f>IF(B72="F",IF(G72&gt;Barem!$AC$2,0,IF(B72="F",VLOOKUP(D72,Barem!$B$2:$C$11,2,1))),IF(G72&gt;Barem!$AC$3,0,VLOOKUP(D72,Barem!$B$12:$C$21,2,1)))</f>
        <v>5</v>
      </c>
      <c r="I72" s="16">
        <f>IF(H72=0,0,IF(B72="F",VLOOKUP(G72,Barem!$G$2:$H$11,2,1),VLOOKUP(G72,Barem!$G$12:$H$21,2,1)))</f>
        <v>3.5</v>
      </c>
      <c r="J72" s="75">
        <v>3.5</v>
      </c>
      <c r="K72" s="82" t="str">
        <f>VLOOKUP($C72,Barem!$L$2:$R$13,7,0)</f>
        <v>D</v>
      </c>
      <c r="L72" s="17">
        <f t="shared" si="19"/>
        <v>0.5</v>
      </c>
      <c r="M72" s="17">
        <f t="shared" si="19"/>
        <v>0.25</v>
      </c>
      <c r="N72" s="17">
        <f t="shared" si="19"/>
        <v>0.25</v>
      </c>
      <c r="O72" s="81">
        <f t="shared" si="17"/>
        <v>0</v>
      </c>
      <c r="P72" s="36">
        <f>IF(D72&gt;21,VLOOKUP(D72,Barem!$T$1:$U$39,2,1),0)</f>
        <v>0</v>
      </c>
      <c r="Q72" s="32">
        <f>IF(D72&lt;1.609,0,IF(B72="F",VLOOKUP(G72,Barem!$X$2:$Z$13,2,1),VLOOKUP(G72,Barem!$X$14:$Z$25,2,1)))</f>
        <v>0</v>
      </c>
      <c r="R72" s="36">
        <f>VLOOKUP(A72,Participanti!A:C,3,0)</f>
        <v>0</v>
      </c>
      <c r="S72" s="29">
        <f t="shared" si="18"/>
        <v>4.25</v>
      </c>
      <c r="T72" s="79">
        <v>43996</v>
      </c>
      <c r="U72" s="16">
        <f>COUNTIFS(A:A,A72,C:C,C72)</f>
        <v>1</v>
      </c>
      <c r="V72" s="34">
        <f t="shared" si="15"/>
        <v>0.20123106060606061</v>
      </c>
      <c r="W72" s="3" t="str">
        <f>VLOOKUP(A72,Data_echipe!A:O,15,0)</f>
        <v>Unicornii</v>
      </c>
      <c r="X72" s="3">
        <f t="shared" si="20"/>
        <v>1</v>
      </c>
    </row>
    <row r="73" spans="1:24" s="110" customFormat="1" ht="12.75" thickBot="1">
      <c r="A73" s="94" t="s">
        <v>53</v>
      </c>
      <c r="B73" s="95" t="str">
        <f>VLOOKUP(A73,Participanti!A:B,2,0)</f>
        <v>M</v>
      </c>
      <c r="C73" s="96">
        <v>2</v>
      </c>
      <c r="D73" s="97">
        <v>14.7</v>
      </c>
      <c r="E73" s="98">
        <v>5.4166666666666669E-2</v>
      </c>
      <c r="F73" s="99">
        <v>21</v>
      </c>
      <c r="G73" s="100">
        <f t="shared" si="16"/>
        <v>3.6848072562358281E-3</v>
      </c>
      <c r="H73" s="101">
        <f>IF(B73="F",IF(G73&gt;Barem!$AC$2,0,IF(B73="F",VLOOKUP(D73,Barem!$B$2:$C$11,2,1))),IF(G73&gt;Barem!$AC$3,0,VLOOKUP(D73,Barem!$B$12:$C$21,2,1)))</f>
        <v>3</v>
      </c>
      <c r="I73" s="101">
        <f>IF(H73=0,0,IF(B73="F",VLOOKUP(G73,Barem!$G$2:$H$11,2,1),VLOOKUP(G73,Barem!$G$12:$H$21,2,1)))</f>
        <v>2</v>
      </c>
      <c r="J73" s="96">
        <v>1</v>
      </c>
      <c r="K73" s="102" t="str">
        <f>VLOOKUP($C73,Barem!$L$2:$R$13,7,0)</f>
        <v>D</v>
      </c>
      <c r="L73" s="103">
        <f t="shared" si="19"/>
        <v>0.5</v>
      </c>
      <c r="M73" s="103">
        <f t="shared" si="19"/>
        <v>0.25</v>
      </c>
      <c r="N73" s="103">
        <f t="shared" si="19"/>
        <v>0.25</v>
      </c>
      <c r="O73" s="104">
        <f t="shared" si="17"/>
        <v>0</v>
      </c>
      <c r="P73" s="105">
        <f>IF(D73&gt;21,VLOOKUP(D73,Barem!$T$1:$U$39,2,1),0)</f>
        <v>0</v>
      </c>
      <c r="Q73" s="106">
        <f>IF(D73&lt;1.609,0,IF(B73="F",VLOOKUP(G73,Barem!$X$2:$Z$13,2,1),VLOOKUP(G73,Barem!$X$14:$Z$25,2,1)))</f>
        <v>0</v>
      </c>
      <c r="R73" s="105">
        <f>VLOOKUP(A73,Participanti!A:C,3,0)</f>
        <v>0</v>
      </c>
      <c r="S73" s="107">
        <f t="shared" si="18"/>
        <v>2.25</v>
      </c>
      <c r="T73" s="108">
        <v>43993</v>
      </c>
      <c r="U73" s="101">
        <f>COUNTIFS(A:A,A73,C:C,C73)</f>
        <v>1</v>
      </c>
      <c r="V73" s="109">
        <f t="shared" si="15"/>
        <v>0.15306122448979592</v>
      </c>
      <c r="W73" s="110" t="str">
        <f>VLOOKUP(A73,Data_echipe!A:O,15,0)</f>
        <v>Tenchei</v>
      </c>
      <c r="X73" s="3">
        <f t="shared" si="20"/>
        <v>1</v>
      </c>
    </row>
    <row r="74" spans="1:24">
      <c r="A74" s="74" t="s">
        <v>114</v>
      </c>
      <c r="B74" s="24" t="str">
        <f>VLOOKUP(A74,Participanti!A:B,2,0)</f>
        <v>M</v>
      </c>
      <c r="C74" s="75">
        <v>3</v>
      </c>
      <c r="D74" s="76">
        <v>15</v>
      </c>
      <c r="E74" s="77">
        <v>5.1631944444444446E-2</v>
      </c>
      <c r="F74" s="78">
        <v>301</v>
      </c>
      <c r="G74" s="20">
        <f t="shared" si="16"/>
        <v>3.4421296296296296E-3</v>
      </c>
      <c r="H74" s="16">
        <f>IF(B74="F",IF(G74&gt;Barem!$AC$2,0,IF(B74="F",VLOOKUP(D74,Barem!$B$2:$C$11,2,1))),IF(G74&gt;Barem!$AC$3,0,VLOOKUP(D74,Barem!$B$12:$C$21,2,1)))</f>
        <v>3.5</v>
      </c>
      <c r="I74" s="16">
        <f>IF(H74=0,0,IF(B74="F",VLOOKUP(G74,Barem!$G$2:$H$11,2,1),VLOOKUP(G74,Barem!$G$12:$H$21,2,1)))</f>
        <v>3</v>
      </c>
      <c r="J74" s="75">
        <v>2</v>
      </c>
      <c r="K74" s="82" t="str">
        <f>VLOOKUP($C74,Barem!$L$2:$R$13,7,0)</f>
        <v>V</v>
      </c>
      <c r="L74" s="17">
        <f t="shared" si="19"/>
        <v>0.25</v>
      </c>
      <c r="M74" s="17">
        <f t="shared" si="19"/>
        <v>0.5</v>
      </c>
      <c r="N74" s="17">
        <f t="shared" si="19"/>
        <v>0.25</v>
      </c>
      <c r="O74" s="81">
        <f t="shared" si="17"/>
        <v>0.20066666666666666</v>
      </c>
      <c r="P74" s="36">
        <f>IF(D74&gt;21,VLOOKUP(D74,Barem!$T$1:$U$39,2,1),0)</f>
        <v>0</v>
      </c>
      <c r="Q74" s="32">
        <f>IF(D74&lt;1.609,0,IF(B74="F",VLOOKUP(G74,Barem!$X$2:$Z$13,2,1),VLOOKUP(G74,Barem!$X$14:$Z$25,2,1)))</f>
        <v>0</v>
      </c>
      <c r="R74" s="36">
        <f>VLOOKUP(A74,Participanti!A:C,3,0)</f>
        <v>0</v>
      </c>
      <c r="S74" s="29">
        <f t="shared" si="18"/>
        <v>3.0756666666666668</v>
      </c>
      <c r="T74" s="79">
        <v>43998</v>
      </c>
      <c r="U74" s="16">
        <f>COUNTIFS(A:A,A74,C:C,C74)</f>
        <v>1</v>
      </c>
      <c r="V74" s="34">
        <f t="shared" si="15"/>
        <v>0.20504444444444445</v>
      </c>
      <c r="W74" s="3" t="str">
        <f>VLOOKUP(A74,Data_echipe!A:O,15,0)</f>
        <v>Serioranistii</v>
      </c>
      <c r="X74" s="3">
        <f t="shared" si="20"/>
        <v>1</v>
      </c>
    </row>
    <row r="75" spans="1:24">
      <c r="A75" s="74" t="s">
        <v>200</v>
      </c>
      <c r="B75" s="24" t="str">
        <f>VLOOKUP(A75,Participanti!A:B,2,0)</f>
        <v>M</v>
      </c>
      <c r="C75" s="75">
        <v>3</v>
      </c>
      <c r="D75" s="76">
        <v>10.029999999999999</v>
      </c>
      <c r="E75" s="77">
        <v>3.1597222222222221E-2</v>
      </c>
      <c r="F75" s="78">
        <v>0</v>
      </c>
      <c r="G75" s="20">
        <f t="shared" si="16"/>
        <v>3.1502714079982277E-3</v>
      </c>
      <c r="H75" s="16">
        <f>IF(B75="F",IF(G75&gt;Barem!$AC$2,0,IF(B75="F",VLOOKUP(D75,Barem!$B$2:$C$11,2,1))),IF(G75&gt;Barem!$AC$3,0,VLOOKUP(D75,Barem!$B$12:$C$21,2,1)))</f>
        <v>2.5</v>
      </c>
      <c r="I75" s="16">
        <f>IF(H75=0,0,IF(B75="F",VLOOKUP(G75,Barem!$G$2:$H$11,2,1),VLOOKUP(G75,Barem!$G$12:$H$21,2,1)))</f>
        <v>3.5</v>
      </c>
      <c r="J75" s="75">
        <v>3</v>
      </c>
      <c r="K75" s="82" t="str">
        <f>VLOOKUP($C75,Barem!$L$2:$R$13,7,0)</f>
        <v>V</v>
      </c>
      <c r="L75" s="17">
        <f t="shared" si="19"/>
        <v>0.25</v>
      </c>
      <c r="M75" s="17">
        <f t="shared" si="19"/>
        <v>0.5</v>
      </c>
      <c r="N75" s="17">
        <f t="shared" si="19"/>
        <v>0.25</v>
      </c>
      <c r="O75" s="81">
        <f t="shared" si="17"/>
        <v>0</v>
      </c>
      <c r="P75" s="36">
        <f>IF(D75&gt;21,VLOOKUP(D75,Barem!$T$1:$U$39,2,1),0)</f>
        <v>0</v>
      </c>
      <c r="Q75" s="32">
        <f>IF(D75&lt;1.609,0,IF(B75="F",VLOOKUP(G75,Barem!$X$2:$Z$13,2,1),VLOOKUP(G75,Barem!$X$14:$Z$25,2,1)))</f>
        <v>0</v>
      </c>
      <c r="R75" s="36">
        <f>VLOOKUP(A75,Participanti!A:C,3,0)</f>
        <v>0</v>
      </c>
      <c r="S75" s="29">
        <f t="shared" si="18"/>
        <v>3.125</v>
      </c>
      <c r="T75" s="79">
        <v>43998</v>
      </c>
      <c r="U75" s="16">
        <f>COUNTIFS(A:A,A75,C:C,C75)</f>
        <v>1</v>
      </c>
      <c r="V75" s="34">
        <f t="shared" si="15"/>
        <v>0.31156530408773681</v>
      </c>
      <c r="W75" s="3" t="str">
        <f>VLOOKUP(A75,Data_echipe!A:O,15,0)</f>
        <v xml:space="preserve"> Let it run</v>
      </c>
      <c r="X75" s="3">
        <f t="shared" si="20"/>
        <v>1</v>
      </c>
    </row>
    <row r="76" spans="1:24">
      <c r="A76" s="74" t="s">
        <v>68</v>
      </c>
      <c r="B76" s="24" t="str">
        <f>VLOOKUP(A76,Participanti!A:B,2,0)</f>
        <v>M</v>
      </c>
      <c r="C76" s="75">
        <v>3</v>
      </c>
      <c r="D76" s="76">
        <v>12.3</v>
      </c>
      <c r="E76" s="77">
        <v>3.9675925925925927E-2</v>
      </c>
      <c r="F76" s="78">
        <v>8</v>
      </c>
      <c r="G76" s="20">
        <f t="shared" ref="G76:G111" si="21">E76/D76</f>
        <v>3.225685034628124E-3</v>
      </c>
      <c r="H76" s="16">
        <f>IF(B76="F",IF(G76&gt;Barem!$AC$2,0,IF(B76="F",VLOOKUP(D76,Barem!$B$2:$C$11,2,1))),IF(G76&gt;Barem!$AC$3,0,VLOOKUP(D76,Barem!$B$12:$C$21,2,1)))</f>
        <v>3</v>
      </c>
      <c r="I76" s="16">
        <f>IF(H76=0,0,IF(B76="F",VLOOKUP(G76,Barem!$G$2:$H$11,2,1),VLOOKUP(G76,Barem!$G$12:$H$21,2,1)))</f>
        <v>3.5</v>
      </c>
      <c r="J76" s="75">
        <v>3.5</v>
      </c>
      <c r="K76" s="82" t="str">
        <f>VLOOKUP($C76,Barem!$L$2:$R$13,7,0)</f>
        <v>V</v>
      </c>
      <c r="L76" s="17">
        <f t="shared" si="19"/>
        <v>0.25</v>
      </c>
      <c r="M76" s="17">
        <f t="shared" si="19"/>
        <v>0.5</v>
      </c>
      <c r="N76" s="17">
        <f t="shared" si="19"/>
        <v>0.25</v>
      </c>
      <c r="O76" s="81">
        <f t="shared" ref="O76:O111" si="22">IF(F76&lt;-49,F76/1500,IF(F76&gt;99,F76/1500,0))</f>
        <v>0</v>
      </c>
      <c r="P76" s="36">
        <f>IF(D76&gt;21,VLOOKUP(D76,Barem!$T$1:$U$39,2,1),0)</f>
        <v>0</v>
      </c>
      <c r="Q76" s="32">
        <f>IF(D76&lt;1.609,0,IF(B76="F",VLOOKUP(G76,Barem!$X$2:$Z$13,2,1),VLOOKUP(G76,Barem!$X$14:$Z$25,2,1)))</f>
        <v>0</v>
      </c>
      <c r="R76" s="36">
        <f>VLOOKUP(A76,Participanti!A:C,3,0)</f>
        <v>0</v>
      </c>
      <c r="S76" s="29">
        <f t="shared" ref="S76:S111" si="23">H76*L76+I76*M76+J76*N76+O76+P76+Q76+R76</f>
        <v>3.375</v>
      </c>
      <c r="T76" s="79">
        <v>43998</v>
      </c>
      <c r="U76" s="16">
        <f>COUNTIFS(A:A,A76,C:C,C76)</f>
        <v>1</v>
      </c>
      <c r="V76" s="34">
        <f t="shared" ref="V76:V111" si="24">S76/D76</f>
        <v>0.27439024390243899</v>
      </c>
      <c r="W76" s="3" t="str">
        <f>VLOOKUP(A76,Data_echipe!A:O,15,0)</f>
        <v>Unicornii</v>
      </c>
      <c r="X76" s="3">
        <f t="shared" si="20"/>
        <v>1</v>
      </c>
    </row>
    <row r="77" spans="1:24">
      <c r="A77" s="74" t="s">
        <v>83</v>
      </c>
      <c r="B77" s="24" t="str">
        <f>VLOOKUP(A77,Participanti!A:B,2,0)</f>
        <v>F</v>
      </c>
      <c r="C77" s="75">
        <v>3</v>
      </c>
      <c r="D77" s="76">
        <v>8</v>
      </c>
      <c r="E77" s="77">
        <v>3.8831018518518515E-2</v>
      </c>
      <c r="F77" s="78">
        <v>11</v>
      </c>
      <c r="G77" s="20">
        <f t="shared" si="21"/>
        <v>4.8538773148148143E-3</v>
      </c>
      <c r="H77" s="16">
        <f>IF(B77="F",IF(G77&gt;Barem!$AC$2,0,IF(B77="F",VLOOKUP(D77,Barem!$B$2:$C$11,2,1))),IF(G77&gt;Barem!$AC$3,0,VLOOKUP(D77,Barem!$B$12:$C$21,2,1)))</f>
        <v>2</v>
      </c>
      <c r="I77" s="16">
        <f>IF(H77=0,0,IF(B77="F",VLOOKUP(G77,Barem!$G$2:$H$11,2,1),VLOOKUP(G77,Barem!$G$12:$H$21,2,1)))</f>
        <v>1</v>
      </c>
      <c r="J77" s="75">
        <v>2.5</v>
      </c>
      <c r="K77" s="82" t="str">
        <f>VLOOKUP($C77,Barem!$L$2:$R$13,7,0)</f>
        <v>V</v>
      </c>
      <c r="L77" s="17">
        <f t="shared" ref="L77:N112" si="25">IF($K77=L$1,50%,25%)</f>
        <v>0.25</v>
      </c>
      <c r="M77" s="17">
        <f t="shared" si="25"/>
        <v>0.5</v>
      </c>
      <c r="N77" s="17">
        <f t="shared" si="25"/>
        <v>0.25</v>
      </c>
      <c r="O77" s="81">
        <f t="shared" si="22"/>
        <v>0</v>
      </c>
      <c r="P77" s="36">
        <f>IF(D77&gt;21,VLOOKUP(D77,Barem!$T$1:$U$39,2,1),0)</f>
        <v>0</v>
      </c>
      <c r="Q77" s="32">
        <f>IF(D77&lt;1.609,0,IF(B77="F",VLOOKUP(G77,Barem!$X$2:$Z$13,2,1),VLOOKUP(G77,Barem!$X$14:$Z$25,2,1)))</f>
        <v>0</v>
      </c>
      <c r="R77" s="36">
        <f>VLOOKUP(A77,Participanti!A:C,3,0)</f>
        <v>0.75</v>
      </c>
      <c r="S77" s="29">
        <f t="shared" si="23"/>
        <v>2.375</v>
      </c>
      <c r="T77" s="79">
        <v>43997</v>
      </c>
      <c r="U77" s="16">
        <f>COUNTIFS(A:A,A77,C:C,C77)</f>
        <v>1</v>
      </c>
      <c r="V77" s="34">
        <f t="shared" si="24"/>
        <v>0.296875</v>
      </c>
      <c r="W77" s="3" t="str">
        <f>VLOOKUP(A77,Data_echipe!A:O,15,0)</f>
        <v>Tenchei</v>
      </c>
      <c r="X77" s="3">
        <f t="shared" si="20"/>
        <v>1</v>
      </c>
    </row>
    <row r="78" spans="1:24">
      <c r="A78" s="74" t="s">
        <v>53</v>
      </c>
      <c r="B78" s="24" t="str">
        <f>VLOOKUP(A78,Participanti!A:B,2,0)</f>
        <v>M</v>
      </c>
      <c r="C78" s="75">
        <v>3</v>
      </c>
      <c r="D78" s="76">
        <v>10</v>
      </c>
      <c r="E78" s="77">
        <v>3.1898148148148148E-2</v>
      </c>
      <c r="F78" s="78">
        <v>0</v>
      </c>
      <c r="G78" s="20">
        <f t="shared" si="21"/>
        <v>3.1898148148148146E-3</v>
      </c>
      <c r="H78" s="16">
        <f>IF(B78="F",IF(G78&gt;Barem!$AC$2,0,IF(B78="F",VLOOKUP(D78,Barem!$B$2:$C$11,2,1))),IF(G78&gt;Barem!$AC$3,0,VLOOKUP(D78,Barem!$B$12:$C$21,2,1)))</f>
        <v>2.5</v>
      </c>
      <c r="I78" s="16">
        <f>IF(H78=0,0,IF(B78="F",VLOOKUP(G78,Barem!$G$2:$H$11,2,1),VLOOKUP(G78,Barem!$G$12:$H$21,2,1)))</f>
        <v>3.5</v>
      </c>
      <c r="J78" s="75">
        <v>1</v>
      </c>
      <c r="K78" s="82" t="str">
        <f>VLOOKUP($C78,Barem!$L$2:$R$13,7,0)</f>
        <v>V</v>
      </c>
      <c r="L78" s="17">
        <f t="shared" si="25"/>
        <v>0.25</v>
      </c>
      <c r="M78" s="17">
        <f t="shared" si="25"/>
        <v>0.5</v>
      </c>
      <c r="N78" s="17">
        <f t="shared" si="25"/>
        <v>0.25</v>
      </c>
      <c r="O78" s="81">
        <f t="shared" si="22"/>
        <v>0</v>
      </c>
      <c r="P78" s="36">
        <f>IF(D78&gt;21,VLOOKUP(D78,Barem!$T$1:$U$39,2,1),0)</f>
        <v>0</v>
      </c>
      <c r="Q78" s="32">
        <f>IF(D78&lt;1.609,0,IF(B78="F",VLOOKUP(G78,Barem!$X$2:$Z$13,2,1),VLOOKUP(G78,Barem!$X$14:$Z$25,2,1)))</f>
        <v>0</v>
      </c>
      <c r="R78" s="36">
        <f>VLOOKUP(A78,Participanti!A:C,3,0)</f>
        <v>0</v>
      </c>
      <c r="S78" s="29">
        <f t="shared" si="23"/>
        <v>2.625</v>
      </c>
      <c r="T78" s="79">
        <v>44000</v>
      </c>
      <c r="U78" s="16">
        <f>COUNTIFS(A:A,A78,C:C,C78)</f>
        <v>1</v>
      </c>
      <c r="V78" s="34">
        <f t="shared" si="24"/>
        <v>0.26250000000000001</v>
      </c>
      <c r="W78" s="3" t="str">
        <f>VLOOKUP(A78,Data_echipe!A:O,15,0)</f>
        <v>Tenchei</v>
      </c>
      <c r="X78" s="3">
        <f t="shared" si="20"/>
        <v>1</v>
      </c>
    </row>
    <row r="79" spans="1:24">
      <c r="A79" s="74" t="s">
        <v>57</v>
      </c>
      <c r="B79" s="24" t="str">
        <f>VLOOKUP(A79,Participanti!A:B,2,0)</f>
        <v>M</v>
      </c>
      <c r="C79" s="75">
        <v>3</v>
      </c>
      <c r="D79" s="76">
        <v>6.6</v>
      </c>
      <c r="E79" s="77">
        <v>1.8171296296296297E-2</v>
      </c>
      <c r="F79" s="78">
        <v>0</v>
      </c>
      <c r="G79" s="20">
        <f t="shared" si="21"/>
        <v>2.7532267115600449E-3</v>
      </c>
      <c r="H79" s="16">
        <f>IF(B79="F",IF(G79&gt;Barem!$AC$2,0,IF(B79="F",VLOOKUP(D79,Barem!$B$2:$C$11,2,1))),IF(G79&gt;Barem!$AC$3,0,VLOOKUP(D79,Barem!$B$12:$C$21,2,1)))</f>
        <v>1.5</v>
      </c>
      <c r="I79" s="16">
        <f>IF(H79=0,0,IF(B79="F",VLOOKUP(G79,Barem!$G$2:$H$11,2,1),VLOOKUP(G79,Barem!$G$12:$H$21,2,1)))</f>
        <v>5</v>
      </c>
      <c r="J79" s="75">
        <v>3</v>
      </c>
      <c r="K79" s="82" t="str">
        <f>VLOOKUP($C79,Barem!$L$2:$R$13,7,0)</f>
        <v>V</v>
      </c>
      <c r="L79" s="17">
        <f t="shared" si="25"/>
        <v>0.25</v>
      </c>
      <c r="M79" s="17">
        <f t="shared" si="25"/>
        <v>0.5</v>
      </c>
      <c r="N79" s="17">
        <f t="shared" si="25"/>
        <v>0.25</v>
      </c>
      <c r="O79" s="81">
        <f t="shared" si="22"/>
        <v>0</v>
      </c>
      <c r="P79" s="36">
        <f>IF(D79&gt;21,VLOOKUP(D79,Barem!$T$1:$U$39,2,1),0)</f>
        <v>0</v>
      </c>
      <c r="Q79" s="32">
        <f>IF(D79&lt;1.609,0,IF(B79="F",VLOOKUP(G79,Barem!$X$2:$Z$13,2,1),VLOOKUP(G79,Barem!$X$14:$Z$25,2,1)))</f>
        <v>0.1</v>
      </c>
      <c r="R79" s="36">
        <f>VLOOKUP(A79,Participanti!A:C,3,0)</f>
        <v>0</v>
      </c>
      <c r="S79" s="29">
        <f t="shared" si="23"/>
        <v>3.7250000000000001</v>
      </c>
      <c r="T79" s="79">
        <v>43999</v>
      </c>
      <c r="U79" s="16">
        <f>COUNTIFS(A:A,A79,C:C,C79)</f>
        <v>1</v>
      </c>
      <c r="V79" s="34">
        <f t="shared" si="24"/>
        <v>0.56439393939393945</v>
      </c>
      <c r="W79" s="3" t="str">
        <f>VLOOKUP(A79,Data_echipe!A:O,15,0)</f>
        <v>Tenchei</v>
      </c>
      <c r="X79" s="3">
        <f t="shared" si="20"/>
        <v>1</v>
      </c>
    </row>
    <row r="80" spans="1:24">
      <c r="A80" s="74" t="s">
        <v>60</v>
      </c>
      <c r="B80" s="24" t="str">
        <f>VLOOKUP(A80,Participanti!A:B,2,0)</f>
        <v>M</v>
      </c>
      <c r="C80" s="75">
        <v>3</v>
      </c>
      <c r="D80" s="76">
        <v>22.03</v>
      </c>
      <c r="E80" s="77">
        <v>7.885416666666667E-2</v>
      </c>
      <c r="F80" s="78">
        <v>49</v>
      </c>
      <c r="G80" s="20">
        <f t="shared" si="21"/>
        <v>3.579399303979422E-3</v>
      </c>
      <c r="H80" s="16">
        <f>IF(B80="F",IF(G80&gt;Barem!$AC$2,0,IF(B80="F",VLOOKUP(D80,Barem!$B$2:$C$11,2,1))),IF(G80&gt;Barem!$AC$3,0,VLOOKUP(D80,Barem!$B$12:$C$21,2,1)))</f>
        <v>5</v>
      </c>
      <c r="I80" s="16">
        <f>IF(H80=0,0,IF(B80="F",VLOOKUP(G80,Barem!$G$2:$H$11,2,1),VLOOKUP(G80,Barem!$G$12:$H$21,2,1)))</f>
        <v>2.5</v>
      </c>
      <c r="J80" s="75">
        <v>3.5</v>
      </c>
      <c r="K80" s="82" t="str">
        <f>VLOOKUP($C80,Barem!$L$2:$R$13,7,0)</f>
        <v>V</v>
      </c>
      <c r="L80" s="17">
        <f t="shared" si="25"/>
        <v>0.25</v>
      </c>
      <c r="M80" s="17">
        <f t="shared" si="25"/>
        <v>0.5</v>
      </c>
      <c r="N80" s="17">
        <f t="shared" si="25"/>
        <v>0.25</v>
      </c>
      <c r="O80" s="81">
        <f t="shared" si="22"/>
        <v>0</v>
      </c>
      <c r="P80" s="36">
        <f>IF(D80&gt;21,VLOOKUP(D80,Barem!$T$1:$U$39,2,1),0)</f>
        <v>0</v>
      </c>
      <c r="Q80" s="32">
        <f>IF(D80&lt;1.609,0,IF(B80="F",VLOOKUP(G80,Barem!$X$2:$Z$13,2,1),VLOOKUP(G80,Barem!$X$14:$Z$25,2,1)))</f>
        <v>0</v>
      </c>
      <c r="R80" s="36">
        <f>VLOOKUP(A80,Participanti!A:C,3,0)</f>
        <v>0</v>
      </c>
      <c r="S80" s="29">
        <f t="shared" si="23"/>
        <v>3.375</v>
      </c>
      <c r="T80" s="79">
        <v>44000</v>
      </c>
      <c r="U80" s="16">
        <f>COUNTIFS(A:A,A80,C:C,C80)</f>
        <v>1</v>
      </c>
      <c r="V80" s="34">
        <f t="shared" si="24"/>
        <v>0.15320018157058557</v>
      </c>
      <c r="W80" s="3" t="str">
        <f>VLOOKUP(A80,Data_echipe!A:O,15,0)</f>
        <v>Tenchei</v>
      </c>
      <c r="X80" s="3">
        <f t="shared" si="20"/>
        <v>1</v>
      </c>
    </row>
    <row r="81" spans="1:24">
      <c r="A81" s="74" t="s">
        <v>201</v>
      </c>
      <c r="B81" s="24" t="str">
        <f>VLOOKUP(A81,Participanti!A:B,2,0)</f>
        <v>F</v>
      </c>
      <c r="C81" s="75">
        <v>3</v>
      </c>
      <c r="D81" s="76">
        <v>12.66</v>
      </c>
      <c r="E81" s="77">
        <v>5.2916666666666667E-2</v>
      </c>
      <c r="F81" s="78">
        <v>338</v>
      </c>
      <c r="G81" s="20">
        <f t="shared" si="21"/>
        <v>4.1798314902580305E-3</v>
      </c>
      <c r="H81" s="16">
        <f>IF(B81="F",IF(G81&gt;Barem!$AC$2,0,IF(B81="F",VLOOKUP(D81,Barem!$B$2:$C$11,2,1))),IF(G81&gt;Barem!$AC$3,0,VLOOKUP(D81,Barem!$B$12:$C$21,2,1)))</f>
        <v>3</v>
      </c>
      <c r="I81" s="16">
        <f>IF(H81=0,0,IF(B81="F",VLOOKUP(G81,Barem!$G$2:$H$11,2,1),VLOOKUP(G81,Barem!$G$12:$H$21,2,1)))</f>
        <v>1.5</v>
      </c>
      <c r="J81" s="75">
        <v>4</v>
      </c>
      <c r="K81" s="82" t="str">
        <f>VLOOKUP($C81,Barem!$L$2:$R$13,7,0)</f>
        <v>V</v>
      </c>
      <c r="L81" s="17">
        <f t="shared" si="25"/>
        <v>0.25</v>
      </c>
      <c r="M81" s="17">
        <f t="shared" si="25"/>
        <v>0.5</v>
      </c>
      <c r="N81" s="17">
        <f t="shared" si="25"/>
        <v>0.25</v>
      </c>
      <c r="O81" s="81">
        <f t="shared" si="22"/>
        <v>0.22533333333333333</v>
      </c>
      <c r="P81" s="36">
        <f>IF(D81&gt;21,VLOOKUP(D81,Barem!$T$1:$U$39,2,1),0)</f>
        <v>0</v>
      </c>
      <c r="Q81" s="32">
        <f>IF(D81&lt;1.609,0,IF(B81="F",VLOOKUP(G81,Barem!$X$2:$Z$13,2,1),VLOOKUP(G81,Barem!$X$14:$Z$25,2,1)))</f>
        <v>0</v>
      </c>
      <c r="R81" s="36">
        <f>VLOOKUP(A81,Participanti!A:C,3,0)</f>
        <v>0</v>
      </c>
      <c r="S81" s="29">
        <f t="shared" si="23"/>
        <v>2.7253333333333334</v>
      </c>
      <c r="T81" s="79">
        <v>44000</v>
      </c>
      <c r="U81" s="16">
        <f>COUNTIFS(A:A,A81,C:C,C81)</f>
        <v>1</v>
      </c>
      <c r="V81" s="34">
        <f t="shared" si="24"/>
        <v>0.2152711953659821</v>
      </c>
      <c r="W81" s="3" t="str">
        <f>VLOOKUP(A81,Data_echipe!A:O,15,0)</f>
        <v>X Æ A-12</v>
      </c>
      <c r="X81" s="3">
        <f t="shared" si="20"/>
        <v>1</v>
      </c>
    </row>
    <row r="82" spans="1:24">
      <c r="A82" s="74" t="s">
        <v>169</v>
      </c>
      <c r="B82" s="24" t="str">
        <f>VLOOKUP(A82,Participanti!A:B,2,0)</f>
        <v>F</v>
      </c>
      <c r="C82" s="75">
        <v>3</v>
      </c>
      <c r="D82" s="76">
        <v>10.01</v>
      </c>
      <c r="E82" s="77">
        <v>5.4340277777777779E-2</v>
      </c>
      <c r="F82" s="78">
        <v>14</v>
      </c>
      <c r="G82" s="20">
        <f t="shared" si="21"/>
        <v>5.4285991785991789E-3</v>
      </c>
      <c r="H82" s="16">
        <f>IF(B82="F",IF(G82&gt;Barem!$AC$2,0,IF(B82="F",VLOOKUP(D82,Barem!$B$2:$C$11,2,1))),IF(G82&gt;Barem!$AC$3,0,VLOOKUP(D82,Barem!$B$12:$C$21,2,1)))</f>
        <v>2.5</v>
      </c>
      <c r="I82" s="16">
        <f>IF(H82=0,0,IF(B82="F",VLOOKUP(G82,Barem!$G$2:$H$11,2,1),VLOOKUP(G82,Barem!$G$12:$H$21,2,1)))</f>
        <v>1</v>
      </c>
      <c r="J82" s="75">
        <v>2.5</v>
      </c>
      <c r="K82" s="82" t="str">
        <f>VLOOKUP($C82,Barem!$L$2:$R$13,7,0)</f>
        <v>V</v>
      </c>
      <c r="L82" s="17">
        <f t="shared" si="25"/>
        <v>0.25</v>
      </c>
      <c r="M82" s="17">
        <f t="shared" si="25"/>
        <v>0.5</v>
      </c>
      <c r="N82" s="17">
        <f t="shared" si="25"/>
        <v>0.25</v>
      </c>
      <c r="O82" s="81">
        <f t="shared" si="22"/>
        <v>0</v>
      </c>
      <c r="P82" s="36">
        <f>IF(D82&gt;21,VLOOKUP(D82,Barem!$T$1:$U$39,2,1),0)</f>
        <v>0</v>
      </c>
      <c r="Q82" s="32">
        <f>IF(D82&lt;1.609,0,IF(B82="F",VLOOKUP(G82,Barem!$X$2:$Z$13,2,1),VLOOKUP(G82,Barem!$X$14:$Z$25,2,1)))</f>
        <v>0</v>
      </c>
      <c r="R82" s="36">
        <f>VLOOKUP(A82,Participanti!A:C,3,0)</f>
        <v>0.5</v>
      </c>
      <c r="S82" s="29">
        <f t="shared" si="23"/>
        <v>2.25</v>
      </c>
      <c r="T82" s="79">
        <v>44001</v>
      </c>
      <c r="U82" s="16">
        <f>COUNTIFS(A:A,A82,C:C,C82)</f>
        <v>1</v>
      </c>
      <c r="V82" s="34">
        <f t="shared" si="24"/>
        <v>0.22477522477522477</v>
      </c>
      <c r="W82" s="3" t="str">
        <f>VLOOKUP(A82,Data_echipe!A:O,15,0)</f>
        <v>Serioranistii</v>
      </c>
      <c r="X82" s="3">
        <f t="shared" si="20"/>
        <v>1</v>
      </c>
    </row>
    <row r="83" spans="1:24">
      <c r="A83" s="74" t="s">
        <v>202</v>
      </c>
      <c r="B83" s="24" t="str">
        <f>VLOOKUP(A83,Participanti!A:B,2,0)</f>
        <v>M</v>
      </c>
      <c r="C83" s="75">
        <v>3</v>
      </c>
      <c r="D83" s="76">
        <v>4.9800000000000004</v>
      </c>
      <c r="E83" s="77">
        <v>1.7152777777777777E-2</v>
      </c>
      <c r="F83" s="78">
        <v>0</v>
      </c>
      <c r="G83" s="20">
        <f t="shared" si="21"/>
        <v>3.444332887103971E-3</v>
      </c>
      <c r="H83" s="16">
        <f>IF(B83="F",IF(G83&gt;Barem!$AC$2,0,IF(B83="F",VLOOKUP(D83,Barem!$B$2:$C$11,2,1))),IF(G83&gt;Barem!$AC$3,0,VLOOKUP(D83,Barem!$B$12:$C$21,2,1)))</f>
        <v>1</v>
      </c>
      <c r="I83" s="16">
        <f>IF(H83=0,0,IF(B83="F",VLOOKUP(G83,Barem!$G$2:$H$11,2,1),VLOOKUP(G83,Barem!$G$12:$H$21,2,1)))</f>
        <v>3</v>
      </c>
      <c r="J83" s="75">
        <v>2.5</v>
      </c>
      <c r="K83" s="82" t="str">
        <f>VLOOKUP($C83,Barem!$L$2:$R$13,7,0)</f>
        <v>V</v>
      </c>
      <c r="L83" s="17">
        <f t="shared" si="25"/>
        <v>0.25</v>
      </c>
      <c r="M83" s="17">
        <f t="shared" si="25"/>
        <v>0.5</v>
      </c>
      <c r="N83" s="17">
        <f t="shared" si="25"/>
        <v>0.25</v>
      </c>
      <c r="O83" s="81">
        <f t="shared" si="22"/>
        <v>0</v>
      </c>
      <c r="P83" s="36">
        <f>IF(D83&gt;21,VLOOKUP(D83,Barem!$T$1:$U$39,2,1),0)</f>
        <v>0</v>
      </c>
      <c r="Q83" s="32">
        <f>IF(D83&lt;1.609,0,IF(B83="F",VLOOKUP(G83,Barem!$X$2:$Z$13,2,1),VLOOKUP(G83,Barem!$X$14:$Z$25,2,1)))</f>
        <v>0</v>
      </c>
      <c r="R83" s="36">
        <f>VLOOKUP(A83,Participanti!A:C,3,0)</f>
        <v>0</v>
      </c>
      <c r="S83" s="29">
        <f t="shared" si="23"/>
        <v>2.375</v>
      </c>
      <c r="T83" s="79">
        <v>44001</v>
      </c>
      <c r="U83" s="16">
        <f>COUNTIFS(A:A,A83,C:C,C83)</f>
        <v>1</v>
      </c>
      <c r="V83" s="34">
        <f t="shared" si="24"/>
        <v>0.47690763052208829</v>
      </c>
      <c r="W83" s="3" t="str">
        <f>VLOOKUP(A83,Data_echipe!A:O,15,0)</f>
        <v>X Æ A-12</v>
      </c>
      <c r="X83" s="3">
        <f t="shared" si="20"/>
        <v>1</v>
      </c>
    </row>
    <row r="84" spans="1:24">
      <c r="A84" s="74" t="s">
        <v>172</v>
      </c>
      <c r="B84" s="24" t="str">
        <f>VLOOKUP(A84,Participanti!A:B,2,0)</f>
        <v>F</v>
      </c>
      <c r="C84" s="75">
        <v>3</v>
      </c>
      <c r="D84" s="76">
        <v>10</v>
      </c>
      <c r="E84" s="77">
        <v>3.6342592592592593E-2</v>
      </c>
      <c r="F84" s="78">
        <v>2</v>
      </c>
      <c r="G84" s="20">
        <f t="shared" si="21"/>
        <v>3.6342592592592594E-3</v>
      </c>
      <c r="H84" s="16">
        <f>IF(B84="F",IF(G84&gt;Barem!$AC$2,0,IF(B84="F",VLOOKUP(D84,Barem!$B$2:$C$11,2,1))),IF(G84&gt;Barem!$AC$3,0,VLOOKUP(D84,Barem!$B$12:$C$21,2,1)))</f>
        <v>2.5</v>
      </c>
      <c r="I84" s="16">
        <f>IF(H84=0,0,IF(B84="F",VLOOKUP(G84,Barem!$G$2:$H$11,2,1),VLOOKUP(G84,Barem!$G$12:$H$21,2,1)))</f>
        <v>3.5</v>
      </c>
      <c r="J84" s="75">
        <v>3</v>
      </c>
      <c r="K84" s="82" t="str">
        <f>VLOOKUP($C84,Barem!$L$2:$R$13,7,0)</f>
        <v>V</v>
      </c>
      <c r="L84" s="17">
        <f t="shared" si="25"/>
        <v>0.25</v>
      </c>
      <c r="M84" s="17">
        <f t="shared" si="25"/>
        <v>0.5</v>
      </c>
      <c r="N84" s="17">
        <f t="shared" si="25"/>
        <v>0.25</v>
      </c>
      <c r="O84" s="81">
        <f t="shared" si="22"/>
        <v>0</v>
      </c>
      <c r="P84" s="36">
        <f>IF(D84&gt;21,VLOOKUP(D84,Barem!$T$1:$U$39,2,1),0)</f>
        <v>0</v>
      </c>
      <c r="Q84" s="32">
        <f>IF(D84&lt;1.609,0,IF(B84="F",VLOOKUP(G84,Barem!$X$2:$Z$13,2,1),VLOOKUP(G84,Barem!$X$14:$Z$25,2,1)))</f>
        <v>0</v>
      </c>
      <c r="R84" s="36">
        <f>VLOOKUP(A84,Participanti!A:C,3,0)</f>
        <v>0</v>
      </c>
      <c r="S84" s="29">
        <f t="shared" si="23"/>
        <v>3.125</v>
      </c>
      <c r="T84" s="79">
        <v>44001</v>
      </c>
      <c r="U84" s="16">
        <f>COUNTIFS(A:A,A84,C:C,C84)</f>
        <v>1</v>
      </c>
      <c r="V84" s="34">
        <f t="shared" si="24"/>
        <v>0.3125</v>
      </c>
      <c r="W84" s="3" t="str">
        <f>VLOOKUP(A84,Data_echipe!A:O,15,0)</f>
        <v>Unicornii</v>
      </c>
      <c r="X84" s="3">
        <f t="shared" si="20"/>
        <v>1</v>
      </c>
    </row>
    <row r="85" spans="1:24">
      <c r="A85" s="74" t="s">
        <v>66</v>
      </c>
      <c r="B85" s="24" t="str">
        <f>VLOOKUP(A85,Participanti!A:B,2,0)</f>
        <v>M</v>
      </c>
      <c r="C85" s="75">
        <v>3</v>
      </c>
      <c r="D85" s="76">
        <v>8.0500000000000007</v>
      </c>
      <c r="E85" s="77">
        <v>3.172453703703703E-2</v>
      </c>
      <c r="F85" s="78">
        <v>20</v>
      </c>
      <c r="G85" s="20">
        <f t="shared" si="21"/>
        <v>3.9409362778927981E-3</v>
      </c>
      <c r="H85" s="16">
        <f>IF(B85="F",IF(G85&gt;Barem!$AC$2,0,IF(B85="F",VLOOKUP(D85,Barem!$B$2:$C$11,2,1))),IF(G85&gt;Barem!$AC$3,0,VLOOKUP(D85,Barem!$B$12:$C$21,2,1)))</f>
        <v>2</v>
      </c>
      <c r="I85" s="16">
        <f>IF(H85=0,0,IF(B85="F",VLOOKUP(G85,Barem!$G$2:$H$11,2,1),VLOOKUP(G85,Barem!$G$12:$H$21,2,1)))</f>
        <v>1.5</v>
      </c>
      <c r="J85" s="75">
        <v>2.5</v>
      </c>
      <c r="K85" s="82" t="str">
        <f>VLOOKUP($C85,Barem!$L$2:$R$13,7,0)</f>
        <v>V</v>
      </c>
      <c r="L85" s="17">
        <f t="shared" si="25"/>
        <v>0.25</v>
      </c>
      <c r="M85" s="17">
        <f t="shared" si="25"/>
        <v>0.5</v>
      </c>
      <c r="N85" s="17">
        <f t="shared" si="25"/>
        <v>0.25</v>
      </c>
      <c r="O85" s="81">
        <f t="shared" si="22"/>
        <v>0</v>
      </c>
      <c r="P85" s="36">
        <f>IF(D85&gt;21,VLOOKUP(D85,Barem!$T$1:$U$39,2,1),0)</f>
        <v>0</v>
      </c>
      <c r="Q85" s="32">
        <f>IF(D85&lt;1.609,0,IF(B85="F",VLOOKUP(G85,Barem!$X$2:$Z$13,2,1),VLOOKUP(G85,Barem!$X$14:$Z$25,2,1)))</f>
        <v>0</v>
      </c>
      <c r="R85" s="36">
        <f>VLOOKUP(A85,Participanti!A:C,3,0)</f>
        <v>0</v>
      </c>
      <c r="S85" s="29">
        <f t="shared" si="23"/>
        <v>1.875</v>
      </c>
      <c r="T85" s="79">
        <v>44002</v>
      </c>
      <c r="U85" s="16">
        <f>COUNTIFS(A:A,A85,C:C,C85)</f>
        <v>1</v>
      </c>
      <c r="V85" s="34">
        <f t="shared" si="24"/>
        <v>0.23291925465838506</v>
      </c>
      <c r="W85" s="3" t="str">
        <f>VLOOKUP(A85,Data_echipe!A:O,15,0)</f>
        <v>X Æ A-12</v>
      </c>
      <c r="X85" s="3">
        <f t="shared" si="20"/>
        <v>1</v>
      </c>
    </row>
    <row r="86" spans="1:24">
      <c r="A86" s="74" t="s">
        <v>208</v>
      </c>
      <c r="B86" s="24" t="str">
        <f>VLOOKUP(A86,Participanti!A:B,2,0)</f>
        <v>M</v>
      </c>
      <c r="C86" s="75">
        <v>3</v>
      </c>
      <c r="D86" s="76">
        <v>21.13</v>
      </c>
      <c r="E86" s="77">
        <v>6.9745370370370374E-2</v>
      </c>
      <c r="F86" s="78">
        <v>35</v>
      </c>
      <c r="G86" s="20">
        <f t="shared" si="21"/>
        <v>3.3007747454032359E-3</v>
      </c>
      <c r="H86" s="16">
        <f>IF(B86="F",IF(G86&gt;Barem!$AC$2,0,IF(B86="F",VLOOKUP(D86,Barem!$B$2:$C$11,2,1))),IF(G86&gt;Barem!$AC$3,0,VLOOKUP(D86,Barem!$B$12:$C$21,2,1)))</f>
        <v>5</v>
      </c>
      <c r="I86" s="16">
        <f>IF(H86=0,0,IF(B86="F",VLOOKUP(G86,Barem!$G$2:$H$11,2,1),VLOOKUP(G86,Barem!$G$12:$H$21,2,1)))</f>
        <v>3.5</v>
      </c>
      <c r="J86" s="75">
        <v>3.5</v>
      </c>
      <c r="K86" s="82" t="str">
        <f>VLOOKUP($C86,Barem!$L$2:$R$13,7,0)</f>
        <v>V</v>
      </c>
      <c r="L86" s="17">
        <f t="shared" si="25"/>
        <v>0.25</v>
      </c>
      <c r="M86" s="17">
        <f t="shared" si="25"/>
        <v>0.5</v>
      </c>
      <c r="N86" s="17">
        <f t="shared" si="25"/>
        <v>0.25</v>
      </c>
      <c r="O86" s="81">
        <f t="shared" si="22"/>
        <v>0</v>
      </c>
      <c r="P86" s="36">
        <f>IF(D86&gt;21,VLOOKUP(D86,Barem!$T$1:$U$39,2,1),0)</f>
        <v>0</v>
      </c>
      <c r="Q86" s="32">
        <f>IF(D86&lt;1.609,0,IF(B86="F",VLOOKUP(G86,Barem!$X$2:$Z$13,2,1),VLOOKUP(G86,Barem!$X$14:$Z$25,2,1)))</f>
        <v>0</v>
      </c>
      <c r="R86" s="36">
        <f>VLOOKUP(A86,Participanti!A:C,3,0)</f>
        <v>0</v>
      </c>
      <c r="S86" s="29">
        <f t="shared" si="23"/>
        <v>3.875</v>
      </c>
      <c r="T86" s="79">
        <v>44001</v>
      </c>
      <c r="U86" s="16">
        <f>COUNTIFS(A:A,A86,C:C,C86)</f>
        <v>1</v>
      </c>
      <c r="V86" s="34">
        <f t="shared" si="24"/>
        <v>0.1833885470894463</v>
      </c>
      <c r="W86" s="3" t="str">
        <f>VLOOKUP(A86,Data_echipe!A:O,15,0)</f>
        <v xml:space="preserve"> Let it run</v>
      </c>
      <c r="X86" s="3">
        <f t="shared" si="20"/>
        <v>1</v>
      </c>
    </row>
    <row r="87" spans="1:24">
      <c r="A87" s="74" t="s">
        <v>62</v>
      </c>
      <c r="B87" s="24" t="str">
        <f>VLOOKUP(A87,Participanti!A:B,2,0)</f>
        <v>M</v>
      </c>
      <c r="C87" s="75">
        <v>3</v>
      </c>
      <c r="D87" s="76">
        <v>21.66</v>
      </c>
      <c r="E87" s="77">
        <v>0.11163194444444445</v>
      </c>
      <c r="F87" s="78">
        <v>701</v>
      </c>
      <c r="G87" s="20">
        <f t="shared" si="21"/>
        <v>5.1538293834000205E-3</v>
      </c>
      <c r="H87" s="16">
        <f>IF(B87="F",IF(G87&gt;Barem!$AC$2,0,IF(B87="F",VLOOKUP(D87,Barem!$B$2:$C$11,2,1))),IF(G87&gt;Barem!$AC$3,0,VLOOKUP(D87,Barem!$B$12:$C$21,2,1)))</f>
        <v>5</v>
      </c>
      <c r="I87" s="16">
        <f>IF(H87=0,0,IF(B87="F",VLOOKUP(G87,Barem!$G$2:$H$11,2,1),VLOOKUP(G87,Barem!$G$12:$H$21,2,1)))</f>
        <v>1</v>
      </c>
      <c r="J87" s="75">
        <v>4.5</v>
      </c>
      <c r="K87" s="83" t="s">
        <v>182</v>
      </c>
      <c r="L87" s="17">
        <f t="shared" si="25"/>
        <v>0.5</v>
      </c>
      <c r="M87" s="17">
        <f t="shared" si="25"/>
        <v>0.25</v>
      </c>
      <c r="N87" s="17">
        <f t="shared" si="25"/>
        <v>0.25</v>
      </c>
      <c r="O87" s="81">
        <f t="shared" si="22"/>
        <v>0.46733333333333332</v>
      </c>
      <c r="P87" s="36">
        <f>IF(D87&gt;21,VLOOKUP(D87,Barem!$T$1:$U$39,2,1),0)</f>
        <v>0</v>
      </c>
      <c r="Q87" s="32">
        <f>IF(D87&lt;1.609,0,IF(B87="F",VLOOKUP(G87,Barem!$X$2:$Z$13,2,1),VLOOKUP(G87,Barem!$X$14:$Z$25,2,1)))</f>
        <v>0</v>
      </c>
      <c r="R87" s="36">
        <f>VLOOKUP(A87,Participanti!A:C,3,0)</f>
        <v>0</v>
      </c>
      <c r="S87" s="29">
        <f t="shared" si="23"/>
        <v>4.3423333333333334</v>
      </c>
      <c r="T87" s="79">
        <v>44002</v>
      </c>
      <c r="U87" s="16">
        <f>COUNTIFS(A:A,A87,C:C,C87)</f>
        <v>1</v>
      </c>
      <c r="V87" s="34">
        <f t="shared" si="24"/>
        <v>0.2004770698676516</v>
      </c>
      <c r="W87" s="3" t="str">
        <f>VLOOKUP(A87,Data_echipe!A:O,15,0)</f>
        <v>Serioranistii</v>
      </c>
      <c r="X87" s="3">
        <f t="shared" si="20"/>
        <v>1</v>
      </c>
    </row>
    <row r="88" spans="1:24">
      <c r="A88" s="74" t="s">
        <v>86</v>
      </c>
      <c r="B88" s="24" t="str">
        <f>VLOOKUP(A88,Participanti!A:B,2,0)</f>
        <v>M</v>
      </c>
      <c r="C88" s="75">
        <v>3</v>
      </c>
      <c r="D88" s="76">
        <v>5</v>
      </c>
      <c r="E88" s="77">
        <v>2.0173611111111111E-2</v>
      </c>
      <c r="F88" s="78">
        <v>0</v>
      </c>
      <c r="G88" s="20">
        <f t="shared" si="21"/>
        <v>4.0347222222222225E-3</v>
      </c>
      <c r="H88" s="16">
        <f>IF(B88="F",IF(G88&gt;Barem!$AC$2,0,IF(B88="F",VLOOKUP(D88,Barem!$B$2:$C$11,2,1))),IF(G88&gt;Barem!$AC$3,0,VLOOKUP(D88,Barem!$B$12:$C$21,2,1)))</f>
        <v>1.5</v>
      </c>
      <c r="I88" s="16">
        <f>IF(H88=0,0,IF(B88="F",VLOOKUP(G88,Barem!$G$2:$H$11,2,1),VLOOKUP(G88,Barem!$G$12:$H$21,2,1)))</f>
        <v>1.5</v>
      </c>
      <c r="J88" s="75">
        <v>3.5</v>
      </c>
      <c r="K88" s="83" t="s">
        <v>184</v>
      </c>
      <c r="L88" s="17">
        <f t="shared" si="25"/>
        <v>0.25</v>
      </c>
      <c r="M88" s="17">
        <f t="shared" si="25"/>
        <v>0.25</v>
      </c>
      <c r="N88" s="17">
        <f t="shared" si="25"/>
        <v>0.5</v>
      </c>
      <c r="O88" s="81">
        <f t="shared" si="22"/>
        <v>0</v>
      </c>
      <c r="P88" s="36">
        <f>IF(D88&gt;21,VLOOKUP(D88,Barem!$T$1:$U$39,2,1),0)</f>
        <v>0</v>
      </c>
      <c r="Q88" s="32">
        <f>IF(D88&lt;1.609,0,IF(B88="F",VLOOKUP(G88,Barem!$X$2:$Z$13,2,1),VLOOKUP(G88,Barem!$X$14:$Z$25,2,1)))</f>
        <v>0</v>
      </c>
      <c r="R88" s="36">
        <f>VLOOKUP(A88,Participanti!A:C,3,0)</f>
        <v>0</v>
      </c>
      <c r="S88" s="29">
        <f t="shared" si="23"/>
        <v>2.5</v>
      </c>
      <c r="T88" s="79">
        <v>44002</v>
      </c>
      <c r="U88" s="16">
        <f>COUNTIFS(A:A,A88,C:C,C88)</f>
        <v>1</v>
      </c>
      <c r="V88" s="34">
        <f t="shared" si="24"/>
        <v>0.5</v>
      </c>
      <c r="W88" s="3" t="str">
        <f>VLOOKUP(A88,Data_echipe!A:O,15,0)</f>
        <v>Unicornii</v>
      </c>
      <c r="X88" s="3">
        <f t="shared" si="20"/>
        <v>1</v>
      </c>
    </row>
    <row r="89" spans="1:24">
      <c r="A89" s="74" t="s">
        <v>171</v>
      </c>
      <c r="B89" s="24" t="str">
        <f>VLOOKUP(A89,Participanti!A:B,2,0)</f>
        <v>M</v>
      </c>
      <c r="C89" s="75">
        <v>3</v>
      </c>
      <c r="D89" s="76">
        <v>8.1</v>
      </c>
      <c r="E89" s="77">
        <v>2.4421296296296292E-2</v>
      </c>
      <c r="F89" s="78">
        <v>0</v>
      </c>
      <c r="G89" s="20">
        <f t="shared" si="21"/>
        <v>3.0149748513946042E-3</v>
      </c>
      <c r="H89" s="16">
        <f>IF(B89="F",IF(G89&gt;Barem!$AC$2,0,IF(B89="F",VLOOKUP(D89,Barem!$B$2:$C$11,2,1))),IF(G89&gt;Barem!$AC$3,0,VLOOKUP(D89,Barem!$B$12:$C$21,2,1)))</f>
        <v>2</v>
      </c>
      <c r="I89" s="16">
        <f>IF(H89=0,0,IF(B89="F",VLOOKUP(G89,Barem!$G$2:$H$11,2,1),VLOOKUP(G89,Barem!$G$12:$H$21,2,1)))</f>
        <v>4</v>
      </c>
      <c r="J89" s="75">
        <v>3.5</v>
      </c>
      <c r="K89" s="82" t="str">
        <f>VLOOKUP($C89,Barem!$L$2:$R$13,7,0)</f>
        <v>V</v>
      </c>
      <c r="L89" s="17">
        <f t="shared" si="25"/>
        <v>0.25</v>
      </c>
      <c r="M89" s="17">
        <f t="shared" si="25"/>
        <v>0.5</v>
      </c>
      <c r="N89" s="17">
        <f t="shared" si="25"/>
        <v>0.25</v>
      </c>
      <c r="O89" s="81">
        <f>IF(F89&lt;-49,F89/1500,IF(F89&gt;99,F89/1500,0))</f>
        <v>0</v>
      </c>
      <c r="P89" s="36">
        <f>IF(D89&gt;21,VLOOKUP(D89,Barem!$T$1:$U$39,2,1),0)</f>
        <v>0</v>
      </c>
      <c r="Q89" s="32">
        <f>IF(D89&lt;1.609,0,IF(B89="F",VLOOKUP(G89,Barem!$X$2:$Z$13,2,1),VLOOKUP(G89,Barem!$X$14:$Z$25,2,1)))</f>
        <v>0</v>
      </c>
      <c r="R89" s="36">
        <f>VLOOKUP(A89,Participanti!A:C,3,0)</f>
        <v>0</v>
      </c>
      <c r="S89" s="29">
        <f t="shared" si="23"/>
        <v>3.375</v>
      </c>
      <c r="T89" s="79">
        <v>43999</v>
      </c>
      <c r="U89" s="16">
        <f>COUNTIFS(A:A,A89,C:C,C89)</f>
        <v>1</v>
      </c>
      <c r="V89" s="34">
        <f t="shared" si="24"/>
        <v>0.41666666666666669</v>
      </c>
      <c r="W89" s="3" t="str">
        <f>VLOOKUP(A89,Data_echipe!A:O,15,0)</f>
        <v>X Æ A-12</v>
      </c>
      <c r="X89" s="3">
        <f t="shared" si="20"/>
        <v>1</v>
      </c>
    </row>
    <row r="90" spans="1:24">
      <c r="A90" s="74" t="s">
        <v>204</v>
      </c>
      <c r="B90" s="24" t="str">
        <f>VLOOKUP(A90,Participanti!A:B,2,0)</f>
        <v>M</v>
      </c>
      <c r="C90" s="75">
        <v>3</v>
      </c>
      <c r="D90" s="76">
        <v>42.32</v>
      </c>
      <c r="E90" s="77">
        <v>0.13819444444444443</v>
      </c>
      <c r="F90" s="78">
        <v>0</v>
      </c>
      <c r="G90" s="20">
        <f t="shared" si="21"/>
        <v>3.2654641881957568E-3</v>
      </c>
      <c r="H90" s="16">
        <f>IF(B90="F",IF(G90&gt;Barem!$AC$2,0,IF(B90="F",VLOOKUP(D90,Barem!$B$2:$C$11,2,1))),IF(G90&gt;Barem!$AC$3,0,VLOOKUP(D90,Barem!$B$12:$C$21,2,1)))</f>
        <v>5</v>
      </c>
      <c r="I90" s="16">
        <f>IF(H90=0,0,IF(B90="F",VLOOKUP(G90,Barem!$G$2:$H$11,2,1),VLOOKUP(G90,Barem!$G$12:$H$21,2,1)))</f>
        <v>3.5</v>
      </c>
      <c r="J90" s="75">
        <v>4</v>
      </c>
      <c r="K90" s="83" t="s">
        <v>184</v>
      </c>
      <c r="L90" s="17">
        <f t="shared" si="25"/>
        <v>0.25</v>
      </c>
      <c r="M90" s="17">
        <f t="shared" si="25"/>
        <v>0.25</v>
      </c>
      <c r="N90" s="17">
        <f t="shared" si="25"/>
        <v>0.5</v>
      </c>
      <c r="O90" s="81">
        <f>IF(F90&lt;-49,F90/1500,IF(F90&gt;99,F90/1500,0))</f>
        <v>0</v>
      </c>
      <c r="P90" s="36">
        <f>IF(D90&gt;21,VLOOKUP(D90,Barem!$T$1:$U$39,2,1),0)</f>
        <v>0.4</v>
      </c>
      <c r="Q90" s="32">
        <f>IF(D90&lt;1.609,0,IF(B90="F",VLOOKUP(G90,Barem!$X$2:$Z$13,2,1),VLOOKUP(G90,Barem!$X$14:$Z$25,2,1)))</f>
        <v>0</v>
      </c>
      <c r="R90" s="36">
        <f>VLOOKUP(A90,Participanti!A:C,3,0)</f>
        <v>0</v>
      </c>
      <c r="S90" s="29">
        <f t="shared" si="23"/>
        <v>4.5250000000000004</v>
      </c>
      <c r="T90" s="79">
        <v>44003</v>
      </c>
      <c r="U90" s="16">
        <f>COUNTIFS(A:A,A90,C:C,C90)</f>
        <v>1</v>
      </c>
      <c r="V90" s="34">
        <f t="shared" si="24"/>
        <v>0.10692344045368621</v>
      </c>
      <c r="W90" s="3" t="str">
        <f>VLOOKUP(A90,Data_echipe!A:O,15,0)</f>
        <v>Unicornii</v>
      </c>
      <c r="X90" s="3">
        <f t="shared" si="20"/>
        <v>1</v>
      </c>
    </row>
    <row r="91" spans="1:24">
      <c r="A91" s="74" t="s">
        <v>203</v>
      </c>
      <c r="B91" s="24" t="str">
        <f>VLOOKUP(A91,Participanti!A:B,2,0)</f>
        <v>M</v>
      </c>
      <c r="C91" s="75">
        <v>3</v>
      </c>
      <c r="D91" s="76">
        <v>5</v>
      </c>
      <c r="E91" s="77">
        <v>1.3865740740740739E-2</v>
      </c>
      <c r="F91" s="78">
        <v>0</v>
      </c>
      <c r="G91" s="20">
        <f t="shared" si="21"/>
        <v>2.7731481481481478E-3</v>
      </c>
      <c r="H91" s="16">
        <f>IF(B91="F",IF(G91&gt;Barem!$AC$2,0,IF(B91="F",VLOOKUP(D91,Barem!$B$2:$C$11,2,1))),IF(G91&gt;Barem!$AC$3,0,VLOOKUP(D91,Barem!$B$12:$C$21,2,1)))</f>
        <v>1.5</v>
      </c>
      <c r="I91" s="16">
        <f>IF(H91=0,0,IF(B91="F",VLOOKUP(G91,Barem!$G$2:$H$11,2,1),VLOOKUP(G91,Barem!$G$12:$H$21,2,1)))</f>
        <v>5</v>
      </c>
      <c r="J91" s="75">
        <v>2.5</v>
      </c>
      <c r="K91" s="82" t="str">
        <f>VLOOKUP($C91,Barem!$L$2:$R$13,7,0)</f>
        <v>V</v>
      </c>
      <c r="L91" s="17">
        <f t="shared" si="25"/>
        <v>0.25</v>
      </c>
      <c r="M91" s="17">
        <f t="shared" si="25"/>
        <v>0.5</v>
      </c>
      <c r="N91" s="17">
        <f t="shared" si="25"/>
        <v>0.25</v>
      </c>
      <c r="O91" s="81">
        <f t="shared" si="22"/>
        <v>0</v>
      </c>
      <c r="P91" s="36">
        <f>IF(D91&gt;21,VLOOKUP(D91,Barem!$T$1:$U$39,2,1),0)</f>
        <v>0</v>
      </c>
      <c r="Q91" s="32">
        <f>IF(D91&lt;1.609,0,IF(B91="F",VLOOKUP(G91,Barem!$X$2:$Z$13,2,1),VLOOKUP(G91,Barem!$X$14:$Z$25,2,1)))</f>
        <v>0.1</v>
      </c>
      <c r="R91" s="36">
        <f>VLOOKUP(A91,Participanti!A:C,3,0)</f>
        <v>0</v>
      </c>
      <c r="S91" s="29">
        <f t="shared" si="23"/>
        <v>3.6</v>
      </c>
      <c r="T91" s="79">
        <v>44002</v>
      </c>
      <c r="U91" s="16">
        <f>COUNTIFS(A:A,A91,C:C,C91)</f>
        <v>1</v>
      </c>
      <c r="V91" s="34">
        <f t="shared" si="24"/>
        <v>0.72</v>
      </c>
      <c r="W91" s="3" t="str">
        <f>VLOOKUP(A91,Data_echipe!A:O,15,0)</f>
        <v>Tenchei</v>
      </c>
      <c r="X91" s="3">
        <f t="shared" si="20"/>
        <v>1</v>
      </c>
    </row>
    <row r="92" spans="1:24">
      <c r="A92" s="74" t="s">
        <v>209</v>
      </c>
      <c r="B92" s="24" t="str">
        <f>VLOOKUP(A92,Participanti!A:B,2,0)</f>
        <v>M</v>
      </c>
      <c r="C92" s="75">
        <v>3</v>
      </c>
      <c r="D92" s="76">
        <v>42.29</v>
      </c>
      <c r="E92" s="77">
        <v>0.21285879629629631</v>
      </c>
      <c r="F92" s="78">
        <v>84</v>
      </c>
      <c r="G92" s="20">
        <f t="shared" si="21"/>
        <v>5.0333127523361628E-3</v>
      </c>
      <c r="H92" s="16">
        <f>IF(B92="F",IF(G92&gt;Barem!$AC$2,0,IF(B92="F",VLOOKUP(D92,Barem!$B$2:$C$11,2,1))),IF(G92&gt;Barem!$AC$3,0,VLOOKUP(D92,Barem!$B$12:$C$21,2,1)))</f>
        <v>5</v>
      </c>
      <c r="I92" s="16">
        <f>IF(H92=0,0,IF(B92="F",VLOOKUP(G92,Barem!$G$2:$H$11,2,1),VLOOKUP(G92,Barem!$G$12:$H$21,2,1)))</f>
        <v>1</v>
      </c>
      <c r="J92" s="75">
        <v>4</v>
      </c>
      <c r="K92" s="83" t="s">
        <v>184</v>
      </c>
      <c r="L92" s="17">
        <f t="shared" si="25"/>
        <v>0.25</v>
      </c>
      <c r="M92" s="17">
        <f t="shared" si="25"/>
        <v>0.25</v>
      </c>
      <c r="N92" s="17">
        <f t="shared" si="25"/>
        <v>0.5</v>
      </c>
      <c r="O92" s="81">
        <f t="shared" si="22"/>
        <v>0</v>
      </c>
      <c r="P92" s="36">
        <f>IF(D92&gt;21,VLOOKUP(D92,Barem!$T$1:$U$39,2,1),0)</f>
        <v>0.4</v>
      </c>
      <c r="Q92" s="32">
        <f>IF(D92&lt;1.609,0,IF(B92="F",VLOOKUP(G92,Barem!$X$2:$Z$13,2,1),VLOOKUP(G92,Barem!$X$14:$Z$25,2,1)))</f>
        <v>0</v>
      </c>
      <c r="R92" s="36">
        <f>VLOOKUP(A92,Participanti!A:C,3,0)</f>
        <v>0</v>
      </c>
      <c r="S92" s="29">
        <f t="shared" si="23"/>
        <v>3.9</v>
      </c>
      <c r="T92" s="79">
        <v>44002</v>
      </c>
      <c r="U92" s="16">
        <f>COUNTIFS(A:A,A92,C:C,C92)</f>
        <v>1</v>
      </c>
      <c r="V92" s="34">
        <f t="shared" si="24"/>
        <v>9.2220383069283512E-2</v>
      </c>
      <c r="W92" s="3" t="str">
        <f>VLOOKUP(A92,Data_echipe!A:O,15,0)</f>
        <v>Serioranistii</v>
      </c>
      <c r="X92" s="3">
        <f t="shared" si="20"/>
        <v>1</v>
      </c>
    </row>
    <row r="93" spans="1:24">
      <c r="A93" s="74" t="s">
        <v>54</v>
      </c>
      <c r="B93" s="24" t="str">
        <f>VLOOKUP(A93,Participanti!A:B,2,0)</f>
        <v>M</v>
      </c>
      <c r="C93" s="75">
        <v>3</v>
      </c>
      <c r="D93" s="76">
        <v>16.29</v>
      </c>
      <c r="E93" s="77">
        <v>6.7106481481481475E-2</v>
      </c>
      <c r="F93" s="78">
        <v>142</v>
      </c>
      <c r="G93" s="20">
        <f t="shared" si="21"/>
        <v>4.1194893481572422E-3</v>
      </c>
      <c r="H93" s="16">
        <f>IF(B93="F",IF(G93&gt;Barem!$AC$2,0,IF(B93="F",VLOOKUP(D93,Barem!$B$2:$C$11,2,1))),IF(G93&gt;Barem!$AC$3,0,VLOOKUP(D93,Barem!$B$12:$C$21,2,1)))</f>
        <v>3.5</v>
      </c>
      <c r="I93" s="16">
        <f>IF(H93=0,0,IF(B93="F",VLOOKUP(G93,Barem!$G$2:$H$11,2,1),VLOOKUP(G93,Barem!$G$12:$H$21,2,1)))</f>
        <v>1.5</v>
      </c>
      <c r="J93" s="75">
        <v>2</v>
      </c>
      <c r="K93" s="83" t="s">
        <v>182</v>
      </c>
      <c r="L93" s="17">
        <f t="shared" si="25"/>
        <v>0.5</v>
      </c>
      <c r="M93" s="17">
        <f t="shared" si="25"/>
        <v>0.25</v>
      </c>
      <c r="N93" s="17">
        <f t="shared" si="25"/>
        <v>0.25</v>
      </c>
      <c r="O93" s="81">
        <f t="shared" si="22"/>
        <v>9.4666666666666663E-2</v>
      </c>
      <c r="P93" s="36">
        <f>IF(D93&gt;21,VLOOKUP(D93,Barem!$T$1:$U$39,2,1),0)</f>
        <v>0</v>
      </c>
      <c r="Q93" s="32">
        <f>IF(D93&lt;1.609,0,IF(B93="F",VLOOKUP(G93,Barem!$X$2:$Z$13,2,1),VLOOKUP(G93,Barem!$X$14:$Z$25,2,1)))</f>
        <v>0</v>
      </c>
      <c r="R93" s="36">
        <f>VLOOKUP(A93,Participanti!A:C,3,0)</f>
        <v>0.5</v>
      </c>
      <c r="S93" s="29">
        <f t="shared" si="23"/>
        <v>3.2196666666666665</v>
      </c>
      <c r="T93" s="79">
        <v>44003</v>
      </c>
      <c r="U93" s="16">
        <f>COUNTIFS(A:A,A93,C:C,C93)</f>
        <v>1</v>
      </c>
      <c r="V93" s="34">
        <f t="shared" si="24"/>
        <v>0.19764681808880705</v>
      </c>
      <c r="W93" s="3" t="str">
        <f>VLOOKUP(A93,Data_echipe!A:O,15,0)</f>
        <v>Serioranistii</v>
      </c>
      <c r="X93" s="3">
        <f t="shared" si="20"/>
        <v>1</v>
      </c>
    </row>
    <row r="94" spans="1:24">
      <c r="A94" s="74" t="s">
        <v>55</v>
      </c>
      <c r="B94" s="24" t="str">
        <f>VLOOKUP(A94,Participanti!A:B,2,0)</f>
        <v>M</v>
      </c>
      <c r="C94" s="75">
        <v>3</v>
      </c>
      <c r="D94" s="76">
        <v>42.03</v>
      </c>
      <c r="E94" s="77">
        <v>0.22987268518518519</v>
      </c>
      <c r="F94" s="78">
        <v>2004</v>
      </c>
      <c r="G94" s="20">
        <f t="shared" si="21"/>
        <v>5.4692525621029067E-3</v>
      </c>
      <c r="H94" s="16">
        <f>IF(B94="F",IF(G94&gt;Barem!$AC$2,0,IF(B94="F",VLOOKUP(D94,Barem!$B$2:$C$11,2,1))),IF(G94&gt;Barem!$AC$3,0,VLOOKUP(D94,Barem!$B$12:$C$21,2,1)))</f>
        <v>5</v>
      </c>
      <c r="I94" s="16">
        <f>IF(H94=0,0,IF(B94="F",VLOOKUP(G94,Barem!$G$2:$H$11,2,1),VLOOKUP(G94,Barem!$G$12:$H$21,2,1)))</f>
        <v>1</v>
      </c>
      <c r="J94" s="75">
        <v>5</v>
      </c>
      <c r="K94" s="83" t="s">
        <v>182</v>
      </c>
      <c r="L94" s="17">
        <f t="shared" si="25"/>
        <v>0.5</v>
      </c>
      <c r="M94" s="17">
        <f t="shared" si="25"/>
        <v>0.25</v>
      </c>
      <c r="N94" s="17">
        <f t="shared" si="25"/>
        <v>0.25</v>
      </c>
      <c r="O94" s="81">
        <f t="shared" si="22"/>
        <v>1.3360000000000001</v>
      </c>
      <c r="P94" s="36">
        <f>IF(D94&gt;21,VLOOKUP(D94,Barem!$T$1:$U$39,2,1),0)</f>
        <v>0.4</v>
      </c>
      <c r="Q94" s="32">
        <f>IF(D94&lt;1.609,0,IF(B94="F",VLOOKUP(G94,Barem!$X$2:$Z$13,2,1),VLOOKUP(G94,Barem!$X$14:$Z$25,2,1)))</f>
        <v>0</v>
      </c>
      <c r="R94" s="36">
        <f>VLOOKUP(A94,Participanti!A:C,3,0)</f>
        <v>0</v>
      </c>
      <c r="S94" s="29">
        <f t="shared" si="23"/>
        <v>5.7360000000000007</v>
      </c>
      <c r="T94" s="79">
        <v>44003</v>
      </c>
      <c r="U94" s="16">
        <f>COUNTIFS(A:A,A94,C:C,C94)</f>
        <v>1</v>
      </c>
      <c r="V94" s="34">
        <f t="shared" si="24"/>
        <v>0.13647394718058531</v>
      </c>
      <c r="W94" s="3" t="str">
        <f>VLOOKUP(A94,Data_echipe!A:O,15,0)</f>
        <v>Serioranistii</v>
      </c>
      <c r="X94" s="3">
        <f t="shared" si="20"/>
        <v>1</v>
      </c>
    </row>
    <row r="95" spans="1:24">
      <c r="A95" s="74" t="s">
        <v>205</v>
      </c>
      <c r="B95" s="24" t="str">
        <f>VLOOKUP(A95,Participanti!A:B,2,0)</f>
        <v>M</v>
      </c>
      <c r="C95" s="75">
        <v>3</v>
      </c>
      <c r="D95" s="76">
        <v>31.06</v>
      </c>
      <c r="E95" s="77">
        <v>0.10107638888888888</v>
      </c>
      <c r="F95" s="78">
        <v>445</v>
      </c>
      <c r="G95" s="20">
        <f t="shared" si="21"/>
        <v>3.2542301638405951E-3</v>
      </c>
      <c r="H95" s="16">
        <f>IF(B95="F",IF(G95&gt;Barem!$AC$2,0,IF(B95="F",VLOOKUP(D95,Barem!$B$2:$C$11,2,1))),IF(G95&gt;Barem!$AC$3,0,VLOOKUP(D95,Barem!$B$12:$C$21,2,1)))</f>
        <v>5</v>
      </c>
      <c r="I95" s="16">
        <f>IF(H95=0,0,IF(B95="F",VLOOKUP(G95,Barem!$G$2:$H$11,2,1),VLOOKUP(G95,Barem!$G$12:$H$21,2,1)))</f>
        <v>3.5</v>
      </c>
      <c r="J95" s="75">
        <v>2.5</v>
      </c>
      <c r="K95" s="83" t="s">
        <v>184</v>
      </c>
      <c r="L95" s="17">
        <f t="shared" si="25"/>
        <v>0.25</v>
      </c>
      <c r="M95" s="17">
        <f t="shared" si="25"/>
        <v>0.25</v>
      </c>
      <c r="N95" s="17">
        <f t="shared" si="25"/>
        <v>0.5</v>
      </c>
      <c r="O95" s="81">
        <f t="shared" si="22"/>
        <v>0.29666666666666669</v>
      </c>
      <c r="P95" s="36">
        <f>IF(D95&gt;21,VLOOKUP(D95,Barem!$T$1:$U$39,2,1),0)</f>
        <v>0.2</v>
      </c>
      <c r="Q95" s="32">
        <f>IF(D95&lt;1.609,0,IF(B95="F",VLOOKUP(G95,Barem!$X$2:$Z$13,2,1),VLOOKUP(G95,Barem!$X$14:$Z$25,2,1)))</f>
        <v>0</v>
      </c>
      <c r="R95" s="36">
        <f>VLOOKUP(A95,Participanti!A:C,3,0)</f>
        <v>0</v>
      </c>
      <c r="S95" s="29">
        <f t="shared" si="23"/>
        <v>3.871666666666667</v>
      </c>
      <c r="T95" s="79">
        <v>44003</v>
      </c>
      <c r="U95" s="16">
        <f>COUNTIFS(A:A,A95,C:C,C95)</f>
        <v>1</v>
      </c>
      <c r="V95" s="34">
        <f t="shared" si="24"/>
        <v>0.12465121270658941</v>
      </c>
      <c r="W95" s="3" t="str">
        <f>VLOOKUP(A95,Data_echipe!A:O,15,0)</f>
        <v>Serioranistii</v>
      </c>
      <c r="X95" s="3">
        <f t="shared" si="20"/>
        <v>1</v>
      </c>
    </row>
    <row r="96" spans="1:24">
      <c r="A96" s="74" t="s">
        <v>210</v>
      </c>
      <c r="B96" s="24" t="str">
        <f>VLOOKUP(A96,Participanti!A:B,2,0)</f>
        <v>F</v>
      </c>
      <c r="C96" s="75">
        <v>3</v>
      </c>
      <c r="D96" s="76">
        <v>10.18</v>
      </c>
      <c r="E96" s="77">
        <v>4.1585648148148149E-2</v>
      </c>
      <c r="F96" s="78">
        <v>37</v>
      </c>
      <c r="G96" s="20">
        <f t="shared" si="21"/>
        <v>4.0850341992286982E-3</v>
      </c>
      <c r="H96" s="16">
        <f>IF(B96="F",IF(G96&gt;Barem!$AC$2,0,IF(B96="F",VLOOKUP(D96,Barem!$B$2:$C$11,2,1))),IF(G96&gt;Barem!$AC$3,0,VLOOKUP(D96,Barem!$B$12:$C$21,2,1)))</f>
        <v>2.5</v>
      </c>
      <c r="I96" s="16">
        <f>IF(H96=0,0,IF(B96="F",VLOOKUP(G96,Barem!$G$2:$H$11,2,1),VLOOKUP(G96,Barem!$G$12:$H$21,2,1)))</f>
        <v>2</v>
      </c>
      <c r="J96" s="75">
        <v>3.5</v>
      </c>
      <c r="K96" s="83" t="s">
        <v>182</v>
      </c>
      <c r="L96" s="17">
        <f t="shared" si="25"/>
        <v>0.5</v>
      </c>
      <c r="M96" s="17">
        <f t="shared" si="25"/>
        <v>0.25</v>
      </c>
      <c r="N96" s="17">
        <f t="shared" si="25"/>
        <v>0.25</v>
      </c>
      <c r="O96" s="81">
        <f t="shared" si="22"/>
        <v>0</v>
      </c>
      <c r="P96" s="36">
        <f>IF(D96&gt;21,VLOOKUP(D96,Barem!$T$1:$U$39,2,1),0)</f>
        <v>0</v>
      </c>
      <c r="Q96" s="32">
        <f>IF(D96&lt;1.609,0,IF(B96="F",VLOOKUP(G96,Barem!$X$2:$Z$13,2,1),VLOOKUP(G96,Barem!$X$14:$Z$25,2,1)))</f>
        <v>0</v>
      </c>
      <c r="R96" s="36">
        <f>VLOOKUP(A96,Participanti!A:C,3,0)</f>
        <v>0</v>
      </c>
      <c r="S96" s="29">
        <f t="shared" si="23"/>
        <v>2.625</v>
      </c>
      <c r="T96" s="79">
        <v>44003</v>
      </c>
      <c r="U96" s="16">
        <f>COUNTIFS(A:A,A96,C:C,C96)</f>
        <v>1</v>
      </c>
      <c r="V96" s="34">
        <f t="shared" si="24"/>
        <v>0.25785854616895876</v>
      </c>
      <c r="W96" s="3" t="str">
        <f>VLOOKUP(A96,Data_echipe!A:O,15,0)</f>
        <v>X Æ A-12</v>
      </c>
      <c r="X96" s="3">
        <f t="shared" si="20"/>
        <v>1</v>
      </c>
    </row>
    <row r="97" spans="1:24">
      <c r="A97" s="74" t="s">
        <v>52</v>
      </c>
      <c r="B97" s="24" t="str">
        <f>VLOOKUP(A97,Participanti!A:B,2,0)</f>
        <v>M</v>
      </c>
      <c r="C97" s="75">
        <v>3</v>
      </c>
      <c r="D97" s="76">
        <v>21.53</v>
      </c>
      <c r="E97" s="77">
        <v>8.3726851851851858E-2</v>
      </c>
      <c r="F97" s="78">
        <v>656</v>
      </c>
      <c r="G97" s="20">
        <f t="shared" si="21"/>
        <v>3.8888458825755623E-3</v>
      </c>
      <c r="H97" s="16">
        <f>IF(B97="F",IF(G97&gt;Barem!$AC$2,0,IF(B97="F",VLOOKUP(D97,Barem!$B$2:$C$11,2,1))),IF(G97&gt;Barem!$AC$3,0,VLOOKUP(D97,Barem!$B$12:$C$21,2,1)))</f>
        <v>5</v>
      </c>
      <c r="I97" s="16">
        <f>IF(H97=0,0,IF(B97="F",VLOOKUP(G97,Barem!$G$2:$H$11,2,1),VLOOKUP(G97,Barem!$G$12:$H$21,2,1)))</f>
        <v>1.5</v>
      </c>
      <c r="J97" s="75">
        <v>1.5</v>
      </c>
      <c r="K97" s="83" t="s">
        <v>182</v>
      </c>
      <c r="L97" s="17">
        <f t="shared" si="25"/>
        <v>0.5</v>
      </c>
      <c r="M97" s="17">
        <f t="shared" si="25"/>
        <v>0.25</v>
      </c>
      <c r="N97" s="17">
        <f t="shared" si="25"/>
        <v>0.25</v>
      </c>
      <c r="O97" s="81">
        <f t="shared" si="22"/>
        <v>0.43733333333333335</v>
      </c>
      <c r="P97" s="36">
        <f>IF(D97&gt;21,VLOOKUP(D97,Barem!$T$1:$U$39,2,1),0)</f>
        <v>0</v>
      </c>
      <c r="Q97" s="32">
        <f>IF(D97&lt;1.609,0,IF(B97="F",VLOOKUP(G97,Barem!$X$2:$Z$13,2,1),VLOOKUP(G97,Barem!$X$14:$Z$25,2,1)))</f>
        <v>0</v>
      </c>
      <c r="R97" s="36">
        <f>VLOOKUP(A97,Participanti!A:C,3,0)</f>
        <v>0</v>
      </c>
      <c r="S97" s="29">
        <f t="shared" si="23"/>
        <v>3.6873333333333331</v>
      </c>
      <c r="T97" s="79">
        <v>44003</v>
      </c>
      <c r="U97" s="16">
        <f>COUNTIFS(A:A,A97,C:C,C97)</f>
        <v>1</v>
      </c>
      <c r="V97" s="34">
        <f t="shared" si="24"/>
        <v>0.17126490168756772</v>
      </c>
      <c r="W97" s="3" t="str">
        <f>VLOOKUP(A97,Data_echipe!A:O,15,0)</f>
        <v xml:space="preserve"> Let it run</v>
      </c>
      <c r="X97" s="3">
        <f t="shared" si="20"/>
        <v>1</v>
      </c>
    </row>
    <row r="98" spans="1:24">
      <c r="A98" s="74" t="s">
        <v>47</v>
      </c>
      <c r="B98" s="24" t="str">
        <f>VLOOKUP(A98,Participanti!A:B,2,0)</f>
        <v>M</v>
      </c>
      <c r="C98" s="75">
        <v>3</v>
      </c>
      <c r="D98" s="76">
        <v>10.1</v>
      </c>
      <c r="E98" s="77">
        <v>3.4664351851851849E-2</v>
      </c>
      <c r="F98" s="78">
        <v>22</v>
      </c>
      <c r="G98" s="20">
        <f t="shared" si="21"/>
        <v>3.4321140447378068E-3</v>
      </c>
      <c r="H98" s="16">
        <f>IF(B98="F",IF(G98&gt;Barem!$AC$2,0,IF(B98="F",VLOOKUP(D98,Barem!$B$2:$C$11,2,1))),IF(G98&gt;Barem!$AC$3,0,VLOOKUP(D98,Barem!$B$12:$C$21,2,1)))</f>
        <v>2.5</v>
      </c>
      <c r="I98" s="16">
        <f>IF(H98=0,0,IF(B98="F",VLOOKUP(G98,Barem!$G$2:$H$11,2,1),VLOOKUP(G98,Barem!$G$12:$H$21,2,1)))</f>
        <v>3</v>
      </c>
      <c r="J98" s="75">
        <v>4</v>
      </c>
      <c r="K98" s="82" t="str">
        <f>VLOOKUP($C98,Barem!$L$2:$R$13,7,0)</f>
        <v>V</v>
      </c>
      <c r="L98" s="17">
        <f t="shared" si="25"/>
        <v>0.25</v>
      </c>
      <c r="M98" s="17">
        <f t="shared" si="25"/>
        <v>0.5</v>
      </c>
      <c r="N98" s="17">
        <f t="shared" si="25"/>
        <v>0.25</v>
      </c>
      <c r="O98" s="81">
        <f t="shared" si="22"/>
        <v>0</v>
      </c>
      <c r="P98" s="36">
        <f>IF(D98&gt;21,VLOOKUP(D98,Barem!$T$1:$U$39,2,1),0)</f>
        <v>0</v>
      </c>
      <c r="Q98" s="32">
        <f>IF(D98&lt;1.609,0,IF(B98="F",VLOOKUP(G98,Barem!$X$2:$Z$13,2,1),VLOOKUP(G98,Barem!$X$14:$Z$25,2,1)))</f>
        <v>0</v>
      </c>
      <c r="R98" s="36">
        <f>VLOOKUP(A98,Participanti!A:C,3,0)</f>
        <v>0</v>
      </c>
      <c r="S98" s="29">
        <f t="shared" si="23"/>
        <v>3.125</v>
      </c>
      <c r="T98" s="79">
        <v>43997</v>
      </c>
      <c r="U98" s="16">
        <f>COUNTIFS(A:A,A98,C:C,C98)</f>
        <v>1</v>
      </c>
      <c r="V98" s="34">
        <f t="shared" si="24"/>
        <v>0.3094059405940594</v>
      </c>
      <c r="W98" s="3" t="str">
        <f>VLOOKUP(A98,Data_echipe!A:O,15,0)</f>
        <v>X Æ A-12</v>
      </c>
      <c r="X98" s="3">
        <f t="shared" si="20"/>
        <v>1</v>
      </c>
    </row>
    <row r="99" spans="1:24">
      <c r="A99" s="74" t="s">
        <v>6</v>
      </c>
      <c r="B99" s="24" t="str">
        <f>VLOOKUP(A99,Participanti!A:B,2,0)</f>
        <v>F</v>
      </c>
      <c r="C99" s="75">
        <v>3</v>
      </c>
      <c r="D99" s="76">
        <v>10.01</v>
      </c>
      <c r="E99" s="77">
        <v>3.2071759259259258E-2</v>
      </c>
      <c r="F99" s="78">
        <v>12</v>
      </c>
      <c r="G99" s="20">
        <f t="shared" si="21"/>
        <v>3.2039719539719539E-3</v>
      </c>
      <c r="H99" s="16">
        <f>IF(B99="F",IF(G99&gt;Barem!$AC$2,0,IF(B99="F",VLOOKUP(D99,Barem!$B$2:$C$11,2,1))),IF(G99&gt;Barem!$AC$3,0,VLOOKUP(D99,Barem!$B$12:$C$21,2,1)))</f>
        <v>2.5</v>
      </c>
      <c r="I99" s="16">
        <f>IF(H99=0,0,IF(B99="F",VLOOKUP(G99,Barem!$G$2:$H$11,2,1),VLOOKUP(G99,Barem!$G$12:$H$21,2,1)))</f>
        <v>4.5</v>
      </c>
      <c r="J99" s="75">
        <v>3</v>
      </c>
      <c r="K99" s="82" t="str">
        <f>VLOOKUP($C99,Barem!$L$2:$R$13,7,0)</f>
        <v>V</v>
      </c>
      <c r="L99" s="17">
        <f t="shared" si="25"/>
        <v>0.25</v>
      </c>
      <c r="M99" s="17">
        <f t="shared" si="25"/>
        <v>0.5</v>
      </c>
      <c r="N99" s="17">
        <f t="shared" si="25"/>
        <v>0.25</v>
      </c>
      <c r="O99" s="81">
        <f t="shared" si="22"/>
        <v>0</v>
      </c>
      <c r="P99" s="36">
        <f>IF(D99&gt;21,VLOOKUP(D99,Barem!$T$1:$U$39,2,1),0)</f>
        <v>0</v>
      </c>
      <c r="Q99" s="32">
        <f>IF(D99&lt;1.609,0,IF(B99="F",VLOOKUP(G99,Barem!$X$2:$Z$13,2,1),VLOOKUP(G99,Barem!$X$14:$Z$25,2,1)))</f>
        <v>0</v>
      </c>
      <c r="R99" s="36">
        <f>VLOOKUP(A99,Participanti!A:C,3,0)</f>
        <v>0</v>
      </c>
      <c r="S99" s="29">
        <f t="shared" si="23"/>
        <v>3.625</v>
      </c>
      <c r="T99" s="79">
        <v>44003</v>
      </c>
      <c r="U99" s="16">
        <f>COUNTIFS(A:A,A99,C:C,C99)</f>
        <v>1</v>
      </c>
      <c r="V99" s="34">
        <f t="shared" si="24"/>
        <v>0.36213786213786214</v>
      </c>
      <c r="W99" s="3" t="str">
        <f>VLOOKUP(A99,Data_echipe!A:O,15,0)</f>
        <v>Unicornii</v>
      </c>
      <c r="X99" s="3">
        <f t="shared" si="20"/>
        <v>1</v>
      </c>
    </row>
    <row r="100" spans="1:24">
      <c r="A100" s="74" t="s">
        <v>65</v>
      </c>
      <c r="B100" s="24" t="str">
        <f>VLOOKUP(A100,Participanti!A:B,2,0)</f>
        <v>M</v>
      </c>
      <c r="C100" s="75">
        <v>3</v>
      </c>
      <c r="D100" s="76">
        <v>5.45</v>
      </c>
      <c r="E100" s="77">
        <v>1.8159722222222219E-2</v>
      </c>
      <c r="F100" s="78">
        <v>0</v>
      </c>
      <c r="G100" s="20">
        <f t="shared" si="21"/>
        <v>3.3320591233435264E-3</v>
      </c>
      <c r="H100" s="16">
        <f>IF(B100="F",IF(G100&gt;Barem!$AC$2,0,IF(B100="F",VLOOKUP(D100,Barem!$B$2:$C$11,2,1))),IF(G100&gt;Barem!$AC$3,0,VLOOKUP(D100,Barem!$B$12:$C$21,2,1)))</f>
        <v>1.5</v>
      </c>
      <c r="I100" s="16">
        <f>IF(H100=0,0,IF(B100="F",VLOOKUP(G100,Barem!$G$2:$H$11,2,1),VLOOKUP(G100,Barem!$G$12:$H$21,2,1)))</f>
        <v>3</v>
      </c>
      <c r="J100" s="75">
        <v>2</v>
      </c>
      <c r="K100" s="83" t="s">
        <v>184</v>
      </c>
      <c r="L100" s="17">
        <f t="shared" si="25"/>
        <v>0.25</v>
      </c>
      <c r="M100" s="17">
        <f t="shared" si="25"/>
        <v>0.25</v>
      </c>
      <c r="N100" s="17">
        <f t="shared" si="25"/>
        <v>0.5</v>
      </c>
      <c r="O100" s="81">
        <f t="shared" si="22"/>
        <v>0</v>
      </c>
      <c r="P100" s="36">
        <f>IF(D100&gt;21,VLOOKUP(D100,Barem!$T$1:$U$39,2,1),0)</f>
        <v>0</v>
      </c>
      <c r="Q100" s="32">
        <f>IF(D100&lt;1.609,0,IF(B100="F",VLOOKUP(G100,Barem!$X$2:$Z$13,2,1),VLOOKUP(G100,Barem!$X$14:$Z$25,2,1)))</f>
        <v>0</v>
      </c>
      <c r="R100" s="36">
        <f>VLOOKUP(A100,Participanti!A:C,3,0)</f>
        <v>0</v>
      </c>
      <c r="S100" s="29">
        <f t="shared" si="23"/>
        <v>2.125</v>
      </c>
      <c r="T100" s="79">
        <v>44003</v>
      </c>
      <c r="U100" s="16">
        <f>COUNTIFS(A:A,A100,C:C,C100)</f>
        <v>1</v>
      </c>
      <c r="V100" s="34">
        <f t="shared" si="24"/>
        <v>0.38990825688073394</v>
      </c>
      <c r="W100" s="3" t="str">
        <f>VLOOKUP(A100,Data_echipe!A:O,15,0)</f>
        <v>X Æ A-12</v>
      </c>
      <c r="X100" s="3">
        <f t="shared" si="20"/>
        <v>1</v>
      </c>
    </row>
    <row r="101" spans="1:24">
      <c r="A101" s="74" t="s">
        <v>115</v>
      </c>
      <c r="B101" s="24" t="str">
        <f>VLOOKUP(A101,Participanti!A:B,2,0)</f>
        <v>M</v>
      </c>
      <c r="C101" s="75">
        <v>3</v>
      </c>
      <c r="D101" s="76">
        <v>17.05</v>
      </c>
      <c r="E101" s="77">
        <v>0.13297453703703704</v>
      </c>
      <c r="F101" s="78">
        <v>701</v>
      </c>
      <c r="G101" s="20">
        <f t="shared" si="21"/>
        <v>7.7990930813511463E-3</v>
      </c>
      <c r="H101" s="16">
        <f>IF(B101="F",IF(G101&gt;Barem!$AC$2,0,IF(B101="F",VLOOKUP(D101,Barem!$B$2:$C$11,2,1))),IF(G101&gt;Barem!$AC$3,0,VLOOKUP(D101,Barem!$B$12:$C$21,2,1)))</f>
        <v>0</v>
      </c>
      <c r="I101" s="16">
        <f>IF(H101=0,0,IF(B101="F",VLOOKUP(G101,Barem!$G$2:$H$11,2,1),VLOOKUP(G101,Barem!$G$12:$H$21,2,1)))</f>
        <v>0</v>
      </c>
      <c r="J101" s="75">
        <v>3</v>
      </c>
      <c r="K101" s="83" t="s">
        <v>184</v>
      </c>
      <c r="L101" s="17">
        <f t="shared" si="25"/>
        <v>0.25</v>
      </c>
      <c r="M101" s="17">
        <f t="shared" si="25"/>
        <v>0.25</v>
      </c>
      <c r="N101" s="17">
        <f t="shared" si="25"/>
        <v>0.5</v>
      </c>
      <c r="O101" s="81">
        <f t="shared" si="22"/>
        <v>0.46733333333333332</v>
      </c>
      <c r="P101" s="36">
        <f>IF(D101&gt;21,VLOOKUP(D101,Barem!$T$1:$U$39,2,1),0)</f>
        <v>0</v>
      </c>
      <c r="Q101" s="32">
        <f>IF(D101&lt;1.609,0,IF(B101="F",VLOOKUP(G101,Barem!$X$2:$Z$13,2,1),VLOOKUP(G101,Barem!$X$14:$Z$25,2,1)))</f>
        <v>0</v>
      </c>
      <c r="R101" s="36">
        <f>VLOOKUP(A101,Participanti!A:C,3,0)</f>
        <v>0.5</v>
      </c>
      <c r="S101" s="29">
        <f t="shared" si="23"/>
        <v>2.4673333333333334</v>
      </c>
      <c r="T101" s="79">
        <v>44003</v>
      </c>
      <c r="U101" s="16">
        <f>COUNTIFS(A:A,A101,C:C,C101)</f>
        <v>1</v>
      </c>
      <c r="V101" s="34">
        <f t="shared" si="24"/>
        <v>0.14471163245356794</v>
      </c>
      <c r="W101" s="3" t="str">
        <f>VLOOKUP(A101,Data_echipe!A:O,15,0)</f>
        <v xml:space="preserve"> Let it run</v>
      </c>
      <c r="X101" s="3">
        <f t="shared" si="20"/>
        <v>0</v>
      </c>
    </row>
    <row r="102" spans="1:24">
      <c r="A102" s="74" t="s">
        <v>56</v>
      </c>
      <c r="B102" s="24" t="str">
        <f>VLOOKUP(A102,Participanti!A:B,2,0)</f>
        <v>M</v>
      </c>
      <c r="C102" s="75">
        <v>3</v>
      </c>
      <c r="D102" s="76"/>
      <c r="E102" s="77"/>
      <c r="F102" s="78"/>
      <c r="G102" s="20" t="e">
        <f t="shared" ref="G102" si="26">E102/D102</f>
        <v>#DIV/0!</v>
      </c>
      <c r="H102" s="16" t="e">
        <f>IF(B102="F",IF(G102&gt;Barem!$AC$2,0,IF(B102="F",VLOOKUP(D102,Barem!$B$2:$C$11,2,1))),IF(G102&gt;Barem!$AC$3,0,VLOOKUP(D102,Barem!$B$12:$C$21,2,1)))</f>
        <v>#DIV/0!</v>
      </c>
      <c r="I102" s="16" t="e">
        <f>IF(H102=0,0,IF(B102="F",VLOOKUP(G102,Barem!$G$2:$H$11,2,1),VLOOKUP(G102,Barem!$G$12:$H$21,2,1)))</f>
        <v>#DIV/0!</v>
      </c>
      <c r="J102" s="75"/>
      <c r="K102" s="82" t="str">
        <f>VLOOKUP($C102,Barem!$L$2:$R$13,7,0)</f>
        <v>V</v>
      </c>
      <c r="L102" s="17">
        <f t="shared" si="25"/>
        <v>0.25</v>
      </c>
      <c r="M102" s="17">
        <f t="shared" si="25"/>
        <v>0.5</v>
      </c>
      <c r="N102" s="17">
        <f t="shared" si="25"/>
        <v>0.25</v>
      </c>
      <c r="O102" s="81">
        <f t="shared" ref="O102" si="27">IF(F102&lt;-49,F102/1500,IF(F102&gt;99,F102/1500,0))</f>
        <v>0</v>
      </c>
      <c r="P102" s="36">
        <f>IF(D102&gt;21,VLOOKUP(D102,Barem!$T$1:$U$39,2,1),0)</f>
        <v>0</v>
      </c>
      <c r="Q102" s="32">
        <f>IF(D102&lt;1.609,0,IF(B102="F",VLOOKUP(G102,Barem!$X$2:$Z$13,2,1),VLOOKUP(G102,Barem!$X$14:$Z$25,2,1)))</f>
        <v>0</v>
      </c>
      <c r="R102" s="36">
        <f>VLOOKUP(A102,Participanti!A:C,3,0)</f>
        <v>0</v>
      </c>
      <c r="S102" s="113">
        <v>1.5</v>
      </c>
      <c r="T102" s="79">
        <v>44003</v>
      </c>
      <c r="U102" s="16">
        <f>COUNTIFS(A:A,A102,C:C,C102)</f>
        <v>1</v>
      </c>
      <c r="V102" s="34"/>
      <c r="W102" s="3" t="str">
        <f>VLOOKUP(A102,Data_echipe!A:O,15,0)</f>
        <v>Unicornii</v>
      </c>
      <c r="X102" s="3">
        <v>1</v>
      </c>
    </row>
    <row r="103" spans="1:24">
      <c r="A103" s="74" t="s">
        <v>82</v>
      </c>
      <c r="B103" s="24" t="str">
        <f>VLOOKUP(A103,Participanti!A:B,2,0)</f>
        <v>M</v>
      </c>
      <c r="C103" s="75">
        <v>3</v>
      </c>
      <c r="D103" s="76">
        <v>15.03</v>
      </c>
      <c r="E103" s="77">
        <v>5.0995370370370365E-2</v>
      </c>
      <c r="F103" s="78">
        <v>47</v>
      </c>
      <c r="G103" s="20">
        <f t="shared" si="21"/>
        <v>3.3929055469308295E-3</v>
      </c>
      <c r="H103" s="16">
        <f>IF(B103="F",IF(G103&gt;Barem!$AC$2,0,IF(B103="F",VLOOKUP(D103,Barem!$B$2:$C$11,2,1))),IF(G103&gt;Barem!$AC$3,0,VLOOKUP(D103,Barem!$B$12:$C$21,2,1)))</f>
        <v>3.5</v>
      </c>
      <c r="I103" s="16">
        <f>IF(H103=0,0,IF(B103="F",VLOOKUP(G103,Barem!$G$2:$H$11,2,1),VLOOKUP(G103,Barem!$G$12:$H$21,2,1)))</f>
        <v>3</v>
      </c>
      <c r="J103" s="75">
        <v>3.5</v>
      </c>
      <c r="K103" s="83" t="s">
        <v>182</v>
      </c>
      <c r="L103" s="17">
        <f t="shared" si="25"/>
        <v>0.5</v>
      </c>
      <c r="M103" s="17">
        <f t="shared" si="25"/>
        <v>0.25</v>
      </c>
      <c r="N103" s="17">
        <f t="shared" si="25"/>
        <v>0.25</v>
      </c>
      <c r="O103" s="81">
        <f t="shared" si="22"/>
        <v>0</v>
      </c>
      <c r="P103" s="36">
        <f>IF(D103&gt;21,VLOOKUP(D103,Barem!$T$1:$U$39,2,1),0)</f>
        <v>0</v>
      </c>
      <c r="Q103" s="32">
        <f>IF(D103&lt;1.609,0,IF(B103="F",VLOOKUP(G103,Barem!$X$2:$Z$13,2,1),VLOOKUP(G103,Barem!$X$14:$Z$25,2,1)))</f>
        <v>0</v>
      </c>
      <c r="R103" s="36">
        <f>VLOOKUP(A103,Participanti!A:C,3,0)</f>
        <v>0</v>
      </c>
      <c r="S103" s="29">
        <f t="shared" si="23"/>
        <v>3.375</v>
      </c>
      <c r="T103" s="79">
        <v>44003</v>
      </c>
      <c r="U103" s="16">
        <f>COUNTIFS(A:A,A103,C:C,C103)</f>
        <v>1</v>
      </c>
      <c r="V103" s="34">
        <f t="shared" si="24"/>
        <v>0.22455089820359284</v>
      </c>
      <c r="W103" s="3" t="str">
        <f>VLOOKUP(A103,Data_echipe!A:O,15,0)</f>
        <v xml:space="preserve"> Let it run</v>
      </c>
      <c r="X103" s="3">
        <f t="shared" si="20"/>
        <v>1</v>
      </c>
    </row>
    <row r="104" spans="1:24">
      <c r="A104" s="74" t="s">
        <v>64</v>
      </c>
      <c r="B104" s="24" t="str">
        <f>VLOOKUP(A104,Participanti!A:B,2,0)</f>
        <v>M</v>
      </c>
      <c r="C104" s="75">
        <v>3</v>
      </c>
      <c r="D104" s="76">
        <v>10.119999999999999</v>
      </c>
      <c r="E104" s="77">
        <v>4.5173611111111116E-2</v>
      </c>
      <c r="F104" s="78">
        <v>0</v>
      </c>
      <c r="G104" s="20">
        <f t="shared" si="21"/>
        <v>4.4637955643390438E-3</v>
      </c>
      <c r="H104" s="16">
        <f>IF(B104="F",IF(G104&gt;Barem!$AC$2,0,IF(B104="F",VLOOKUP(D104,Barem!$B$2:$C$11,2,1))),IF(G104&gt;Barem!$AC$3,0,VLOOKUP(D104,Barem!$B$12:$C$21,2,1)))</f>
        <v>2.5</v>
      </c>
      <c r="I104" s="16">
        <f>IF(H104=0,0,IF(B104="F",VLOOKUP(G104,Barem!$G$2:$H$11,2,1),VLOOKUP(G104,Barem!$G$12:$H$21,2,1)))</f>
        <v>1</v>
      </c>
      <c r="J104" s="75">
        <v>3.5</v>
      </c>
      <c r="K104" s="83" t="s">
        <v>184</v>
      </c>
      <c r="L104" s="17">
        <f t="shared" si="25"/>
        <v>0.25</v>
      </c>
      <c r="M104" s="17">
        <f t="shared" si="25"/>
        <v>0.25</v>
      </c>
      <c r="N104" s="17">
        <f t="shared" si="25"/>
        <v>0.5</v>
      </c>
      <c r="O104" s="81">
        <f t="shared" si="22"/>
        <v>0</v>
      </c>
      <c r="P104" s="36">
        <f>IF(D104&gt;21,VLOOKUP(D104,Barem!$T$1:$U$39,2,1),0)</f>
        <v>0</v>
      </c>
      <c r="Q104" s="32">
        <f>IF(D104&lt;1.609,0,IF(B104="F",VLOOKUP(G104,Barem!$X$2:$Z$13,2,1),VLOOKUP(G104,Barem!$X$14:$Z$25,2,1)))</f>
        <v>0</v>
      </c>
      <c r="R104" s="36">
        <f>VLOOKUP(A104,Participanti!A:C,3,0)</f>
        <v>0</v>
      </c>
      <c r="S104" s="29">
        <f t="shared" si="23"/>
        <v>2.625</v>
      </c>
      <c r="T104" s="79">
        <v>44003</v>
      </c>
      <c r="U104" s="16">
        <f>COUNTIFS(A:A,A104,C:C,C104)</f>
        <v>1</v>
      </c>
      <c r="V104" s="34">
        <f t="shared" si="24"/>
        <v>0.25938735177865613</v>
      </c>
      <c r="W104" s="3" t="str">
        <f>VLOOKUP(A104,Data_echipe!A:O,15,0)</f>
        <v xml:space="preserve"> Let it run</v>
      </c>
      <c r="X104" s="3">
        <f t="shared" si="20"/>
        <v>1</v>
      </c>
    </row>
    <row r="105" spans="1:24">
      <c r="A105" s="74" t="s">
        <v>8</v>
      </c>
      <c r="B105" s="24" t="str">
        <f>VLOOKUP(A105,Participanti!A:B,2,0)</f>
        <v>M</v>
      </c>
      <c r="C105" s="75">
        <v>3</v>
      </c>
      <c r="D105" s="76">
        <v>9.01</v>
      </c>
      <c r="E105" s="77">
        <v>3.5798611111111107E-2</v>
      </c>
      <c r="F105" s="78">
        <v>7</v>
      </c>
      <c r="G105" s="20">
        <f t="shared" si="21"/>
        <v>3.9732087803674926E-3</v>
      </c>
      <c r="H105" s="16">
        <f>IF(B105="F",IF(G105&gt;Barem!$AC$2,0,IF(B105="F",VLOOKUP(D105,Barem!$B$2:$C$11,2,1))),IF(G105&gt;Barem!$AC$3,0,VLOOKUP(D105,Barem!$B$12:$C$21,2,1)))</f>
        <v>2</v>
      </c>
      <c r="I105" s="16">
        <f>IF(H105=0,0,IF(B105="F",VLOOKUP(G105,Barem!$G$2:$H$11,2,1),VLOOKUP(G105,Barem!$G$12:$H$21,2,1)))</f>
        <v>1.5</v>
      </c>
      <c r="J105" s="75">
        <v>3.5</v>
      </c>
      <c r="K105" s="83" t="s">
        <v>184</v>
      </c>
      <c r="L105" s="17">
        <f t="shared" si="25"/>
        <v>0.25</v>
      </c>
      <c r="M105" s="17">
        <f t="shared" si="25"/>
        <v>0.25</v>
      </c>
      <c r="N105" s="17">
        <f t="shared" si="25"/>
        <v>0.5</v>
      </c>
      <c r="O105" s="81">
        <f t="shared" si="22"/>
        <v>0</v>
      </c>
      <c r="P105" s="36">
        <f>IF(D105&gt;21,VLOOKUP(D105,Barem!$T$1:$U$39,2,1),0)</f>
        <v>0</v>
      </c>
      <c r="Q105" s="32">
        <f>IF(D105&lt;1.609,0,IF(B105="F",VLOOKUP(G105,Barem!$X$2:$Z$13,2,1),VLOOKUP(G105,Barem!$X$14:$Z$25,2,1)))</f>
        <v>0</v>
      </c>
      <c r="R105" s="36">
        <f>VLOOKUP(A105,Participanti!A:C,3,0)</f>
        <v>0</v>
      </c>
      <c r="S105" s="29">
        <f t="shared" si="23"/>
        <v>2.625</v>
      </c>
      <c r="T105" s="79">
        <v>44003</v>
      </c>
      <c r="U105" s="16">
        <f>COUNTIFS(A:A,A105,C:C,C105)</f>
        <v>1</v>
      </c>
      <c r="V105" s="34">
        <f t="shared" si="24"/>
        <v>0.29134295227524976</v>
      </c>
      <c r="W105" s="3" t="str">
        <f>VLOOKUP(A105,Data_echipe!A:O,15,0)</f>
        <v xml:space="preserve"> Let it run</v>
      </c>
      <c r="X105" s="3">
        <f t="shared" si="20"/>
        <v>1</v>
      </c>
    </row>
    <row r="106" spans="1:24">
      <c r="A106" s="74" t="s">
        <v>131</v>
      </c>
      <c r="B106" s="24" t="str">
        <f>VLOOKUP(A106,Participanti!A:B,2,0)</f>
        <v>M</v>
      </c>
      <c r="C106" s="75">
        <v>3</v>
      </c>
      <c r="D106" s="76">
        <v>15.01</v>
      </c>
      <c r="E106" s="77">
        <v>6.4594907407407406E-2</v>
      </c>
      <c r="F106" s="78">
        <v>11</v>
      </c>
      <c r="G106" s="20">
        <f t="shared" si="21"/>
        <v>4.3034581883682485E-3</v>
      </c>
      <c r="H106" s="16">
        <f>IF(B106="F",IF(G106&gt;Barem!$AC$2,0,IF(B106="F",VLOOKUP(D106,Barem!$B$2:$C$11,2,1))),IF(G106&gt;Barem!$AC$3,0,VLOOKUP(D106,Barem!$B$12:$C$21,2,1)))</f>
        <v>3.5</v>
      </c>
      <c r="I106" s="16">
        <f>IF(H106=0,0,IF(B106="F",VLOOKUP(G106,Barem!$G$2:$H$11,2,1),VLOOKUP(G106,Barem!$G$12:$H$21,2,1)))</f>
        <v>1</v>
      </c>
      <c r="J106" s="75">
        <v>3</v>
      </c>
      <c r="K106" s="83" t="s">
        <v>182</v>
      </c>
      <c r="L106" s="17">
        <f t="shared" si="25"/>
        <v>0.5</v>
      </c>
      <c r="M106" s="17">
        <f t="shared" si="25"/>
        <v>0.25</v>
      </c>
      <c r="N106" s="17">
        <f t="shared" si="25"/>
        <v>0.25</v>
      </c>
      <c r="O106" s="81">
        <f t="shared" si="22"/>
        <v>0</v>
      </c>
      <c r="P106" s="36">
        <f>IF(D106&gt;21,VLOOKUP(D106,Barem!$T$1:$U$39,2,1),0)</f>
        <v>0</v>
      </c>
      <c r="Q106" s="32">
        <f>IF(D106&lt;1.609,0,IF(B106="F",VLOOKUP(G106,Barem!$X$2:$Z$13,2,1),VLOOKUP(G106,Barem!$X$14:$Z$25,2,1)))</f>
        <v>0</v>
      </c>
      <c r="R106" s="36">
        <f>VLOOKUP(A106,Participanti!A:C,3,0)</f>
        <v>0</v>
      </c>
      <c r="S106" s="29">
        <f t="shared" si="23"/>
        <v>2.75</v>
      </c>
      <c r="T106" s="79">
        <v>44003</v>
      </c>
      <c r="U106" s="16">
        <f>COUNTIFS(A:A,A106,C:C,C106)</f>
        <v>1</v>
      </c>
      <c r="V106" s="34">
        <f t="shared" si="24"/>
        <v>0.18321119253830781</v>
      </c>
      <c r="W106" s="3" t="str">
        <f>VLOOKUP(A106,Data_echipe!A:O,15,0)</f>
        <v xml:space="preserve"> Let it run</v>
      </c>
      <c r="X106" s="3">
        <f t="shared" si="20"/>
        <v>1</v>
      </c>
    </row>
    <row r="107" spans="1:24">
      <c r="A107" s="74" t="s">
        <v>206</v>
      </c>
      <c r="B107" s="24" t="str">
        <f>VLOOKUP(A107,Participanti!A:B,2,0)</f>
        <v>M</v>
      </c>
      <c r="C107" s="75">
        <v>3</v>
      </c>
      <c r="D107" s="76">
        <v>21.21</v>
      </c>
      <c r="E107" s="77">
        <v>9.9027777777777784E-2</v>
      </c>
      <c r="F107" s="78">
        <v>0</v>
      </c>
      <c r="G107" s="20">
        <f t="shared" si="21"/>
        <v>4.6689192728796691E-3</v>
      </c>
      <c r="H107" s="16">
        <f>IF(B107="F",IF(G107&gt;Barem!$AC$2,0,IF(B107="F",VLOOKUP(D107,Barem!$B$2:$C$11,2,1))),IF(G107&gt;Barem!$AC$3,0,VLOOKUP(D107,Barem!$B$12:$C$21,2,1)))</f>
        <v>5</v>
      </c>
      <c r="I107" s="16">
        <f>IF(H107=0,0,IF(B107="F",VLOOKUP(G107,Barem!$G$2:$H$11,2,1),VLOOKUP(G107,Barem!$G$12:$H$21,2,1)))</f>
        <v>1</v>
      </c>
      <c r="J107" s="75">
        <v>4</v>
      </c>
      <c r="K107" s="83" t="s">
        <v>182</v>
      </c>
      <c r="L107" s="17">
        <f t="shared" si="25"/>
        <v>0.5</v>
      </c>
      <c r="M107" s="17">
        <f t="shared" si="25"/>
        <v>0.25</v>
      </c>
      <c r="N107" s="17">
        <f t="shared" si="25"/>
        <v>0.25</v>
      </c>
      <c r="O107" s="81">
        <f t="shared" si="22"/>
        <v>0</v>
      </c>
      <c r="P107" s="36">
        <f>IF(D107&gt;21,VLOOKUP(D107,Barem!$T$1:$U$39,2,1),0)</f>
        <v>0</v>
      </c>
      <c r="Q107" s="32">
        <f>IF(D107&lt;1.609,0,IF(B107="F",VLOOKUP(G107,Barem!$X$2:$Z$13,2,1),VLOOKUP(G107,Barem!$X$14:$Z$25,2,1)))</f>
        <v>0</v>
      </c>
      <c r="R107" s="36">
        <f>VLOOKUP(A107,Participanti!A:C,3,0)</f>
        <v>0</v>
      </c>
      <c r="S107" s="29">
        <f t="shared" si="23"/>
        <v>3.75</v>
      </c>
      <c r="T107" s="79">
        <v>44003</v>
      </c>
      <c r="U107" s="16">
        <f>COUNTIFS(A:A,A107,C:C,C107)</f>
        <v>1</v>
      </c>
      <c r="V107" s="34">
        <f t="shared" si="24"/>
        <v>0.1768033946251768</v>
      </c>
      <c r="W107" s="3" t="str">
        <f>VLOOKUP(A107,Data_echipe!A:O,15,0)</f>
        <v>Unicornii</v>
      </c>
      <c r="X107" s="3">
        <f t="shared" si="20"/>
        <v>1</v>
      </c>
    </row>
    <row r="108" spans="1:24">
      <c r="A108" s="74" t="s">
        <v>50</v>
      </c>
      <c r="B108" s="24" t="str">
        <f>VLOOKUP(A108,Participanti!A:B,2,0)</f>
        <v>F</v>
      </c>
      <c r="C108" s="75">
        <v>3</v>
      </c>
      <c r="D108" s="76">
        <v>7.24</v>
      </c>
      <c r="E108" s="77">
        <v>3.1296296296296301E-2</v>
      </c>
      <c r="F108" s="78">
        <v>33</v>
      </c>
      <c r="G108" s="20">
        <f t="shared" si="21"/>
        <v>4.3226928586044613E-3</v>
      </c>
      <c r="H108" s="16">
        <f>IF(B108="F",IF(G108&gt;Barem!$AC$2,0,IF(B108="F",VLOOKUP(D108,Barem!$B$2:$C$11,2,1))),IF(G108&gt;Barem!$AC$3,0,VLOOKUP(D108,Barem!$B$12:$C$21,2,1)))</f>
        <v>2</v>
      </c>
      <c r="I108" s="16">
        <f>IF(H108=0,0,IF(B108="F",VLOOKUP(G108,Barem!$G$2:$H$11,2,1),VLOOKUP(G108,Barem!$G$12:$H$21,2,1)))</f>
        <v>1.5</v>
      </c>
      <c r="J108" s="75">
        <v>3.5</v>
      </c>
      <c r="K108" s="83" t="s">
        <v>184</v>
      </c>
      <c r="L108" s="17">
        <f t="shared" si="25"/>
        <v>0.25</v>
      </c>
      <c r="M108" s="17">
        <f t="shared" si="25"/>
        <v>0.25</v>
      </c>
      <c r="N108" s="17">
        <f t="shared" si="25"/>
        <v>0.5</v>
      </c>
      <c r="O108" s="81">
        <f t="shared" si="22"/>
        <v>0</v>
      </c>
      <c r="P108" s="36">
        <f>IF(D108&gt;21,VLOOKUP(D108,Barem!$T$1:$U$39,2,1),0)</f>
        <v>0</v>
      </c>
      <c r="Q108" s="32">
        <f>IF(D108&lt;1.609,0,IF(B108="F",VLOOKUP(G108,Barem!$X$2:$Z$13,2,1),VLOOKUP(G108,Barem!$X$14:$Z$25,2,1)))</f>
        <v>0</v>
      </c>
      <c r="R108" s="36">
        <f>VLOOKUP(A108,Participanti!A:C,3,0)</f>
        <v>0</v>
      </c>
      <c r="S108" s="29">
        <f t="shared" si="23"/>
        <v>2.625</v>
      </c>
      <c r="T108" s="79">
        <v>44003</v>
      </c>
      <c r="U108" s="16">
        <f>COUNTIFS(A:A,A108,C:C,C108)</f>
        <v>1</v>
      </c>
      <c r="V108" s="34">
        <f t="shared" si="24"/>
        <v>0.36256906077348067</v>
      </c>
      <c r="W108" s="3" t="str">
        <f>VLOOKUP(A108,Data_echipe!A:O,15,0)</f>
        <v>Serioranistii</v>
      </c>
      <c r="X108" s="3">
        <f t="shared" si="20"/>
        <v>1</v>
      </c>
    </row>
    <row r="109" spans="1:24">
      <c r="A109" s="74" t="s">
        <v>51</v>
      </c>
      <c r="B109" s="24" t="str">
        <f>VLOOKUP(A109,Participanti!A:B,2,0)</f>
        <v>F</v>
      </c>
      <c r="C109" s="75">
        <v>3</v>
      </c>
      <c r="D109" s="76">
        <v>6.48</v>
      </c>
      <c r="E109" s="77">
        <v>2.7627314814814813E-2</v>
      </c>
      <c r="F109" s="78">
        <v>15</v>
      </c>
      <c r="G109" s="20">
        <f t="shared" si="21"/>
        <v>4.2634745084590758E-3</v>
      </c>
      <c r="H109" s="16">
        <f>IF(B109="F",IF(G109&gt;Barem!$AC$2,0,IF(B109="F",VLOOKUP(D109,Barem!$B$2:$C$11,2,1))),IF(G109&gt;Barem!$AC$3,0,VLOOKUP(D109,Barem!$B$12:$C$21,2,1)))</f>
        <v>1.5</v>
      </c>
      <c r="I109" s="16">
        <f>IF(H109=0,0,IF(B109="F",VLOOKUP(G109,Barem!$G$2:$H$11,2,1),VLOOKUP(G109,Barem!$G$12:$H$21,2,1)))</f>
        <v>1.5</v>
      </c>
      <c r="J109" s="75">
        <v>3</v>
      </c>
      <c r="K109" s="82" t="str">
        <f>VLOOKUP($C109,Barem!$L$2:$R$13,7,0)</f>
        <v>V</v>
      </c>
      <c r="L109" s="17">
        <f t="shared" si="25"/>
        <v>0.25</v>
      </c>
      <c r="M109" s="17">
        <f t="shared" si="25"/>
        <v>0.5</v>
      </c>
      <c r="N109" s="17">
        <f t="shared" si="25"/>
        <v>0.25</v>
      </c>
      <c r="O109" s="81">
        <f t="shared" si="22"/>
        <v>0</v>
      </c>
      <c r="P109" s="36">
        <f>IF(D109&gt;21,VLOOKUP(D109,Barem!$T$1:$U$39,2,1),0)</f>
        <v>0</v>
      </c>
      <c r="Q109" s="32">
        <f>IF(D109&lt;1.609,0,IF(B109="F",VLOOKUP(G109,Barem!$X$2:$Z$13,2,1),VLOOKUP(G109,Barem!$X$14:$Z$25,2,1)))</f>
        <v>0</v>
      </c>
      <c r="R109" s="36">
        <f>VLOOKUP(A109,Participanti!A:C,3,0)</f>
        <v>0</v>
      </c>
      <c r="S109" s="29">
        <f t="shared" si="23"/>
        <v>1.875</v>
      </c>
      <c r="T109" s="79">
        <v>43998</v>
      </c>
      <c r="U109" s="16">
        <f>COUNTIFS(A:A,A109,C:C,C109)</f>
        <v>1</v>
      </c>
      <c r="V109" s="34">
        <f t="shared" si="24"/>
        <v>0.28935185185185186</v>
      </c>
      <c r="W109" s="3" t="str">
        <f>VLOOKUP(A109,Data_echipe!A:O,15,0)</f>
        <v>Tenchei</v>
      </c>
      <c r="X109" s="3">
        <f t="shared" si="20"/>
        <v>1</v>
      </c>
    </row>
    <row r="110" spans="1:24" s="110" customFormat="1" ht="12.75" thickBot="1">
      <c r="A110" s="94" t="s">
        <v>59</v>
      </c>
      <c r="B110" s="95" t="str">
        <f>VLOOKUP(A110,Participanti!A:B,2,0)</f>
        <v>M</v>
      </c>
      <c r="C110" s="96">
        <v>3</v>
      </c>
      <c r="D110" s="97">
        <v>10.52</v>
      </c>
      <c r="E110" s="98">
        <v>4.2326388888888893E-2</v>
      </c>
      <c r="F110" s="99">
        <v>0</v>
      </c>
      <c r="G110" s="100">
        <f t="shared" si="21"/>
        <v>4.0234209970426704E-3</v>
      </c>
      <c r="H110" s="101">
        <f>IF(B110="F",IF(G110&gt;Barem!$AC$2,0,IF(B110="F",VLOOKUP(D110,Barem!$B$2:$C$11,2,1))),IF(G110&gt;Barem!$AC$3,0,VLOOKUP(D110,Barem!$B$12:$C$21,2,1)))</f>
        <v>2.5</v>
      </c>
      <c r="I110" s="101">
        <f>IF(H110=0,0,IF(B110="F",VLOOKUP(G110,Barem!$G$2:$H$11,2,1),VLOOKUP(G110,Barem!$G$12:$H$21,2,1)))</f>
        <v>1.5</v>
      </c>
      <c r="J110" s="96">
        <v>2.5</v>
      </c>
      <c r="K110" s="102" t="str">
        <f>VLOOKUP($C110,Barem!$L$2:$R$13,7,0)</f>
        <v>V</v>
      </c>
      <c r="L110" s="103">
        <f t="shared" si="25"/>
        <v>0.25</v>
      </c>
      <c r="M110" s="103">
        <f t="shared" si="25"/>
        <v>0.5</v>
      </c>
      <c r="N110" s="103">
        <f t="shared" si="25"/>
        <v>0.25</v>
      </c>
      <c r="O110" s="104">
        <f t="shared" si="22"/>
        <v>0</v>
      </c>
      <c r="P110" s="105">
        <f>IF(D110&gt;21,VLOOKUP(D110,Barem!$T$1:$U$39,2,1),0)</f>
        <v>0</v>
      </c>
      <c r="Q110" s="106">
        <f>IF(D110&lt;1.609,0,IF(B110="F",VLOOKUP(G110,Barem!$X$2:$Z$13,2,1),VLOOKUP(G110,Barem!$X$14:$Z$25,2,1)))</f>
        <v>0</v>
      </c>
      <c r="R110" s="105">
        <f>VLOOKUP(A110,Participanti!A:C,3,0)</f>
        <v>0</v>
      </c>
      <c r="S110" s="107">
        <f t="shared" si="23"/>
        <v>2</v>
      </c>
      <c r="T110" s="108">
        <v>44000</v>
      </c>
      <c r="U110" s="101">
        <f>COUNTIFS(A:A,A110,C:C,C110)</f>
        <v>1</v>
      </c>
      <c r="V110" s="109">
        <f t="shared" si="24"/>
        <v>0.19011406844106465</v>
      </c>
      <c r="W110" s="110" t="str">
        <f>VLOOKUP(A110,Data_echipe!A:O,15,0)</f>
        <v>Tenchei</v>
      </c>
      <c r="X110" s="3">
        <f t="shared" si="20"/>
        <v>1</v>
      </c>
    </row>
    <row r="111" spans="1:24">
      <c r="A111" s="74" t="s">
        <v>6</v>
      </c>
      <c r="B111" s="24" t="str">
        <f>VLOOKUP(A111,Participanti!A:B,2,0)</f>
        <v>F</v>
      </c>
      <c r="C111" s="75">
        <v>4</v>
      </c>
      <c r="D111" s="76">
        <v>20.02</v>
      </c>
      <c r="E111" s="77">
        <v>7.402777777777779E-2</v>
      </c>
      <c r="F111" s="78">
        <v>154</v>
      </c>
      <c r="G111" s="20">
        <f t="shared" si="21"/>
        <v>3.6976911976911984E-3</v>
      </c>
      <c r="H111" s="16">
        <f>IF(B111="F",IF(G111&gt;Barem!$AC$2,0,IF(B111="F",VLOOKUP(D111,Barem!$B$2:$C$11,2,1))),IF(G111&gt;Barem!$AC$3,0,VLOOKUP(D111,Barem!$B$12:$C$21,2,1)))</f>
        <v>5</v>
      </c>
      <c r="I111" s="16">
        <f>IF(H111=0,0,IF(B111="F",VLOOKUP(G111,Barem!$G$2:$H$11,2,1),VLOOKUP(G111,Barem!$G$12:$H$21,2,1)))</f>
        <v>3</v>
      </c>
      <c r="J111" s="75">
        <v>4</v>
      </c>
      <c r="K111" s="82" t="str">
        <f>VLOOKUP($C111,Barem!$L$2:$R$13,7,0)</f>
        <v>P</v>
      </c>
      <c r="L111" s="17">
        <f t="shared" si="25"/>
        <v>0.25</v>
      </c>
      <c r="M111" s="17">
        <f t="shared" si="25"/>
        <v>0.25</v>
      </c>
      <c r="N111" s="17">
        <f t="shared" si="25"/>
        <v>0.5</v>
      </c>
      <c r="O111" s="81">
        <f t="shared" si="22"/>
        <v>0.10266666666666667</v>
      </c>
      <c r="P111" s="36">
        <f>IF(D111&gt;21,VLOOKUP(D111,Barem!$T$1:$U$39,2,1),0)</f>
        <v>0</v>
      </c>
      <c r="Q111" s="32">
        <f>IF(D111&lt;1.609,0,IF(B111="F",VLOOKUP(G111,Barem!$X$2:$Z$13,2,1),VLOOKUP(G111,Barem!$X$14:$Z$25,2,1)))</f>
        <v>0</v>
      </c>
      <c r="R111" s="36">
        <f>VLOOKUP(A111,Participanti!A:C,3,0)</f>
        <v>0</v>
      </c>
      <c r="S111" s="29">
        <f t="shared" si="23"/>
        <v>4.1026666666666669</v>
      </c>
      <c r="T111" s="79">
        <v>44010</v>
      </c>
      <c r="U111" s="16">
        <f>COUNTIFS(A:A,A111,C:C,C111)</f>
        <v>1</v>
      </c>
      <c r="V111" s="34">
        <f t="shared" si="24"/>
        <v>0.20492840492840494</v>
      </c>
      <c r="W111" s="3" t="str">
        <f>VLOOKUP(A111,Data_echipe!A:O,15,0)</f>
        <v>Unicornii</v>
      </c>
      <c r="X111" s="3">
        <f t="shared" si="20"/>
        <v>1</v>
      </c>
    </row>
    <row r="112" spans="1:24">
      <c r="A112" s="74" t="s">
        <v>82</v>
      </c>
      <c r="B112" s="24" t="str">
        <f>VLOOKUP(A112,Participanti!A:B,2,0)</f>
        <v>M</v>
      </c>
      <c r="C112" s="75">
        <v>4</v>
      </c>
      <c r="D112" s="76">
        <v>3.03</v>
      </c>
      <c r="E112" s="77">
        <v>9.1319444444444443E-3</v>
      </c>
      <c r="F112" s="78">
        <v>9</v>
      </c>
      <c r="G112" s="20">
        <f t="shared" ref="G112:G124" si="28">E112/D112</f>
        <v>3.0138430509717641E-3</v>
      </c>
      <c r="H112" s="16">
        <f>IF(B112="F",IF(G112&gt;Barem!$AC$2,0,IF(B112="F",VLOOKUP(D112,Barem!$B$2:$C$11,2,1))),IF(G112&gt;Barem!$AC$3,0,VLOOKUP(D112,Barem!$B$12:$C$21,2,1)))</f>
        <v>1</v>
      </c>
      <c r="I112" s="16">
        <f>IF(H112=0,0,IF(B112="F",VLOOKUP(G112,Barem!$G$2:$H$11,2,1),VLOOKUP(G112,Barem!$G$12:$H$21,2,1)))</f>
        <v>4</v>
      </c>
      <c r="J112" s="75">
        <v>3.5</v>
      </c>
      <c r="K112" s="83" t="s">
        <v>183</v>
      </c>
      <c r="L112" s="17">
        <f t="shared" si="25"/>
        <v>0.25</v>
      </c>
      <c r="M112" s="17">
        <f t="shared" si="25"/>
        <v>0.5</v>
      </c>
      <c r="N112" s="17">
        <f t="shared" si="25"/>
        <v>0.25</v>
      </c>
      <c r="O112" s="81">
        <f t="shared" ref="O112:O124" si="29">IF(F112&lt;-49,F112/1500,IF(F112&gt;99,F112/1500,0))</f>
        <v>0</v>
      </c>
      <c r="P112" s="36">
        <f>IF(D112&gt;21,VLOOKUP(D112,Barem!$T$1:$U$39,2,1),0)</f>
        <v>0</v>
      </c>
      <c r="Q112" s="32">
        <f>IF(D112&lt;1.609,0,IF(B112="F",VLOOKUP(G112,Barem!$X$2:$Z$13,2,1),VLOOKUP(G112,Barem!$X$14:$Z$25,2,1)))</f>
        <v>0</v>
      </c>
      <c r="R112" s="36">
        <f>VLOOKUP(A112,Participanti!A:C,3,0)</f>
        <v>0</v>
      </c>
      <c r="S112" s="29">
        <f t="shared" ref="S112:S124" si="30">H112*L112+I112*M112+J112*N112+O112+P112+Q112+R112</f>
        <v>3.125</v>
      </c>
      <c r="T112" s="79">
        <v>44010</v>
      </c>
      <c r="U112" s="16">
        <f>COUNTIFS(A:A,A112,C:C,C112)</f>
        <v>1</v>
      </c>
      <c r="V112" s="34">
        <f t="shared" ref="V112:V124" si="31">S112/D112</f>
        <v>1.0313531353135315</v>
      </c>
      <c r="W112" s="3" t="str">
        <f>VLOOKUP(A112,Data_echipe!A:O,15,0)</f>
        <v xml:space="preserve"> Let it run</v>
      </c>
      <c r="X112" s="3">
        <f t="shared" si="20"/>
        <v>1</v>
      </c>
    </row>
    <row r="113" spans="1:24">
      <c r="A113" s="74" t="s">
        <v>64</v>
      </c>
      <c r="B113" s="24" t="str">
        <f>VLOOKUP(A113,Participanti!A:B,2,0)</f>
        <v>M</v>
      </c>
      <c r="C113" s="75">
        <v>4</v>
      </c>
      <c r="D113" s="76">
        <v>16.05</v>
      </c>
      <c r="E113" s="77">
        <v>8.1469907407407408E-2</v>
      </c>
      <c r="F113" s="78">
        <v>0</v>
      </c>
      <c r="G113" s="20">
        <f t="shared" si="28"/>
        <v>5.0760066920503052E-3</v>
      </c>
      <c r="H113" s="16">
        <f>IF(B113="F",IF(G113&gt;Barem!$AC$2,0,IF(B113="F",VLOOKUP(D113,Barem!$B$2:$C$11,2,1))),IF(G113&gt;Barem!$AC$3,0,VLOOKUP(D113,Barem!$B$12:$C$21,2,1)))</f>
        <v>3.5</v>
      </c>
      <c r="I113" s="16">
        <f>IF(H113=0,0,IF(B113="F",VLOOKUP(G113,Barem!$G$2:$H$11,2,1),VLOOKUP(G113,Barem!$G$12:$H$21,2,1)))</f>
        <v>1</v>
      </c>
      <c r="J113" s="75">
        <v>3.5</v>
      </c>
      <c r="K113" s="83" t="s">
        <v>182</v>
      </c>
      <c r="L113" s="17">
        <f t="shared" ref="L113:N128" si="32">IF($K113=L$1,50%,25%)</f>
        <v>0.5</v>
      </c>
      <c r="M113" s="17">
        <f t="shared" si="32"/>
        <v>0.25</v>
      </c>
      <c r="N113" s="17">
        <f t="shared" si="32"/>
        <v>0.25</v>
      </c>
      <c r="O113" s="81">
        <f t="shared" si="29"/>
        <v>0</v>
      </c>
      <c r="P113" s="36">
        <f>IF(D113&gt;21,VLOOKUP(D113,Barem!$T$1:$U$39,2,1),0)</f>
        <v>0</v>
      </c>
      <c r="Q113" s="32">
        <f>IF(D113&lt;1.609,0,IF(B113="F",VLOOKUP(G113,Barem!$X$2:$Z$13,2,1),VLOOKUP(G113,Barem!$X$14:$Z$25,2,1)))</f>
        <v>0</v>
      </c>
      <c r="R113" s="36">
        <f>VLOOKUP(A113,Participanti!A:C,3,0)</f>
        <v>0</v>
      </c>
      <c r="S113" s="29">
        <f t="shared" si="30"/>
        <v>2.875</v>
      </c>
      <c r="T113" s="79">
        <v>44009</v>
      </c>
      <c r="U113" s="16">
        <f>COUNTIFS(A:A,A113,C:C,C113)</f>
        <v>1</v>
      </c>
      <c r="V113" s="34">
        <f t="shared" si="31"/>
        <v>0.17912772585669781</v>
      </c>
      <c r="W113" s="3" t="str">
        <f>VLOOKUP(A113,Data_echipe!A:O,15,0)</f>
        <v xml:space="preserve"> Let it run</v>
      </c>
      <c r="X113" s="3">
        <f t="shared" si="20"/>
        <v>1</v>
      </c>
    </row>
    <row r="114" spans="1:24">
      <c r="A114" s="74" t="s">
        <v>115</v>
      </c>
      <c r="B114" s="24" t="str">
        <f>VLOOKUP(A114,Participanti!A:B,2,0)</f>
        <v>M</v>
      </c>
      <c r="C114" s="75">
        <v>4</v>
      </c>
      <c r="D114" s="76">
        <v>21.12</v>
      </c>
      <c r="E114" s="77">
        <v>0.12505787037037039</v>
      </c>
      <c r="F114" s="78">
        <v>500</v>
      </c>
      <c r="G114" s="20">
        <f t="shared" si="28"/>
        <v>5.9213006804152641E-3</v>
      </c>
      <c r="H114" s="16">
        <f>IF(B114="F",IF(G114&gt;Barem!$AC$2,0,IF(B114="F",VLOOKUP(D114,Barem!$B$2:$C$11,2,1))),IF(G114&gt;Barem!$AC$3,0,VLOOKUP(D114,Barem!$B$12:$C$21,2,1)))</f>
        <v>5</v>
      </c>
      <c r="I114" s="16">
        <f>IF(H114=0,0,IF(B114="F",VLOOKUP(G114,Barem!$G$2:$H$11,2,1),VLOOKUP(G114,Barem!$G$12:$H$21,2,1)))</f>
        <v>0</v>
      </c>
      <c r="J114" s="75">
        <v>3</v>
      </c>
      <c r="K114" s="82" t="str">
        <f>VLOOKUP($C114,Barem!$L$2:$R$13,7,0)</f>
        <v>P</v>
      </c>
      <c r="L114" s="17">
        <f t="shared" si="32"/>
        <v>0.25</v>
      </c>
      <c r="M114" s="17">
        <f t="shared" si="32"/>
        <v>0.25</v>
      </c>
      <c r="N114" s="17">
        <f t="shared" si="32"/>
        <v>0.5</v>
      </c>
      <c r="O114" s="81">
        <f t="shared" si="29"/>
        <v>0.33333333333333331</v>
      </c>
      <c r="P114" s="36">
        <f>IF(D114&gt;21,VLOOKUP(D114,Barem!$T$1:$U$39,2,1),0)</f>
        <v>0</v>
      </c>
      <c r="Q114" s="32">
        <f>IF(D114&lt;1.609,0,IF(B114="F",VLOOKUP(G114,Barem!$X$2:$Z$13,2,1),VLOOKUP(G114,Barem!$X$14:$Z$25,2,1)))</f>
        <v>0</v>
      </c>
      <c r="R114" s="36">
        <f>VLOOKUP(A114,Participanti!A:C,3,0)</f>
        <v>0.5</v>
      </c>
      <c r="S114" s="29">
        <f t="shared" si="30"/>
        <v>3.5833333333333335</v>
      </c>
      <c r="T114" s="79">
        <v>44010</v>
      </c>
      <c r="U114" s="16">
        <f>COUNTIFS(A:A,A114,C:C,C114)</f>
        <v>1</v>
      </c>
      <c r="V114" s="34">
        <f t="shared" si="31"/>
        <v>0.16966540404040403</v>
      </c>
      <c r="W114" s="3" t="str">
        <f>VLOOKUP(A114,Data_echipe!A:O,15,0)</f>
        <v xml:space="preserve"> Let it run</v>
      </c>
      <c r="X114" s="3">
        <f t="shared" si="20"/>
        <v>0</v>
      </c>
    </row>
    <row r="115" spans="1:24">
      <c r="A115" s="74" t="s">
        <v>8</v>
      </c>
      <c r="B115" s="24" t="str">
        <f>VLOOKUP(A115,Participanti!A:B,2,0)</f>
        <v>M</v>
      </c>
      <c r="C115" s="75">
        <v>4</v>
      </c>
      <c r="D115" s="76">
        <v>8.09</v>
      </c>
      <c r="E115" s="77">
        <v>3.0624999999999999E-2</v>
      </c>
      <c r="F115" s="78">
        <v>8</v>
      </c>
      <c r="G115" s="20">
        <f t="shared" si="28"/>
        <v>3.7855377008652658E-3</v>
      </c>
      <c r="H115" s="16">
        <f>IF(B115="F",IF(G115&gt;Barem!$AC$2,0,IF(B115="F",VLOOKUP(D115,Barem!$B$2:$C$11,2,1))),IF(G115&gt;Barem!$AC$3,0,VLOOKUP(D115,Barem!$B$12:$C$21,2,1)))</f>
        <v>2</v>
      </c>
      <c r="I115" s="16">
        <f>IF(H115=0,0,IF(B115="F",VLOOKUP(G115,Barem!$G$2:$H$11,2,1),VLOOKUP(G115,Barem!$G$12:$H$21,2,1)))</f>
        <v>2</v>
      </c>
      <c r="J115" s="75">
        <v>3.5</v>
      </c>
      <c r="K115" s="82" t="str">
        <f>VLOOKUP($C115,Barem!$L$2:$R$13,7,0)</f>
        <v>P</v>
      </c>
      <c r="L115" s="17">
        <f t="shared" si="32"/>
        <v>0.25</v>
      </c>
      <c r="M115" s="17">
        <f t="shared" si="32"/>
        <v>0.25</v>
      </c>
      <c r="N115" s="17">
        <f t="shared" si="32"/>
        <v>0.5</v>
      </c>
      <c r="O115" s="81">
        <f t="shared" si="29"/>
        <v>0</v>
      </c>
      <c r="P115" s="36">
        <f>IF(D115&gt;21,VLOOKUP(D115,Barem!$T$1:$U$39,2,1),0)</f>
        <v>0</v>
      </c>
      <c r="Q115" s="32">
        <f>IF(D115&lt;1.609,0,IF(B115="F",VLOOKUP(G115,Barem!$X$2:$Z$13,2,1),VLOOKUP(G115,Barem!$X$14:$Z$25,2,1)))</f>
        <v>0</v>
      </c>
      <c r="R115" s="36">
        <f>VLOOKUP(A115,Participanti!A:C,3,0)</f>
        <v>0</v>
      </c>
      <c r="S115" s="29">
        <f t="shared" si="30"/>
        <v>2.75</v>
      </c>
      <c r="T115" s="79">
        <v>44010</v>
      </c>
      <c r="U115" s="16">
        <f>COUNTIFS(A:A,A115,C:C,C115)</f>
        <v>1</v>
      </c>
      <c r="V115" s="34">
        <f t="shared" si="31"/>
        <v>0.33992583436341162</v>
      </c>
      <c r="W115" s="3" t="str">
        <f>VLOOKUP(A115,Data_echipe!A:O,15,0)</f>
        <v xml:space="preserve"> Let it run</v>
      </c>
      <c r="X115" s="3">
        <f t="shared" si="20"/>
        <v>1</v>
      </c>
    </row>
    <row r="116" spans="1:24">
      <c r="A116" s="74" t="s">
        <v>131</v>
      </c>
      <c r="B116" s="24" t="str">
        <f>VLOOKUP(A116,Participanti!A:B,2,0)</f>
        <v>M</v>
      </c>
      <c r="C116" s="75">
        <v>4</v>
      </c>
      <c r="D116" s="76">
        <v>8.5</v>
      </c>
      <c r="E116" s="77">
        <v>3.4513888888888893E-2</v>
      </c>
      <c r="F116" s="78">
        <v>28</v>
      </c>
      <c r="G116" s="20">
        <f t="shared" si="28"/>
        <v>4.0604575163398701E-3</v>
      </c>
      <c r="H116" s="16">
        <f>IF(B116="F",IF(G116&gt;Barem!$AC$2,0,IF(B116="F",VLOOKUP(D116,Barem!$B$2:$C$11,2,1))),IF(G116&gt;Barem!$AC$3,0,VLOOKUP(D116,Barem!$B$12:$C$21,2,1)))</f>
        <v>2</v>
      </c>
      <c r="I116" s="16">
        <f>IF(H116=0,0,IF(B116="F",VLOOKUP(G116,Barem!$G$2:$H$11,2,1),VLOOKUP(G116,Barem!$G$12:$H$21,2,1)))</f>
        <v>1.5</v>
      </c>
      <c r="J116" s="75">
        <v>3</v>
      </c>
      <c r="K116" s="82" t="str">
        <f>VLOOKUP($C116,Barem!$L$2:$R$13,7,0)</f>
        <v>P</v>
      </c>
      <c r="L116" s="17">
        <f t="shared" si="32"/>
        <v>0.25</v>
      </c>
      <c r="M116" s="17">
        <f t="shared" si="32"/>
        <v>0.25</v>
      </c>
      <c r="N116" s="17">
        <f t="shared" si="32"/>
        <v>0.5</v>
      </c>
      <c r="O116" s="81">
        <f t="shared" si="29"/>
        <v>0</v>
      </c>
      <c r="P116" s="36">
        <f>IF(D116&gt;21,VLOOKUP(D116,Barem!$T$1:$U$39,2,1),0)</f>
        <v>0</v>
      </c>
      <c r="Q116" s="32">
        <f>IF(D116&lt;1.609,0,IF(B116="F",VLOOKUP(G116,Barem!$X$2:$Z$13,2,1),VLOOKUP(G116,Barem!$X$14:$Z$25,2,1)))</f>
        <v>0</v>
      </c>
      <c r="R116" s="36">
        <f>VLOOKUP(A116,Participanti!A:C,3,0)</f>
        <v>0</v>
      </c>
      <c r="S116" s="29">
        <f t="shared" si="30"/>
        <v>2.375</v>
      </c>
      <c r="T116" s="79">
        <v>44005</v>
      </c>
      <c r="U116" s="16">
        <f>COUNTIFS(A:A,A116,C:C,C116)</f>
        <v>1</v>
      </c>
      <c r="V116" s="34">
        <f t="shared" si="31"/>
        <v>0.27941176470588236</v>
      </c>
      <c r="W116" s="3" t="str">
        <f>VLOOKUP(A116,Data_echipe!A:O,15,0)</f>
        <v xml:space="preserve"> Let it run</v>
      </c>
      <c r="X116" s="3">
        <f t="shared" si="20"/>
        <v>1</v>
      </c>
    </row>
    <row r="117" spans="1:24">
      <c r="A117" s="74" t="s">
        <v>206</v>
      </c>
      <c r="B117" s="24" t="str">
        <f>VLOOKUP(A117,Participanti!A:B,2,0)</f>
        <v>M</v>
      </c>
      <c r="C117" s="75">
        <v>4</v>
      </c>
      <c r="D117" s="76">
        <v>5.01</v>
      </c>
      <c r="E117" s="77">
        <v>1.9409722222222221E-2</v>
      </c>
      <c r="F117" s="78">
        <v>5</v>
      </c>
      <c r="G117" s="20">
        <f t="shared" si="28"/>
        <v>3.8741960523397648E-3</v>
      </c>
      <c r="H117" s="16">
        <f>IF(B117="F",IF(G117&gt;Barem!$AC$2,0,IF(B117="F",VLOOKUP(D117,Barem!$B$2:$C$11,2,1))),IF(G117&gt;Barem!$AC$3,0,VLOOKUP(D117,Barem!$B$12:$C$21,2,1)))</f>
        <v>1.5</v>
      </c>
      <c r="I117" s="16">
        <f>IF(H117=0,0,IF(B117="F",VLOOKUP(G117,Barem!$G$2:$H$11,2,1),VLOOKUP(G117,Barem!$G$12:$H$21,2,1)))</f>
        <v>1.5</v>
      </c>
      <c r="J117" s="75">
        <v>4.5</v>
      </c>
      <c r="K117" s="82" t="str">
        <f>VLOOKUP($C117,Barem!$L$2:$R$13,7,0)</f>
        <v>P</v>
      </c>
      <c r="L117" s="17">
        <f t="shared" si="32"/>
        <v>0.25</v>
      </c>
      <c r="M117" s="17">
        <f t="shared" si="32"/>
        <v>0.25</v>
      </c>
      <c r="N117" s="17">
        <f t="shared" si="32"/>
        <v>0.5</v>
      </c>
      <c r="O117" s="81">
        <f t="shared" si="29"/>
        <v>0</v>
      </c>
      <c r="P117" s="36">
        <f>IF(D117&gt;21,VLOOKUP(D117,Barem!$T$1:$U$39,2,1),0)</f>
        <v>0</v>
      </c>
      <c r="Q117" s="32">
        <f>IF(D117&lt;1.609,0,IF(B117="F",VLOOKUP(G117,Barem!$X$2:$Z$13,2,1),VLOOKUP(G117,Barem!$X$14:$Z$25,2,1)))</f>
        <v>0</v>
      </c>
      <c r="R117" s="36">
        <f>VLOOKUP(A117,Participanti!A:C,3,0)</f>
        <v>0</v>
      </c>
      <c r="S117" s="29">
        <f t="shared" si="30"/>
        <v>3</v>
      </c>
      <c r="T117" s="79">
        <v>44007</v>
      </c>
      <c r="U117" s="16">
        <f>COUNTIFS(A:A,A117,C:C,C117)</f>
        <v>1</v>
      </c>
      <c r="V117" s="34">
        <f t="shared" si="31"/>
        <v>0.5988023952095809</v>
      </c>
      <c r="W117" s="3" t="str">
        <f>VLOOKUP(A117,Data_echipe!A:O,15,0)</f>
        <v>Unicornii</v>
      </c>
      <c r="X117" s="3">
        <f t="shared" si="20"/>
        <v>1</v>
      </c>
    </row>
    <row r="118" spans="1:24">
      <c r="A118" s="74" t="s">
        <v>50</v>
      </c>
      <c r="B118" s="24" t="str">
        <f>VLOOKUP(A118,Participanti!A:B,2,0)</f>
        <v>F</v>
      </c>
      <c r="C118" s="75">
        <v>4</v>
      </c>
      <c r="D118" s="76">
        <v>8.02</v>
      </c>
      <c r="E118" s="77">
        <v>3.3541666666666664E-2</v>
      </c>
      <c r="F118" s="78">
        <v>54</v>
      </c>
      <c r="G118" s="20">
        <f t="shared" si="28"/>
        <v>4.1822527015793849E-3</v>
      </c>
      <c r="H118" s="16">
        <f>IF(B118="F",IF(G118&gt;Barem!$AC$2,0,IF(B118="F",VLOOKUP(D118,Barem!$B$2:$C$11,2,1))),IF(G118&gt;Barem!$AC$3,0,VLOOKUP(D118,Barem!$B$12:$C$21,2,1)))</f>
        <v>2</v>
      </c>
      <c r="I118" s="16">
        <f>IF(H118=0,0,IF(B118="F",VLOOKUP(G118,Barem!$G$2:$H$11,2,1),VLOOKUP(G118,Barem!$G$12:$H$21,2,1)))</f>
        <v>1.5</v>
      </c>
      <c r="J118" s="75">
        <v>2</v>
      </c>
      <c r="K118" s="83" t="s">
        <v>183</v>
      </c>
      <c r="L118" s="17">
        <f t="shared" si="32"/>
        <v>0.25</v>
      </c>
      <c r="M118" s="17">
        <f t="shared" si="32"/>
        <v>0.5</v>
      </c>
      <c r="N118" s="17">
        <f t="shared" si="32"/>
        <v>0.25</v>
      </c>
      <c r="O118" s="81">
        <f t="shared" si="29"/>
        <v>0</v>
      </c>
      <c r="P118" s="36">
        <f>IF(D118&gt;21,VLOOKUP(D118,Barem!$T$1:$U$39,2,1),0)</f>
        <v>0</v>
      </c>
      <c r="Q118" s="32">
        <f>IF(D118&lt;1.609,0,IF(B118="F",VLOOKUP(G118,Barem!$X$2:$Z$13,2,1),VLOOKUP(G118,Barem!$X$14:$Z$25,2,1)))</f>
        <v>0</v>
      </c>
      <c r="R118" s="36">
        <f>VLOOKUP(A118,Participanti!A:C,3,0)</f>
        <v>0</v>
      </c>
      <c r="S118" s="29">
        <f t="shared" si="30"/>
        <v>1.75</v>
      </c>
      <c r="T118" s="79">
        <v>44006</v>
      </c>
      <c r="U118" s="16">
        <f>COUNTIFS(A:A,A118,C:C,C118)</f>
        <v>1</v>
      </c>
      <c r="V118" s="34">
        <f t="shared" si="31"/>
        <v>0.21820448877805487</v>
      </c>
      <c r="W118" s="3" t="str">
        <f>VLOOKUP(A118,Data_echipe!A:O,15,0)</f>
        <v>Serioranistii</v>
      </c>
      <c r="X118" s="3">
        <f t="shared" si="20"/>
        <v>1</v>
      </c>
    </row>
    <row r="119" spans="1:24">
      <c r="A119" s="74" t="s">
        <v>56</v>
      </c>
      <c r="B119" s="24" t="str">
        <f>VLOOKUP(A119,Participanti!A:B,2,0)</f>
        <v>M</v>
      </c>
      <c r="C119" s="75">
        <v>4</v>
      </c>
      <c r="D119" s="76">
        <v>10.19</v>
      </c>
      <c r="E119" s="77">
        <v>4.0023148148148148E-2</v>
      </c>
      <c r="F119" s="78">
        <v>11</v>
      </c>
      <c r="G119" s="20">
        <f t="shared" si="28"/>
        <v>3.9276887289644898E-3</v>
      </c>
      <c r="H119" s="16">
        <f>IF(B119="F",IF(G119&gt;Barem!$AC$2,0,IF(B119="F",VLOOKUP(D119,Barem!$B$2:$C$11,2,1))),IF(G119&gt;Barem!$AC$3,0,VLOOKUP(D119,Barem!$B$12:$C$21,2,1)))</f>
        <v>2.5</v>
      </c>
      <c r="I119" s="16">
        <f>IF(H119=0,0,IF(B119="F",VLOOKUP(G119,Barem!$G$2:$H$11,2,1),VLOOKUP(G119,Barem!$G$12:$H$21,2,1)))</f>
        <v>1.5</v>
      </c>
      <c r="J119" s="75">
        <v>3</v>
      </c>
      <c r="K119" s="82" t="str">
        <f>VLOOKUP($C119,Barem!$L$2:$R$13,7,0)</f>
        <v>P</v>
      </c>
      <c r="L119" s="17">
        <f t="shared" si="32"/>
        <v>0.25</v>
      </c>
      <c r="M119" s="17">
        <f t="shared" si="32"/>
        <v>0.25</v>
      </c>
      <c r="N119" s="17">
        <f t="shared" si="32"/>
        <v>0.5</v>
      </c>
      <c r="O119" s="81">
        <f t="shared" si="29"/>
        <v>0</v>
      </c>
      <c r="P119" s="36">
        <f>IF(D119&gt;21,VLOOKUP(D119,Barem!$T$1:$U$39,2,1),0)</f>
        <v>0</v>
      </c>
      <c r="Q119" s="32">
        <f>IF(D119&lt;1.609,0,IF(B119="F",VLOOKUP(G119,Barem!$X$2:$Z$13,2,1),VLOOKUP(G119,Barem!$X$14:$Z$25,2,1)))</f>
        <v>0</v>
      </c>
      <c r="R119" s="36">
        <f>VLOOKUP(A119,Participanti!A:C,3,0)</f>
        <v>0</v>
      </c>
      <c r="S119" s="29">
        <f t="shared" si="30"/>
        <v>2.5</v>
      </c>
      <c r="T119" s="79">
        <v>44010</v>
      </c>
      <c r="U119" s="16">
        <f>COUNTIFS(A:A,A119,C:C,C119)</f>
        <v>1</v>
      </c>
      <c r="V119" s="34">
        <f t="shared" si="31"/>
        <v>0.24533856722276742</v>
      </c>
      <c r="W119" s="3" t="str">
        <f>VLOOKUP(A119,Data_echipe!A:O,15,0)</f>
        <v>Unicornii</v>
      </c>
      <c r="X119" s="3">
        <f t="shared" si="20"/>
        <v>1</v>
      </c>
    </row>
    <row r="120" spans="1:24">
      <c r="A120" s="74" t="s">
        <v>51</v>
      </c>
      <c r="B120" s="24" t="str">
        <f>VLOOKUP(A120,Participanti!A:B,2,0)</f>
        <v>F</v>
      </c>
      <c r="C120" s="75">
        <v>4</v>
      </c>
      <c r="D120" s="76">
        <v>6.05</v>
      </c>
      <c r="E120" s="77">
        <v>2.4814814814814817E-2</v>
      </c>
      <c r="F120" s="78">
        <v>12</v>
      </c>
      <c r="G120" s="20">
        <f t="shared" si="28"/>
        <v>4.1016222834404656E-3</v>
      </c>
      <c r="H120" s="16">
        <f>IF(B120="F",IF(G120&gt;Barem!$AC$2,0,IF(B120="F",VLOOKUP(D120,Barem!$B$2:$C$11,2,1))),IF(G120&gt;Barem!$AC$3,0,VLOOKUP(D120,Barem!$B$12:$C$21,2,1)))</f>
        <v>1.5</v>
      </c>
      <c r="I120" s="16">
        <f>IF(H120=0,0,IF(B120="F",VLOOKUP(G120,Barem!$G$2:$H$11,2,1),VLOOKUP(G120,Barem!$G$12:$H$21,2,1)))</f>
        <v>2</v>
      </c>
      <c r="J120" s="75">
        <v>2.5</v>
      </c>
      <c r="K120" s="83" t="s">
        <v>183</v>
      </c>
      <c r="L120" s="17">
        <f t="shared" si="32"/>
        <v>0.25</v>
      </c>
      <c r="M120" s="17">
        <f t="shared" si="32"/>
        <v>0.5</v>
      </c>
      <c r="N120" s="17">
        <f t="shared" si="32"/>
        <v>0.25</v>
      </c>
      <c r="O120" s="81">
        <f t="shared" si="29"/>
        <v>0</v>
      </c>
      <c r="P120" s="36">
        <f>IF(D120&gt;21,VLOOKUP(D120,Barem!$T$1:$U$39,2,1),0)</f>
        <v>0</v>
      </c>
      <c r="Q120" s="32">
        <f>IF(D120&lt;1.609,0,IF(B120="F",VLOOKUP(G120,Barem!$X$2:$Z$13,2,1),VLOOKUP(G120,Barem!$X$14:$Z$25,2,1)))</f>
        <v>0</v>
      </c>
      <c r="R120" s="36">
        <f>VLOOKUP(A120,Participanti!A:C,3,0)</f>
        <v>0</v>
      </c>
      <c r="S120" s="29">
        <f t="shared" si="30"/>
        <v>2</v>
      </c>
      <c r="T120" s="79">
        <v>44004</v>
      </c>
      <c r="U120" s="16">
        <f>COUNTIFS(A:A,A120,C:C,C120)</f>
        <v>1</v>
      </c>
      <c r="V120" s="34">
        <f t="shared" si="31"/>
        <v>0.33057851239669422</v>
      </c>
      <c r="W120" s="3" t="str">
        <f>VLOOKUP(A120,Data_echipe!A:O,15,0)</f>
        <v>Tenchei</v>
      </c>
      <c r="X120" s="3">
        <f t="shared" si="20"/>
        <v>1</v>
      </c>
    </row>
    <row r="121" spans="1:24">
      <c r="A121" s="74" t="s">
        <v>209</v>
      </c>
      <c r="B121" s="24" t="str">
        <f>VLOOKUP(A121,Participanti!A:B,2,0)</f>
        <v>M</v>
      </c>
      <c r="C121" s="75">
        <v>4</v>
      </c>
      <c r="D121" s="76">
        <v>10.41</v>
      </c>
      <c r="E121" s="77">
        <v>3.4803240740740739E-2</v>
      </c>
      <c r="F121" s="78">
        <v>19</v>
      </c>
      <c r="G121" s="20">
        <f t="shared" si="28"/>
        <v>3.343250791617746E-3</v>
      </c>
      <c r="H121" s="16">
        <f>IF(B121="F",IF(G121&gt;Barem!$AC$2,0,IF(B121="F",VLOOKUP(D121,Barem!$B$2:$C$11,2,1))),IF(G121&gt;Barem!$AC$3,0,VLOOKUP(D121,Barem!$B$12:$C$21,2,1)))</f>
        <v>2.5</v>
      </c>
      <c r="I121" s="16">
        <f>IF(H121=0,0,IF(B121="F",VLOOKUP(G121,Barem!$G$2:$H$11,2,1),VLOOKUP(G121,Barem!$G$12:$H$21,2,1)))</f>
        <v>3</v>
      </c>
      <c r="J121" s="75">
        <v>1.5</v>
      </c>
      <c r="K121" s="83" t="s">
        <v>183</v>
      </c>
      <c r="L121" s="17">
        <f t="shared" si="32"/>
        <v>0.25</v>
      </c>
      <c r="M121" s="17">
        <f t="shared" si="32"/>
        <v>0.5</v>
      </c>
      <c r="N121" s="17">
        <f t="shared" si="32"/>
        <v>0.25</v>
      </c>
      <c r="O121" s="81">
        <f t="shared" si="29"/>
        <v>0</v>
      </c>
      <c r="P121" s="36">
        <f>IF(D121&gt;21,VLOOKUP(D121,Barem!$T$1:$U$39,2,1),0)</f>
        <v>0</v>
      </c>
      <c r="Q121" s="32">
        <f>IF(D121&lt;1.609,0,IF(B121="F",VLOOKUP(G121,Barem!$X$2:$Z$13,2,1),VLOOKUP(G121,Barem!$X$14:$Z$25,2,1)))</f>
        <v>0</v>
      </c>
      <c r="R121" s="36">
        <f>VLOOKUP(A121,Participanti!A:C,3,0)</f>
        <v>0</v>
      </c>
      <c r="S121" s="29">
        <f t="shared" si="30"/>
        <v>2.5</v>
      </c>
      <c r="T121" s="79">
        <v>44010</v>
      </c>
      <c r="U121" s="16">
        <f>COUNTIFS(A:A,A121,C:C,C121)</f>
        <v>1</v>
      </c>
      <c r="V121" s="34">
        <f t="shared" si="31"/>
        <v>0.24015369836695485</v>
      </c>
      <c r="W121" s="3" t="str">
        <f>VLOOKUP(A121,Data_echipe!A:O,15,0)</f>
        <v>Serioranistii</v>
      </c>
      <c r="X121" s="3">
        <f t="shared" si="20"/>
        <v>1</v>
      </c>
    </row>
    <row r="122" spans="1:24">
      <c r="A122" s="74" t="s">
        <v>210</v>
      </c>
      <c r="B122" s="24" t="str">
        <f>VLOOKUP(A122,Participanti!A:B,2,0)</f>
        <v>F</v>
      </c>
      <c r="C122" s="75">
        <v>4</v>
      </c>
      <c r="D122" s="76">
        <v>5</v>
      </c>
      <c r="E122" s="77">
        <v>1.9849537037037037E-2</v>
      </c>
      <c r="F122" s="78">
        <v>0</v>
      </c>
      <c r="G122" s="20">
        <f t="shared" si="28"/>
        <v>3.9699074074074072E-3</v>
      </c>
      <c r="H122" s="16">
        <f>IF(B122="F",IF(G122&gt;Barem!$AC$2,0,IF(B122="F",VLOOKUP(D122,Barem!$B$2:$C$11,2,1))),IF(G122&gt;Barem!$AC$3,0,VLOOKUP(D122,Barem!$B$12:$C$21,2,1)))</f>
        <v>1.5</v>
      </c>
      <c r="I122" s="16">
        <f>IF(H122=0,0,IF(B122="F",VLOOKUP(G122,Barem!$G$2:$H$11,2,1),VLOOKUP(G122,Barem!$G$12:$H$21,2,1)))</f>
        <v>2.5</v>
      </c>
      <c r="J122" s="75">
        <v>4</v>
      </c>
      <c r="K122" s="83" t="s">
        <v>183</v>
      </c>
      <c r="L122" s="17">
        <f t="shared" si="32"/>
        <v>0.25</v>
      </c>
      <c r="M122" s="17">
        <f t="shared" si="32"/>
        <v>0.5</v>
      </c>
      <c r="N122" s="17">
        <f t="shared" si="32"/>
        <v>0.25</v>
      </c>
      <c r="O122" s="81">
        <f t="shared" si="29"/>
        <v>0</v>
      </c>
      <c r="P122" s="36">
        <f>IF(D122&gt;21,VLOOKUP(D122,Barem!$T$1:$U$39,2,1),0)</f>
        <v>0</v>
      </c>
      <c r="Q122" s="32">
        <f>IF(D122&lt;1.609,0,IF(B122="F",VLOOKUP(G122,Barem!$X$2:$Z$13,2,1),VLOOKUP(G122,Barem!$X$14:$Z$25,2,1)))</f>
        <v>0</v>
      </c>
      <c r="R122" s="36">
        <f>VLOOKUP(A122,Participanti!A:C,3,0)</f>
        <v>0</v>
      </c>
      <c r="S122" s="29">
        <f t="shared" si="30"/>
        <v>2.625</v>
      </c>
      <c r="T122" s="79">
        <v>44010</v>
      </c>
      <c r="U122" s="16">
        <f>COUNTIFS(A:A,A122,C:C,C122)</f>
        <v>1</v>
      </c>
      <c r="V122" s="34">
        <f t="shared" si="31"/>
        <v>0.52500000000000002</v>
      </c>
      <c r="W122" s="3" t="str">
        <f>VLOOKUP(A122,Data_echipe!A:O,15,0)</f>
        <v>X Æ A-12</v>
      </c>
      <c r="X122" s="3">
        <f t="shared" si="20"/>
        <v>1</v>
      </c>
    </row>
    <row r="123" spans="1:24">
      <c r="A123" s="74" t="s">
        <v>66</v>
      </c>
      <c r="B123" s="24" t="str">
        <f>VLOOKUP(A123,Participanti!A:B,2,0)</f>
        <v>M</v>
      </c>
      <c r="C123" s="75">
        <v>4</v>
      </c>
      <c r="D123" s="76">
        <v>11.26</v>
      </c>
      <c r="E123" s="77">
        <v>4.2013888888888885E-2</v>
      </c>
      <c r="F123" s="78">
        <v>17</v>
      </c>
      <c r="G123" s="20">
        <f t="shared" si="28"/>
        <v>3.7312512334714818E-3</v>
      </c>
      <c r="H123" s="16">
        <f>IF(B123="F",IF(G123&gt;Barem!$AC$2,0,IF(B123="F",VLOOKUP(D123,Barem!$B$2:$C$11,2,1))),IF(G123&gt;Barem!$AC$3,0,VLOOKUP(D123,Barem!$B$12:$C$21,2,1)))</f>
        <v>2.5</v>
      </c>
      <c r="I123" s="16">
        <f>IF(H123=0,0,IF(B123="F",VLOOKUP(G123,Barem!$G$2:$H$11,2,1),VLOOKUP(G123,Barem!$G$12:$H$21,2,1)))</f>
        <v>2</v>
      </c>
      <c r="J123" s="75">
        <v>2.5</v>
      </c>
      <c r="K123" s="82" t="str">
        <f>VLOOKUP($C123,Barem!$L$2:$R$13,7,0)</f>
        <v>P</v>
      </c>
      <c r="L123" s="17">
        <f t="shared" si="32"/>
        <v>0.25</v>
      </c>
      <c r="M123" s="17">
        <f t="shared" si="32"/>
        <v>0.25</v>
      </c>
      <c r="N123" s="17">
        <f t="shared" si="32"/>
        <v>0.5</v>
      </c>
      <c r="O123" s="81">
        <f t="shared" si="29"/>
        <v>0</v>
      </c>
      <c r="P123" s="36">
        <f>IF(D123&gt;21,VLOOKUP(D123,Barem!$T$1:$U$39,2,1),0)</f>
        <v>0</v>
      </c>
      <c r="Q123" s="32">
        <f>IF(D123&lt;1.609,0,IF(B123="F",VLOOKUP(G123,Barem!$X$2:$Z$13,2,1),VLOOKUP(G123,Barem!$X$14:$Z$25,2,1)))</f>
        <v>0</v>
      </c>
      <c r="R123" s="36">
        <f>VLOOKUP(A123,Participanti!A:C,3,0)</f>
        <v>0</v>
      </c>
      <c r="S123" s="29">
        <f t="shared" si="30"/>
        <v>2.375</v>
      </c>
      <c r="T123" s="79">
        <v>44009</v>
      </c>
      <c r="U123" s="16">
        <f>COUNTIFS(A:A,A123,C:C,C123)</f>
        <v>1</v>
      </c>
      <c r="V123" s="34">
        <f t="shared" si="31"/>
        <v>0.21092362344582594</v>
      </c>
      <c r="W123" s="3" t="str">
        <f>VLOOKUP(A123,Data_echipe!A:O,15,0)</f>
        <v>X Æ A-12</v>
      </c>
      <c r="X123" s="3">
        <f t="shared" si="20"/>
        <v>1</v>
      </c>
    </row>
    <row r="124" spans="1:24">
      <c r="A124" s="74" t="s">
        <v>208</v>
      </c>
      <c r="B124" s="24" t="str">
        <f>VLOOKUP(A124,Participanti!A:B,2,0)</f>
        <v>M</v>
      </c>
      <c r="C124" s="75">
        <v>4</v>
      </c>
      <c r="D124" s="76">
        <v>37.04</v>
      </c>
      <c r="E124" s="77">
        <v>0.13596064814814815</v>
      </c>
      <c r="F124" s="78">
        <v>67</v>
      </c>
      <c r="G124" s="20">
        <f t="shared" si="28"/>
        <v>3.6706438484921207E-3</v>
      </c>
      <c r="H124" s="16">
        <f>IF(B124="F",IF(G124&gt;Barem!$AC$2,0,IF(B124="F",VLOOKUP(D124,Barem!$B$2:$C$11,2,1))),IF(G124&gt;Barem!$AC$3,0,VLOOKUP(D124,Barem!$B$12:$C$21,2,1)))</f>
        <v>5</v>
      </c>
      <c r="I124" s="16">
        <f>IF(H124=0,0,IF(B124="F",VLOOKUP(G124,Barem!$G$2:$H$11,2,1),VLOOKUP(G124,Barem!$G$12:$H$21,2,1)))</f>
        <v>2</v>
      </c>
      <c r="J124" s="75">
        <v>3.5</v>
      </c>
      <c r="K124" s="83" t="s">
        <v>182</v>
      </c>
      <c r="L124" s="17">
        <f t="shared" si="32"/>
        <v>0.5</v>
      </c>
      <c r="M124" s="17">
        <f t="shared" si="32"/>
        <v>0.25</v>
      </c>
      <c r="N124" s="17">
        <f t="shared" si="32"/>
        <v>0.25</v>
      </c>
      <c r="O124" s="81">
        <f t="shared" si="29"/>
        <v>0</v>
      </c>
      <c r="P124" s="36">
        <f>IF(D124&gt;21,VLOOKUP(D124,Barem!$T$1:$U$39,2,1),0)</f>
        <v>0.3</v>
      </c>
      <c r="Q124" s="32">
        <f>IF(D124&lt;1.609,0,IF(B124="F",VLOOKUP(G124,Barem!$X$2:$Z$13,2,1),VLOOKUP(G124,Barem!$X$14:$Z$25,2,1)))</f>
        <v>0</v>
      </c>
      <c r="R124" s="36">
        <f>VLOOKUP(A124,Participanti!A:C,3,0)</f>
        <v>0</v>
      </c>
      <c r="S124" s="29">
        <f t="shared" si="30"/>
        <v>4.1749999999999998</v>
      </c>
      <c r="T124" s="79">
        <v>44009</v>
      </c>
      <c r="U124" s="16">
        <f>COUNTIFS(A:A,A124,C:C,C124)</f>
        <v>1</v>
      </c>
      <c r="V124" s="34">
        <f t="shared" si="31"/>
        <v>0.11271598272138229</v>
      </c>
      <c r="W124" s="3" t="str">
        <f>VLOOKUP(A124,Data_echipe!A:O,15,0)</f>
        <v xml:space="preserve"> Let it run</v>
      </c>
      <c r="X124" s="3">
        <f t="shared" si="20"/>
        <v>1</v>
      </c>
    </row>
    <row r="125" spans="1:24">
      <c r="A125" s="74" t="s">
        <v>169</v>
      </c>
      <c r="B125" s="24" t="str">
        <f>VLOOKUP(A125,Participanti!A:B,2,0)</f>
        <v>F</v>
      </c>
      <c r="C125" s="75">
        <v>4</v>
      </c>
      <c r="D125" s="76">
        <v>20</v>
      </c>
      <c r="E125" s="77">
        <v>0.13203703703703704</v>
      </c>
      <c r="F125" s="78">
        <v>0</v>
      </c>
      <c r="G125" s="20">
        <f t="shared" ref="G125:G128" si="33">E125/D125</f>
        <v>6.6018518518518518E-3</v>
      </c>
      <c r="H125" s="16">
        <f>IF(B125="F",IF(G125&gt;Barem!$AC$2,0,IF(B125="F",VLOOKUP(D125,Barem!$B$2:$C$11,2,1))),IF(G125&gt;Barem!$AC$3,0,VLOOKUP(D125,Barem!$B$12:$C$21,2,1)))</f>
        <v>5</v>
      </c>
      <c r="I125" s="16">
        <f>IF(H125=0,0,IF(B125="F",VLOOKUP(G125,Barem!$G$2:$H$11,2,1),VLOOKUP(G125,Barem!$G$12:$H$21,2,1)))</f>
        <v>0</v>
      </c>
      <c r="J125" s="75">
        <v>1</v>
      </c>
      <c r="K125" s="83" t="s">
        <v>182</v>
      </c>
      <c r="L125" s="17">
        <f t="shared" si="32"/>
        <v>0.5</v>
      </c>
      <c r="M125" s="17">
        <f t="shared" si="32"/>
        <v>0.25</v>
      </c>
      <c r="N125" s="17">
        <f t="shared" si="32"/>
        <v>0.25</v>
      </c>
      <c r="O125" s="81">
        <f t="shared" ref="O125:O128" si="34">IF(F125&lt;-49,F125/1500,IF(F125&gt;99,F125/1500,0))</f>
        <v>0</v>
      </c>
      <c r="P125" s="36">
        <f>IF(D125&gt;21,VLOOKUP(D125,Barem!$T$1:$U$39,2,1),0)</f>
        <v>0</v>
      </c>
      <c r="Q125" s="32">
        <f>IF(D125&lt;1.609,0,IF(B125="F",VLOOKUP(G125,Barem!$X$2:$Z$13,2,1),VLOOKUP(G125,Barem!$X$14:$Z$25,2,1)))</f>
        <v>0</v>
      </c>
      <c r="R125" s="36">
        <f>VLOOKUP(A125,Participanti!A:C,3,0)</f>
        <v>0.5</v>
      </c>
      <c r="S125" s="29">
        <f t="shared" ref="S125:S128" si="35">H125*L125+I125*M125+J125*N125+O125+P125+Q125+R125</f>
        <v>3.25</v>
      </c>
      <c r="T125" s="79">
        <v>44010</v>
      </c>
      <c r="U125" s="16">
        <f>COUNTIFS(A:A,A125,C:C,C125)</f>
        <v>1</v>
      </c>
      <c r="V125" s="34">
        <f t="shared" ref="V125:V128" si="36">S125/D125</f>
        <v>0.16250000000000001</v>
      </c>
      <c r="W125" s="3" t="str">
        <f>VLOOKUP(A125,Data_echipe!A:O,15,0)</f>
        <v>Serioranistii</v>
      </c>
      <c r="X125" s="3">
        <f t="shared" si="20"/>
        <v>0</v>
      </c>
    </row>
    <row r="126" spans="1:24">
      <c r="A126" s="74" t="s">
        <v>53</v>
      </c>
      <c r="B126" s="24" t="str">
        <f>VLOOKUP(A126,Participanti!A:B,2,0)</f>
        <v>M</v>
      </c>
      <c r="C126" s="75">
        <v>4</v>
      </c>
      <c r="D126" s="76">
        <v>15.08</v>
      </c>
      <c r="E126" s="77">
        <v>5.0219907407407414E-2</v>
      </c>
      <c r="F126" s="78">
        <v>163</v>
      </c>
      <c r="G126" s="20">
        <f t="shared" si="33"/>
        <v>3.3302325866981044E-3</v>
      </c>
      <c r="H126" s="16">
        <f>IF(B126="F",IF(G126&gt;Barem!$AC$2,0,IF(B126="F",VLOOKUP(D126,Barem!$B$2:$C$11,2,1))),IF(G126&gt;Barem!$AC$3,0,VLOOKUP(D126,Barem!$B$12:$C$21,2,1)))</f>
        <v>3.5</v>
      </c>
      <c r="I126" s="16">
        <f>IF(H126=0,0,IF(B126="F",VLOOKUP(G126,Barem!$G$2:$H$11,2,1),VLOOKUP(G126,Barem!$G$12:$H$21,2,1)))</f>
        <v>3</v>
      </c>
      <c r="J126" s="75">
        <v>1</v>
      </c>
      <c r="K126" s="83" t="s">
        <v>182</v>
      </c>
      <c r="L126" s="17">
        <f t="shared" si="32"/>
        <v>0.5</v>
      </c>
      <c r="M126" s="17">
        <f t="shared" si="32"/>
        <v>0.25</v>
      </c>
      <c r="N126" s="17">
        <f t="shared" si="32"/>
        <v>0.25</v>
      </c>
      <c r="O126" s="81">
        <f t="shared" si="34"/>
        <v>0.10866666666666666</v>
      </c>
      <c r="P126" s="36">
        <f>IF(D126&gt;21,VLOOKUP(D126,Barem!$T$1:$U$39,2,1),0)</f>
        <v>0</v>
      </c>
      <c r="Q126" s="32">
        <f>IF(D126&lt;1.609,0,IF(B126="F",VLOOKUP(G126,Barem!$X$2:$Z$13,2,1),VLOOKUP(G126,Barem!$X$14:$Z$25,2,1)))</f>
        <v>0</v>
      </c>
      <c r="R126" s="36">
        <f>VLOOKUP(A126,Participanti!A:C,3,0)</f>
        <v>0</v>
      </c>
      <c r="S126" s="29">
        <f t="shared" si="35"/>
        <v>2.8586666666666667</v>
      </c>
      <c r="T126" s="79">
        <v>44010</v>
      </c>
      <c r="U126" s="16">
        <f>COUNTIFS(A:A,A126,C:C,C126)</f>
        <v>1</v>
      </c>
      <c r="V126" s="34">
        <f t="shared" si="36"/>
        <v>0.18956675508399645</v>
      </c>
      <c r="W126" s="3" t="str">
        <f>VLOOKUP(A126,Data_echipe!A:O,15,0)</f>
        <v>Tenchei</v>
      </c>
      <c r="X126" s="3">
        <f t="shared" si="20"/>
        <v>1</v>
      </c>
    </row>
    <row r="127" spans="1:24">
      <c r="A127" s="74" t="s">
        <v>62</v>
      </c>
      <c r="B127" s="24" t="str">
        <f>VLOOKUP(A127,Participanti!A:B,2,0)</f>
        <v>M</v>
      </c>
      <c r="C127" s="75">
        <v>4</v>
      </c>
      <c r="D127" s="76">
        <v>7.12</v>
      </c>
      <c r="E127" s="77">
        <v>3.6527777777777777E-2</v>
      </c>
      <c r="F127" s="78">
        <v>71</v>
      </c>
      <c r="G127" s="20">
        <f t="shared" si="33"/>
        <v>5.1303058676654177E-3</v>
      </c>
      <c r="H127" s="16">
        <f>IF(B127="F",IF(G127&gt;Barem!$AC$2,0,IF(B127="F",VLOOKUP(D127,Barem!$B$2:$C$11,2,1))),IF(G127&gt;Barem!$AC$3,0,VLOOKUP(D127,Barem!$B$12:$C$21,2,1)))</f>
        <v>2</v>
      </c>
      <c r="I127" s="16">
        <f>IF(H127=0,0,IF(B127="F",VLOOKUP(G127,Barem!$G$2:$H$11,2,1),VLOOKUP(G127,Barem!$G$12:$H$21,2,1)))</f>
        <v>1</v>
      </c>
      <c r="J127" s="75">
        <v>3.5</v>
      </c>
      <c r="K127" s="82" t="str">
        <f>VLOOKUP($C127,Barem!$L$2:$R$13,7,0)</f>
        <v>P</v>
      </c>
      <c r="L127" s="17">
        <f t="shared" si="32"/>
        <v>0.25</v>
      </c>
      <c r="M127" s="17">
        <f t="shared" si="32"/>
        <v>0.25</v>
      </c>
      <c r="N127" s="17">
        <f t="shared" si="32"/>
        <v>0.5</v>
      </c>
      <c r="O127" s="81">
        <f t="shared" si="34"/>
        <v>0</v>
      </c>
      <c r="P127" s="36">
        <f>IF(D127&gt;21,VLOOKUP(D127,Barem!$T$1:$U$39,2,1),0)</f>
        <v>0</v>
      </c>
      <c r="Q127" s="32">
        <f>IF(D127&lt;1.609,0,IF(B127="F",VLOOKUP(G127,Barem!$X$2:$Z$13,2,1),VLOOKUP(G127,Barem!$X$14:$Z$25,2,1)))</f>
        <v>0</v>
      </c>
      <c r="R127" s="36">
        <f>VLOOKUP(A127,Participanti!A:C,3,0)</f>
        <v>0</v>
      </c>
      <c r="S127" s="29">
        <f t="shared" si="35"/>
        <v>2.5</v>
      </c>
      <c r="T127" s="79">
        <v>44010</v>
      </c>
      <c r="U127" s="16">
        <f>COUNTIFS(A:A,A127,C:C,C127)</f>
        <v>1</v>
      </c>
      <c r="V127" s="34">
        <f t="shared" si="36"/>
        <v>0.35112359550561795</v>
      </c>
      <c r="W127" s="3" t="str">
        <f>VLOOKUP(A127,Data_echipe!A:O,15,0)</f>
        <v>Serioranistii</v>
      </c>
      <c r="X127" s="3">
        <f t="shared" si="20"/>
        <v>1</v>
      </c>
    </row>
    <row r="128" spans="1:24">
      <c r="A128" s="74" t="s">
        <v>52</v>
      </c>
      <c r="B128" s="24" t="str">
        <f>VLOOKUP(A128,Participanti!A:B,2,0)</f>
        <v>M</v>
      </c>
      <c r="C128" s="75">
        <v>4</v>
      </c>
      <c r="D128" s="76">
        <v>10.199999999999999</v>
      </c>
      <c r="E128" s="77">
        <v>2.8275462962962964E-2</v>
      </c>
      <c r="F128" s="78">
        <v>0</v>
      </c>
      <c r="G128" s="20">
        <f t="shared" si="33"/>
        <v>2.7721042120551929E-3</v>
      </c>
      <c r="H128" s="16">
        <f>IF(B128="F",IF(G128&gt;Barem!$AC$2,0,IF(B128="F",VLOOKUP(D128,Barem!$B$2:$C$11,2,1))),IF(G128&gt;Barem!$AC$3,0,VLOOKUP(D128,Barem!$B$12:$C$21,2,1)))</f>
        <v>2.5</v>
      </c>
      <c r="I128" s="16">
        <f>IF(H128=0,0,IF(B128="F",VLOOKUP(G128,Barem!$G$2:$H$11,2,1),VLOOKUP(G128,Barem!$G$12:$H$21,2,1)))</f>
        <v>5</v>
      </c>
      <c r="J128" s="75">
        <v>2.5</v>
      </c>
      <c r="K128" s="83" t="s">
        <v>183</v>
      </c>
      <c r="L128" s="17">
        <f t="shared" si="32"/>
        <v>0.25</v>
      </c>
      <c r="M128" s="17">
        <f t="shared" si="32"/>
        <v>0.5</v>
      </c>
      <c r="N128" s="17">
        <f t="shared" si="32"/>
        <v>0.25</v>
      </c>
      <c r="O128" s="81">
        <f t="shared" si="34"/>
        <v>0</v>
      </c>
      <c r="P128" s="36">
        <f>IF(D128&gt;21,VLOOKUP(D128,Barem!$T$1:$U$39,2,1),0)</f>
        <v>0</v>
      </c>
      <c r="Q128" s="32">
        <f>IF(D128&lt;1.609,0,IF(B128="F",VLOOKUP(G128,Barem!$X$2:$Z$13,2,1),VLOOKUP(G128,Barem!$X$14:$Z$25,2,1)))</f>
        <v>0.1</v>
      </c>
      <c r="R128" s="36">
        <f>VLOOKUP(A128,Participanti!A:C,3,0)</f>
        <v>0</v>
      </c>
      <c r="S128" s="29">
        <f t="shared" si="35"/>
        <v>3.85</v>
      </c>
      <c r="T128" s="79">
        <v>44010</v>
      </c>
      <c r="U128" s="16">
        <f>COUNTIFS(A:A,A128,C:C,C128)</f>
        <v>1</v>
      </c>
      <c r="V128" s="34">
        <f t="shared" si="36"/>
        <v>0.37745098039215691</v>
      </c>
      <c r="W128" s="3" t="str">
        <f>VLOOKUP(A128,Data_echipe!A:O,15,0)</f>
        <v xml:space="preserve"> Let it run</v>
      </c>
      <c r="X128" s="3">
        <f t="shared" si="20"/>
        <v>1</v>
      </c>
    </row>
    <row r="129" spans="1:24">
      <c r="A129" s="74" t="s">
        <v>114</v>
      </c>
      <c r="B129" s="24" t="str">
        <f>VLOOKUP(A129,Participanti!A:B,2,0)</f>
        <v>M</v>
      </c>
      <c r="C129" s="75">
        <v>4</v>
      </c>
      <c r="D129" s="76">
        <v>12.01</v>
      </c>
      <c r="E129" s="77">
        <v>4.1215277777777774E-2</v>
      </c>
      <c r="F129" s="78">
        <v>261</v>
      </c>
      <c r="G129" s="20">
        <f t="shared" ref="G129:G136" si="37">E129/D129</f>
        <v>3.4317466925710056E-3</v>
      </c>
      <c r="H129" s="16">
        <f>IF(B129="F",IF(G129&gt;Barem!$AC$2,0,IF(B129="F",VLOOKUP(D129,Barem!$B$2:$C$11,2,1))),IF(G129&gt;Barem!$AC$3,0,VLOOKUP(D129,Barem!$B$12:$C$21,2,1)))</f>
        <v>3</v>
      </c>
      <c r="I129" s="16">
        <f>IF(H129=0,0,IF(B129="F",VLOOKUP(G129,Barem!$G$2:$H$11,2,1),VLOOKUP(G129,Barem!$G$12:$H$21,2,1)))</f>
        <v>3</v>
      </c>
      <c r="J129" s="75">
        <v>2</v>
      </c>
      <c r="K129" s="82" t="str">
        <f>VLOOKUP($C129,Barem!$L$2:$R$13,7,0)</f>
        <v>P</v>
      </c>
      <c r="L129" s="17">
        <f t="shared" ref="L129:N145" si="38">IF($K129=L$1,50%,25%)</f>
        <v>0.25</v>
      </c>
      <c r="M129" s="17">
        <f t="shared" si="38"/>
        <v>0.25</v>
      </c>
      <c r="N129" s="17">
        <f t="shared" si="38"/>
        <v>0.5</v>
      </c>
      <c r="O129" s="81">
        <f t="shared" ref="O129:O136" si="39">IF(F129&lt;-49,F129/1500,IF(F129&gt;99,F129/1500,0))</f>
        <v>0.17399999999999999</v>
      </c>
      <c r="P129" s="36">
        <f>IF(D129&gt;21,VLOOKUP(D129,Barem!$T$1:$U$39,2,1),0)</f>
        <v>0</v>
      </c>
      <c r="Q129" s="32">
        <f>IF(D129&lt;1.609,0,IF(B129="F",VLOOKUP(G129,Barem!$X$2:$Z$13,2,1),VLOOKUP(G129,Barem!$X$14:$Z$25,2,1)))</f>
        <v>0</v>
      </c>
      <c r="R129" s="36">
        <f>VLOOKUP(A129,Participanti!A:C,3,0)</f>
        <v>0</v>
      </c>
      <c r="S129" s="29">
        <f t="shared" ref="S129:S136" si="40">H129*L129+I129*M129+J129*N129+O129+P129+Q129+R129</f>
        <v>2.6739999999999999</v>
      </c>
      <c r="T129" s="79">
        <v>44004</v>
      </c>
      <c r="U129" s="16">
        <f>COUNTIFS(A:A,A129,C:C,C129)</f>
        <v>1</v>
      </c>
      <c r="V129" s="34">
        <f t="shared" ref="V129:V136" si="41">S129/D129</f>
        <v>0.22264779350541217</v>
      </c>
      <c r="W129" s="3" t="str">
        <f>VLOOKUP(A129,Data_echipe!A:O,15,0)</f>
        <v>Serioranistii</v>
      </c>
      <c r="X129" s="3">
        <f t="shared" si="20"/>
        <v>1</v>
      </c>
    </row>
    <row r="130" spans="1:24">
      <c r="A130" s="74" t="s">
        <v>68</v>
      </c>
      <c r="B130" s="24" t="str">
        <f>VLOOKUP(A130,Participanti!A:B,2,0)</f>
        <v>M</v>
      </c>
      <c r="C130" s="75">
        <v>4</v>
      </c>
      <c r="D130" s="76">
        <v>12.84</v>
      </c>
      <c r="E130" s="77">
        <v>5.0821759259259254E-2</v>
      </c>
      <c r="F130" s="78">
        <v>133</v>
      </c>
      <c r="G130" s="20">
        <f t="shared" si="37"/>
        <v>3.9580809391946458E-3</v>
      </c>
      <c r="H130" s="16">
        <f>IF(B130="F",IF(G130&gt;Barem!$AC$2,0,IF(B130="F",VLOOKUP(D130,Barem!$B$2:$C$11,2,1))),IF(G130&gt;Barem!$AC$3,0,VLOOKUP(D130,Barem!$B$12:$C$21,2,1)))</f>
        <v>3</v>
      </c>
      <c r="I130" s="16">
        <f>IF(H130=0,0,IF(B130="F",VLOOKUP(G130,Barem!$G$2:$H$11,2,1),VLOOKUP(G130,Barem!$G$12:$H$21,2,1)))</f>
        <v>1.5</v>
      </c>
      <c r="J130" s="75">
        <v>4.5</v>
      </c>
      <c r="K130" s="82" t="str">
        <f>VLOOKUP($C130,Barem!$L$2:$R$13,7,0)</f>
        <v>P</v>
      </c>
      <c r="L130" s="17">
        <f t="shared" si="38"/>
        <v>0.25</v>
      </c>
      <c r="M130" s="17">
        <f t="shared" si="38"/>
        <v>0.25</v>
      </c>
      <c r="N130" s="17">
        <f t="shared" si="38"/>
        <v>0.5</v>
      </c>
      <c r="O130" s="81">
        <f t="shared" si="39"/>
        <v>8.8666666666666671E-2</v>
      </c>
      <c r="P130" s="36">
        <f>IF(D130&gt;21,VLOOKUP(D130,Barem!$T$1:$U$39,2,1),0)</f>
        <v>0</v>
      </c>
      <c r="Q130" s="32">
        <f>IF(D130&lt;1.609,0,IF(B130="F",VLOOKUP(G130,Barem!$X$2:$Z$13,2,1),VLOOKUP(G130,Barem!$X$14:$Z$25,2,1)))</f>
        <v>0</v>
      </c>
      <c r="R130" s="36">
        <f>VLOOKUP(A130,Participanti!A:C,3,0)</f>
        <v>0</v>
      </c>
      <c r="S130" s="29">
        <f t="shared" si="40"/>
        <v>3.4636666666666667</v>
      </c>
      <c r="T130" s="79">
        <v>44009</v>
      </c>
      <c r="U130" s="16">
        <f>COUNTIFS(A:A,A130,C:C,C130)</f>
        <v>1</v>
      </c>
      <c r="V130" s="34">
        <f t="shared" si="41"/>
        <v>0.26975597092419523</v>
      </c>
      <c r="W130" s="3" t="str">
        <f>VLOOKUP(A130,Data_echipe!A:O,15,0)</f>
        <v>Unicornii</v>
      </c>
      <c r="X130" s="3">
        <f t="shared" si="20"/>
        <v>1</v>
      </c>
    </row>
    <row r="131" spans="1:24">
      <c r="A131" s="74" t="s">
        <v>86</v>
      </c>
      <c r="B131" s="24" t="str">
        <f>VLOOKUP(A131,Participanti!A:B,2,0)</f>
        <v>M</v>
      </c>
      <c r="C131" s="75">
        <v>4</v>
      </c>
      <c r="D131" s="76">
        <v>85.4</v>
      </c>
      <c r="E131" s="77">
        <v>0.5693287037037037</v>
      </c>
      <c r="F131" s="78">
        <v>1437</v>
      </c>
      <c r="G131" s="20">
        <f t="shared" si="37"/>
        <v>6.6666124555468812E-3</v>
      </c>
      <c r="H131" s="16">
        <f>IF(B131="F",IF(G131&gt;Barem!$AC$2,0,IF(B131="F",VLOOKUP(D131,Barem!$B$2:$C$11,2,1))),IF(G131&gt;Barem!$AC$3,0,VLOOKUP(D131,Barem!$B$12:$C$21,2,1)))</f>
        <v>5</v>
      </c>
      <c r="I131" s="16">
        <f>IF(H131=0,0,IF(B131="F",VLOOKUP(G131,Barem!$G$2:$H$11,2,1),VLOOKUP(G131,Barem!$G$12:$H$21,2,1)))</f>
        <v>0</v>
      </c>
      <c r="J131" s="75">
        <v>4.5</v>
      </c>
      <c r="K131" s="83" t="s">
        <v>182</v>
      </c>
      <c r="L131" s="17">
        <f t="shared" si="38"/>
        <v>0.5</v>
      </c>
      <c r="M131" s="17">
        <f t="shared" si="38"/>
        <v>0.25</v>
      </c>
      <c r="N131" s="17">
        <f t="shared" si="38"/>
        <v>0.25</v>
      </c>
      <c r="O131" s="81">
        <f t="shared" si="39"/>
        <v>0.95799999999999996</v>
      </c>
      <c r="P131" s="36">
        <f>IF(D131&gt;21,VLOOKUP(D131,Barem!$T$1:$U$39,2,1),0)</f>
        <v>1.2</v>
      </c>
      <c r="Q131" s="32">
        <f>IF(D131&lt;1.609,0,IF(B131="F",VLOOKUP(G131,Barem!$X$2:$Z$13,2,1),VLOOKUP(G131,Barem!$X$14:$Z$25,2,1)))</f>
        <v>0</v>
      </c>
      <c r="R131" s="36">
        <f>VLOOKUP(A131,Participanti!A:C,3,0)</f>
        <v>0</v>
      </c>
      <c r="S131" s="29">
        <f t="shared" si="40"/>
        <v>5.7830000000000004</v>
      </c>
      <c r="T131" s="79">
        <v>44009</v>
      </c>
      <c r="U131" s="16">
        <f>COUNTIFS(A:A,A131,C:C,C131)</f>
        <v>1</v>
      </c>
      <c r="V131" s="34">
        <f t="shared" si="41"/>
        <v>6.7716627634660423E-2</v>
      </c>
      <c r="W131" s="3" t="str">
        <f>VLOOKUP(A131,Data_echipe!A:O,15,0)</f>
        <v>Unicornii</v>
      </c>
      <c r="X131" s="3">
        <f t="shared" ref="X131:X194" si="42">IF(I131&gt;0,1,0)</f>
        <v>0</v>
      </c>
    </row>
    <row r="132" spans="1:24">
      <c r="A132" s="74" t="s">
        <v>172</v>
      </c>
      <c r="B132" s="24" t="str">
        <f>VLOOKUP(A132,Participanti!A:B,2,0)</f>
        <v>F</v>
      </c>
      <c r="C132" s="75">
        <v>4</v>
      </c>
      <c r="D132" s="76">
        <v>30.02</v>
      </c>
      <c r="E132" s="77">
        <v>0.12277777777777778</v>
      </c>
      <c r="F132" s="78">
        <v>4</v>
      </c>
      <c r="G132" s="20">
        <f t="shared" si="37"/>
        <v>4.0898660152490929E-3</v>
      </c>
      <c r="H132" s="16">
        <f>IF(B132="F",IF(G132&gt;Barem!$AC$2,0,IF(B132="F",VLOOKUP(D132,Barem!$B$2:$C$11,2,1))),IF(G132&gt;Barem!$AC$3,0,VLOOKUP(D132,Barem!$B$12:$C$21,2,1)))</f>
        <v>5</v>
      </c>
      <c r="I132" s="16">
        <f>IF(H132=0,0,IF(B132="F",VLOOKUP(G132,Barem!$G$2:$H$11,2,1),VLOOKUP(G132,Barem!$G$12:$H$21,2,1)))</f>
        <v>2</v>
      </c>
      <c r="J132" s="75">
        <v>3</v>
      </c>
      <c r="K132" s="82" t="str">
        <f>VLOOKUP($C132,Barem!$L$2:$R$13,7,0)</f>
        <v>P</v>
      </c>
      <c r="L132" s="17">
        <f t="shared" si="38"/>
        <v>0.25</v>
      </c>
      <c r="M132" s="17">
        <f t="shared" si="38"/>
        <v>0.25</v>
      </c>
      <c r="N132" s="17">
        <f t="shared" si="38"/>
        <v>0.5</v>
      </c>
      <c r="O132" s="81">
        <f t="shared" si="39"/>
        <v>0</v>
      </c>
      <c r="P132" s="36">
        <f>IF(D132&gt;21,VLOOKUP(D132,Barem!$T$1:$U$39,2,1),0)</f>
        <v>0.1</v>
      </c>
      <c r="Q132" s="32">
        <f>IF(D132&lt;1.609,0,IF(B132="F",VLOOKUP(G132,Barem!$X$2:$Z$13,2,1),VLOOKUP(G132,Barem!$X$14:$Z$25,2,1)))</f>
        <v>0</v>
      </c>
      <c r="R132" s="36">
        <f>VLOOKUP(A132,Participanti!A:C,3,0)</f>
        <v>0</v>
      </c>
      <c r="S132" s="29">
        <f t="shared" si="40"/>
        <v>3.35</v>
      </c>
      <c r="T132" s="79">
        <v>44010</v>
      </c>
      <c r="U132" s="16">
        <f>COUNTIFS(A:A,A132,C:C,C132)</f>
        <v>1</v>
      </c>
      <c r="V132" s="34">
        <f t="shared" si="41"/>
        <v>0.11159227181878748</v>
      </c>
      <c r="W132" s="3" t="str">
        <f>VLOOKUP(A132,Data_echipe!A:O,15,0)</f>
        <v>Unicornii</v>
      </c>
      <c r="X132" s="3">
        <f t="shared" si="42"/>
        <v>1</v>
      </c>
    </row>
    <row r="133" spans="1:24">
      <c r="A133" s="74" t="s">
        <v>54</v>
      </c>
      <c r="B133" s="24" t="str">
        <f>VLOOKUP(A133,Participanti!A:B,2,0)</f>
        <v>M</v>
      </c>
      <c r="C133" s="75">
        <v>4</v>
      </c>
      <c r="D133" s="76">
        <v>11.81</v>
      </c>
      <c r="E133" s="77">
        <v>4.5011574074074072E-2</v>
      </c>
      <c r="F133" s="78">
        <v>168</v>
      </c>
      <c r="G133" s="20">
        <f t="shared" si="37"/>
        <v>3.811310251826763E-3</v>
      </c>
      <c r="H133" s="16">
        <f>IF(B133="F",IF(G133&gt;Barem!$AC$2,0,IF(B133="F",VLOOKUP(D133,Barem!$B$2:$C$11,2,1))),IF(G133&gt;Barem!$AC$3,0,VLOOKUP(D133,Barem!$B$12:$C$21,2,1)))</f>
        <v>2.5</v>
      </c>
      <c r="I133" s="16">
        <f>IF(H133=0,0,IF(B133="F",VLOOKUP(G133,Barem!$G$2:$H$11,2,1),VLOOKUP(G133,Barem!$G$12:$H$21,2,1)))</f>
        <v>2</v>
      </c>
      <c r="J133" s="75">
        <v>3</v>
      </c>
      <c r="K133" s="83" t="s">
        <v>183</v>
      </c>
      <c r="L133" s="17">
        <f t="shared" si="38"/>
        <v>0.25</v>
      </c>
      <c r="M133" s="17">
        <f t="shared" si="38"/>
        <v>0.5</v>
      </c>
      <c r="N133" s="17">
        <f t="shared" si="38"/>
        <v>0.25</v>
      </c>
      <c r="O133" s="81">
        <f t="shared" si="39"/>
        <v>0.112</v>
      </c>
      <c r="P133" s="36">
        <f>IF(D133&gt;21,VLOOKUP(D133,Barem!$T$1:$U$39,2,1),0)</f>
        <v>0</v>
      </c>
      <c r="Q133" s="32">
        <f>IF(D133&lt;1.609,0,IF(B133="F",VLOOKUP(G133,Barem!$X$2:$Z$13,2,1),VLOOKUP(G133,Barem!$X$14:$Z$25,2,1)))</f>
        <v>0</v>
      </c>
      <c r="R133" s="36">
        <f>VLOOKUP(A133,Participanti!A:C,3,0)</f>
        <v>0.5</v>
      </c>
      <c r="S133" s="29">
        <f t="shared" si="40"/>
        <v>2.9870000000000001</v>
      </c>
      <c r="T133" s="79">
        <v>44006</v>
      </c>
      <c r="U133" s="16">
        <f>COUNTIFS(A:A,A133,C:C,C133)</f>
        <v>1</v>
      </c>
      <c r="V133" s="34">
        <f t="shared" si="41"/>
        <v>0.2529212531752752</v>
      </c>
      <c r="W133" s="3" t="str">
        <f>VLOOKUP(A133,Data_echipe!A:O,15,0)</f>
        <v>Serioranistii</v>
      </c>
      <c r="X133" s="3">
        <f t="shared" si="42"/>
        <v>1</v>
      </c>
    </row>
    <row r="134" spans="1:24">
      <c r="A134" s="74" t="s">
        <v>201</v>
      </c>
      <c r="B134" s="24" t="str">
        <f>VLOOKUP(A134,Participanti!A:B,2,0)</f>
        <v>F</v>
      </c>
      <c r="C134" s="75">
        <v>4</v>
      </c>
      <c r="D134" s="76">
        <v>14.01</v>
      </c>
      <c r="E134" s="77">
        <v>7.8240740740740736E-2</v>
      </c>
      <c r="F134" s="78">
        <v>387</v>
      </c>
      <c r="G134" s="20">
        <f t="shared" si="37"/>
        <v>5.584635313400481E-3</v>
      </c>
      <c r="H134" s="16">
        <f>IF(B134="F",IF(G134&gt;Barem!$AC$2,0,IF(B134="F",VLOOKUP(D134,Barem!$B$2:$C$11,2,1))),IF(G134&gt;Barem!$AC$3,0,VLOOKUP(D134,Barem!$B$12:$C$21,2,1)))</f>
        <v>3.5</v>
      </c>
      <c r="I134" s="16">
        <f>IF(H134=0,0,IF(B134="F",VLOOKUP(G134,Barem!$G$2:$H$11,2,1),VLOOKUP(G134,Barem!$G$12:$H$21,2,1)))</f>
        <v>1</v>
      </c>
      <c r="J134" s="75">
        <v>4</v>
      </c>
      <c r="K134" s="82" t="str">
        <f>VLOOKUP($C134,Barem!$L$2:$R$13,7,0)</f>
        <v>P</v>
      </c>
      <c r="L134" s="17">
        <f t="shared" si="38"/>
        <v>0.25</v>
      </c>
      <c r="M134" s="17">
        <f t="shared" si="38"/>
        <v>0.25</v>
      </c>
      <c r="N134" s="17">
        <f t="shared" si="38"/>
        <v>0.5</v>
      </c>
      <c r="O134" s="81">
        <f t="shared" si="39"/>
        <v>0.25800000000000001</v>
      </c>
      <c r="P134" s="36">
        <f>IF(D134&gt;21,VLOOKUP(D134,Barem!$T$1:$U$39,2,1),0)</f>
        <v>0</v>
      </c>
      <c r="Q134" s="32">
        <f>IF(D134&lt;1.609,0,IF(B134="F",VLOOKUP(G134,Barem!$X$2:$Z$13,2,1),VLOOKUP(G134,Barem!$X$14:$Z$25,2,1)))</f>
        <v>0</v>
      </c>
      <c r="R134" s="36">
        <f>VLOOKUP(A134,Participanti!A:C,3,0)</f>
        <v>0</v>
      </c>
      <c r="S134" s="29">
        <f t="shared" si="40"/>
        <v>3.383</v>
      </c>
      <c r="T134" s="79">
        <v>44009</v>
      </c>
      <c r="U134" s="16">
        <f>COUNTIFS(A:A,A134,C:C,C134)</f>
        <v>1</v>
      </c>
      <c r="V134" s="34">
        <f t="shared" si="41"/>
        <v>0.24147037830121343</v>
      </c>
      <c r="W134" s="3" t="str">
        <f>VLOOKUP(A134,Data_echipe!A:O,15,0)</f>
        <v>X Æ A-12</v>
      </c>
      <c r="X134" s="3">
        <f t="shared" si="42"/>
        <v>1</v>
      </c>
    </row>
    <row r="135" spans="1:24">
      <c r="A135" s="74" t="s">
        <v>202</v>
      </c>
      <c r="B135" s="24" t="str">
        <f>VLOOKUP(A135,Participanti!A:B,2,0)</f>
        <v>M</v>
      </c>
      <c r="C135" s="75">
        <v>4</v>
      </c>
      <c r="D135" s="76">
        <v>13.02</v>
      </c>
      <c r="E135" s="77">
        <v>5.2013888888888887E-2</v>
      </c>
      <c r="F135" s="78">
        <v>99</v>
      </c>
      <c r="G135" s="20">
        <f t="shared" si="37"/>
        <v>3.9949223416965354E-3</v>
      </c>
      <c r="H135" s="16">
        <f>IF(B135="F",IF(G135&gt;Barem!$AC$2,0,IF(B135="F",VLOOKUP(D135,Barem!$B$2:$C$11,2,1))),IF(G135&gt;Barem!$AC$3,0,VLOOKUP(D135,Barem!$B$12:$C$21,2,1)))</f>
        <v>3</v>
      </c>
      <c r="I135" s="16">
        <f>IF(H135=0,0,IF(B135="F",VLOOKUP(G135,Barem!$G$2:$H$11,2,1),VLOOKUP(G135,Barem!$G$12:$H$21,2,1)))</f>
        <v>1.5</v>
      </c>
      <c r="J135" s="75">
        <v>4</v>
      </c>
      <c r="K135" s="82" t="str">
        <f>VLOOKUP($C135,Barem!$L$2:$R$13,7,0)</f>
        <v>P</v>
      </c>
      <c r="L135" s="17">
        <f t="shared" si="38"/>
        <v>0.25</v>
      </c>
      <c r="M135" s="17">
        <f t="shared" si="38"/>
        <v>0.25</v>
      </c>
      <c r="N135" s="17">
        <f t="shared" si="38"/>
        <v>0.5</v>
      </c>
      <c r="O135" s="81">
        <f t="shared" si="39"/>
        <v>0</v>
      </c>
      <c r="P135" s="36">
        <f>IF(D135&gt;21,VLOOKUP(D135,Barem!$T$1:$U$39,2,1),0)</f>
        <v>0</v>
      </c>
      <c r="Q135" s="32">
        <f>IF(D135&lt;1.609,0,IF(B135="F",VLOOKUP(G135,Barem!$X$2:$Z$13,2,1),VLOOKUP(G135,Barem!$X$14:$Z$25,2,1)))</f>
        <v>0</v>
      </c>
      <c r="R135" s="36">
        <f>VLOOKUP(A135,Participanti!A:C,3,0)</f>
        <v>0</v>
      </c>
      <c r="S135" s="29">
        <f t="shared" si="40"/>
        <v>3.125</v>
      </c>
      <c r="T135" s="79">
        <v>44008</v>
      </c>
      <c r="U135" s="16">
        <f>COUNTIFS(A:A,A135,C:C,C135)</f>
        <v>1</v>
      </c>
      <c r="V135" s="34">
        <f t="shared" si="41"/>
        <v>0.24001536098310292</v>
      </c>
      <c r="W135" s="3" t="str">
        <f>VLOOKUP(A135,Data_echipe!A:O,15,0)</f>
        <v>X Æ A-12</v>
      </c>
      <c r="X135" s="3">
        <f t="shared" si="42"/>
        <v>1</v>
      </c>
    </row>
    <row r="136" spans="1:24">
      <c r="A136" s="74" t="s">
        <v>171</v>
      </c>
      <c r="B136" s="24" t="str">
        <f>VLOOKUP(A136,Participanti!A:B,2,0)</f>
        <v>M</v>
      </c>
      <c r="C136" s="75">
        <v>4</v>
      </c>
      <c r="D136" s="76">
        <v>9.01</v>
      </c>
      <c r="E136" s="77">
        <v>2.9131944444444446E-2</v>
      </c>
      <c r="F136" s="78">
        <v>0</v>
      </c>
      <c r="G136" s="20">
        <f t="shared" si="37"/>
        <v>3.2332901714144779E-3</v>
      </c>
      <c r="H136" s="16">
        <f>IF(B136="F",IF(G136&gt;Barem!$AC$2,0,IF(B136="F",VLOOKUP(D136,Barem!$B$2:$C$11,2,1))),IF(G136&gt;Barem!$AC$3,0,VLOOKUP(D136,Barem!$B$12:$C$21,2,1)))</f>
        <v>2</v>
      </c>
      <c r="I136" s="16">
        <f>IF(H136=0,0,IF(B136="F",VLOOKUP(G136,Barem!$G$2:$H$11,2,1),VLOOKUP(G136,Barem!$G$12:$H$21,2,1)))</f>
        <v>3.5</v>
      </c>
      <c r="J136" s="75">
        <v>2.5</v>
      </c>
      <c r="K136" s="83" t="s">
        <v>183</v>
      </c>
      <c r="L136" s="17">
        <f t="shared" si="38"/>
        <v>0.25</v>
      </c>
      <c r="M136" s="17">
        <f t="shared" si="38"/>
        <v>0.5</v>
      </c>
      <c r="N136" s="17">
        <f t="shared" si="38"/>
        <v>0.25</v>
      </c>
      <c r="O136" s="81">
        <f t="shared" si="39"/>
        <v>0</v>
      </c>
      <c r="P136" s="36">
        <f>IF(D136&gt;21,VLOOKUP(D136,Barem!$T$1:$U$39,2,1),0)</f>
        <v>0</v>
      </c>
      <c r="Q136" s="32">
        <f>IF(D136&lt;1.609,0,IF(B136="F",VLOOKUP(G136,Barem!$X$2:$Z$13,2,1),VLOOKUP(G136,Barem!$X$14:$Z$25,2,1)))</f>
        <v>0</v>
      </c>
      <c r="R136" s="36">
        <f>VLOOKUP(A136,Participanti!A:C,3,0)</f>
        <v>0</v>
      </c>
      <c r="S136" s="29">
        <f t="shared" si="40"/>
        <v>2.875</v>
      </c>
      <c r="T136" s="79">
        <v>44007</v>
      </c>
      <c r="U136" s="16">
        <f>COUNTIFS(A:A,A136,C:C,C136)</f>
        <v>1</v>
      </c>
      <c r="V136" s="34">
        <f t="shared" si="41"/>
        <v>0.31908990011098781</v>
      </c>
      <c r="W136" s="3" t="str">
        <f>VLOOKUP(A136,Data_echipe!A:O,15,0)</f>
        <v>X Æ A-12</v>
      </c>
      <c r="X136" s="3">
        <f t="shared" si="42"/>
        <v>1</v>
      </c>
    </row>
    <row r="137" spans="1:24">
      <c r="A137" s="74" t="s">
        <v>60</v>
      </c>
      <c r="B137" s="24" t="str">
        <f>VLOOKUP(A137,Participanti!A:B,2,0)</f>
        <v>M</v>
      </c>
      <c r="C137" s="75">
        <v>4</v>
      </c>
      <c r="D137" s="76">
        <v>21.3</v>
      </c>
      <c r="E137" s="77">
        <v>7.8518518518518529E-2</v>
      </c>
      <c r="F137" s="78">
        <v>49</v>
      </c>
      <c r="G137" s="20">
        <f t="shared" ref="G137:G147" si="43">E137/D137</f>
        <v>3.6863154234046255E-3</v>
      </c>
      <c r="H137" s="16">
        <f>IF(B137="F",IF(G137&gt;Barem!$AC$2,0,IF(B137="F",VLOOKUP(D137,Barem!$B$2:$C$11,2,1))),IF(G137&gt;Barem!$AC$3,0,VLOOKUP(D137,Barem!$B$12:$C$21,2,1)))</f>
        <v>5</v>
      </c>
      <c r="I137" s="16">
        <f>IF(H137=0,0,IF(B137="F",VLOOKUP(G137,Barem!$G$2:$H$11,2,1),VLOOKUP(G137,Barem!$G$12:$H$21,2,1)))</f>
        <v>2</v>
      </c>
      <c r="J137" s="75">
        <v>4.5</v>
      </c>
      <c r="K137" s="82" t="str">
        <f>VLOOKUP($C137,Barem!$L$2:$R$13,7,0)</f>
        <v>P</v>
      </c>
      <c r="L137" s="17">
        <f t="shared" si="38"/>
        <v>0.25</v>
      </c>
      <c r="M137" s="17">
        <f t="shared" si="38"/>
        <v>0.25</v>
      </c>
      <c r="N137" s="17">
        <f t="shared" si="38"/>
        <v>0.5</v>
      </c>
      <c r="O137" s="81">
        <f t="shared" ref="O137:O147" si="44">IF(F137&lt;-49,F137/1500,IF(F137&gt;99,F137/1500,0))</f>
        <v>0</v>
      </c>
      <c r="P137" s="36">
        <f>IF(D137&gt;21,VLOOKUP(D137,Barem!$T$1:$U$39,2,1),0)</f>
        <v>0</v>
      </c>
      <c r="Q137" s="32">
        <f>IF(D137&lt;1.609,0,IF(B137="F",VLOOKUP(G137,Barem!$X$2:$Z$13,2,1),VLOOKUP(G137,Barem!$X$14:$Z$25,2,1)))</f>
        <v>0</v>
      </c>
      <c r="R137" s="36">
        <f>VLOOKUP(A137,Participanti!A:C,3,0)</f>
        <v>0</v>
      </c>
      <c r="S137" s="29">
        <f t="shared" ref="S137:S147" si="45">H137*L137+I137*M137+J137*N137+O137+P137+Q137+R137</f>
        <v>4</v>
      </c>
      <c r="T137" s="79">
        <v>44006</v>
      </c>
      <c r="U137" s="16">
        <f>COUNTIFS(A:A,A137,C:C,C137)</f>
        <v>1</v>
      </c>
      <c r="V137" s="34">
        <f t="shared" ref="V137:V147" si="46">S137/D137</f>
        <v>0.18779342723004694</v>
      </c>
      <c r="W137" s="3" t="str">
        <f>VLOOKUP(A137,Data_echipe!A:O,15,0)</f>
        <v>Tenchei</v>
      </c>
      <c r="X137" s="3">
        <f t="shared" si="42"/>
        <v>1</v>
      </c>
    </row>
    <row r="138" spans="1:24">
      <c r="A138" s="74" t="s">
        <v>200</v>
      </c>
      <c r="B138" s="24" t="str">
        <f>VLOOKUP(A138,Participanti!A:B,2,0)</f>
        <v>M</v>
      </c>
      <c r="C138" s="75">
        <v>4</v>
      </c>
      <c r="D138" s="76">
        <v>21.05</v>
      </c>
      <c r="E138" s="77">
        <v>7.2361111111111112E-2</v>
      </c>
      <c r="F138" s="78">
        <v>0</v>
      </c>
      <c r="G138" s="20">
        <f t="shared" si="43"/>
        <v>3.4375824755872261E-3</v>
      </c>
      <c r="H138" s="16">
        <f>IF(B138="F",IF(G138&gt;Barem!$AC$2,0,IF(B138="F",VLOOKUP(D138,Barem!$B$2:$C$11,2,1))),IF(G138&gt;Barem!$AC$3,0,VLOOKUP(D138,Barem!$B$12:$C$21,2,1)))</f>
        <v>5</v>
      </c>
      <c r="I138" s="16">
        <f>IF(H138=0,0,IF(B138="F",VLOOKUP(G138,Barem!$G$2:$H$11,2,1),VLOOKUP(G138,Barem!$G$12:$H$21,2,1)))</f>
        <v>3</v>
      </c>
      <c r="J138" s="75">
        <v>3.5</v>
      </c>
      <c r="K138" s="82" t="str">
        <f>VLOOKUP($C138,Barem!$L$2:$R$13,7,0)</f>
        <v>P</v>
      </c>
      <c r="L138" s="17">
        <f t="shared" si="38"/>
        <v>0.25</v>
      </c>
      <c r="M138" s="17">
        <f t="shared" si="38"/>
        <v>0.25</v>
      </c>
      <c r="N138" s="17">
        <f t="shared" si="38"/>
        <v>0.5</v>
      </c>
      <c r="O138" s="81">
        <f t="shared" si="44"/>
        <v>0</v>
      </c>
      <c r="P138" s="36">
        <f>IF(D138&gt;21,VLOOKUP(D138,Barem!$T$1:$U$39,2,1),0)</f>
        <v>0</v>
      </c>
      <c r="Q138" s="32">
        <f>IF(D138&lt;1.609,0,IF(B138="F",VLOOKUP(G138,Barem!$X$2:$Z$13,2,1),VLOOKUP(G138,Barem!$X$14:$Z$25,2,1)))</f>
        <v>0</v>
      </c>
      <c r="R138" s="36">
        <f>VLOOKUP(A138,Participanti!A:C,3,0)</f>
        <v>0</v>
      </c>
      <c r="S138" s="29">
        <f t="shared" si="45"/>
        <v>3.75</v>
      </c>
      <c r="T138" s="79">
        <v>44009</v>
      </c>
      <c r="U138" s="16">
        <f>COUNTIFS(A:A,A138,C:C,C138)</f>
        <v>1</v>
      </c>
      <c r="V138" s="34">
        <f t="shared" si="46"/>
        <v>0.17814726840855105</v>
      </c>
      <c r="W138" s="3" t="str">
        <f>VLOOKUP(A138,Data_echipe!A:O,15,0)</f>
        <v xml:space="preserve"> Let it run</v>
      </c>
      <c r="X138" s="3">
        <f t="shared" si="42"/>
        <v>1</v>
      </c>
    </row>
    <row r="139" spans="1:24">
      <c r="A139" s="74" t="s">
        <v>47</v>
      </c>
      <c r="B139" s="24" t="str">
        <f>VLOOKUP(A139,Participanti!A:B,2,0)</f>
        <v>M</v>
      </c>
      <c r="C139" s="75">
        <v>4</v>
      </c>
      <c r="D139" s="76">
        <v>16.739999999999998</v>
      </c>
      <c r="E139" s="77">
        <v>6.356481481481481E-2</v>
      </c>
      <c r="F139" s="78">
        <v>25</v>
      </c>
      <c r="G139" s="20">
        <f t="shared" si="43"/>
        <v>3.7971812912075756E-3</v>
      </c>
      <c r="H139" s="16">
        <f>IF(B139="F",IF(G139&gt;Barem!$AC$2,0,IF(B139="F",VLOOKUP(D139,Barem!$B$2:$C$11,2,1))),IF(G139&gt;Barem!$AC$3,0,VLOOKUP(D139,Barem!$B$12:$C$21,2,1)))</f>
        <v>3.5</v>
      </c>
      <c r="I139" s="16">
        <f>IF(H139=0,0,IF(B139="F",VLOOKUP(G139,Barem!$G$2:$H$11,2,1),VLOOKUP(G139,Barem!$G$12:$H$21,2,1)))</f>
        <v>2</v>
      </c>
      <c r="J139" s="75">
        <v>4</v>
      </c>
      <c r="K139" s="82" t="str">
        <f>VLOOKUP($C139,Barem!$L$2:$R$13,7,0)</f>
        <v>P</v>
      </c>
      <c r="L139" s="17">
        <f t="shared" si="38"/>
        <v>0.25</v>
      </c>
      <c r="M139" s="17">
        <f t="shared" si="38"/>
        <v>0.25</v>
      </c>
      <c r="N139" s="17">
        <f t="shared" si="38"/>
        <v>0.5</v>
      </c>
      <c r="O139" s="81">
        <f t="shared" si="44"/>
        <v>0</v>
      </c>
      <c r="P139" s="36">
        <f>IF(D139&gt;21,VLOOKUP(D139,Barem!$T$1:$U$39,2,1),0)</f>
        <v>0</v>
      </c>
      <c r="Q139" s="32">
        <f>IF(D139&lt;1.609,0,IF(B139="F",VLOOKUP(G139,Barem!$X$2:$Z$13,2,1),VLOOKUP(G139,Barem!$X$14:$Z$25,2,1)))</f>
        <v>0</v>
      </c>
      <c r="R139" s="36">
        <f>VLOOKUP(A139,Participanti!A:C,3,0)</f>
        <v>0</v>
      </c>
      <c r="S139" s="29">
        <f t="shared" si="45"/>
        <v>3.375</v>
      </c>
      <c r="T139" s="79">
        <v>44007</v>
      </c>
      <c r="U139" s="16">
        <f>COUNTIFS(A:A,A139,C:C,C139)</f>
        <v>1</v>
      </c>
      <c r="V139" s="34">
        <f t="shared" si="46"/>
        <v>0.20161290322580647</v>
      </c>
      <c r="W139" s="3" t="str">
        <f>VLOOKUP(A139,Data_echipe!A:O,15,0)</f>
        <v>X Æ A-12</v>
      </c>
      <c r="X139" s="3">
        <f t="shared" si="42"/>
        <v>1</v>
      </c>
    </row>
    <row r="140" spans="1:24">
      <c r="A140" s="74" t="s">
        <v>205</v>
      </c>
      <c r="B140" s="24" t="str">
        <f>VLOOKUP(A140,Participanti!A:B,2,0)</f>
        <v>M</v>
      </c>
      <c r="C140" s="75">
        <v>4</v>
      </c>
      <c r="D140" s="76">
        <v>22.53</v>
      </c>
      <c r="E140" s="77">
        <v>8.2777777777777783E-2</v>
      </c>
      <c r="F140" s="78">
        <v>681</v>
      </c>
      <c r="G140" s="20">
        <f t="shared" si="43"/>
        <v>3.6741135276421562E-3</v>
      </c>
      <c r="H140" s="16">
        <f>IF(B140="F",IF(G140&gt;Barem!$AC$2,0,IF(B140="F",VLOOKUP(D140,Barem!$B$2:$C$11,2,1))),IF(G140&gt;Barem!$AC$3,0,VLOOKUP(D140,Barem!$B$12:$C$21,2,1)))</f>
        <v>5</v>
      </c>
      <c r="I140" s="16">
        <f>IF(H140=0,0,IF(B140="F",VLOOKUP(G140,Barem!$G$2:$H$11,2,1),VLOOKUP(G140,Barem!$G$12:$H$21,2,1)))</f>
        <v>2</v>
      </c>
      <c r="J140" s="75">
        <v>2</v>
      </c>
      <c r="K140" s="83" t="s">
        <v>182</v>
      </c>
      <c r="L140" s="17">
        <f t="shared" si="38"/>
        <v>0.5</v>
      </c>
      <c r="M140" s="17">
        <f t="shared" si="38"/>
        <v>0.25</v>
      </c>
      <c r="N140" s="17">
        <f t="shared" si="38"/>
        <v>0.25</v>
      </c>
      <c r="O140" s="81">
        <f t="shared" si="44"/>
        <v>0.45400000000000001</v>
      </c>
      <c r="P140" s="36">
        <f>IF(D140&gt;21,VLOOKUP(D140,Barem!$T$1:$U$39,2,1),0)</f>
        <v>0</v>
      </c>
      <c r="Q140" s="32">
        <f>IF(D140&lt;1.609,0,IF(B140="F",VLOOKUP(G140,Barem!$X$2:$Z$13,2,1),VLOOKUP(G140,Barem!$X$14:$Z$25,2,1)))</f>
        <v>0</v>
      </c>
      <c r="R140" s="36">
        <f>VLOOKUP(A140,Participanti!A:C,3,0)</f>
        <v>0</v>
      </c>
      <c r="S140" s="29">
        <f t="shared" si="45"/>
        <v>3.9540000000000002</v>
      </c>
      <c r="T140" s="79">
        <v>44010</v>
      </c>
      <c r="U140" s="16">
        <f>COUNTIFS(A:A,A140,C:C,C140)</f>
        <v>1</v>
      </c>
      <c r="V140" s="34">
        <f t="shared" si="46"/>
        <v>0.17549933422103861</v>
      </c>
      <c r="W140" s="3" t="str">
        <f>VLOOKUP(A140,Data_echipe!A:O,15,0)</f>
        <v>Serioranistii</v>
      </c>
      <c r="X140" s="3">
        <f t="shared" si="42"/>
        <v>1</v>
      </c>
    </row>
    <row r="141" spans="1:24">
      <c r="A141" s="74" t="s">
        <v>203</v>
      </c>
      <c r="B141" s="24" t="str">
        <f>VLOOKUP(A141,Participanti!A:B,2,0)</f>
        <v>M</v>
      </c>
      <c r="C141" s="75">
        <v>4</v>
      </c>
      <c r="D141" s="76">
        <v>12.17</v>
      </c>
      <c r="E141" s="77">
        <v>4.2407407407407401E-2</v>
      </c>
      <c r="F141" s="78">
        <v>21</v>
      </c>
      <c r="G141" s="20">
        <f t="shared" si="43"/>
        <v>3.4845856538543466E-3</v>
      </c>
      <c r="H141" s="16">
        <f>IF(B141="F",IF(G141&gt;Barem!$AC$2,0,IF(B141="F",VLOOKUP(D141,Barem!$B$2:$C$11,2,1))),IF(G141&gt;Barem!$AC$3,0,VLOOKUP(D141,Barem!$B$12:$C$21,2,1)))</f>
        <v>3</v>
      </c>
      <c r="I141" s="16">
        <f>IF(H141=0,0,IF(B141="F",VLOOKUP(G141,Barem!$G$2:$H$11,2,1),VLOOKUP(G141,Barem!$G$12:$H$21,2,1)))</f>
        <v>2.5</v>
      </c>
      <c r="J141" s="75">
        <v>1.5</v>
      </c>
      <c r="K141" s="82" t="str">
        <f>VLOOKUP($C141,Barem!$L$2:$R$13,7,0)</f>
        <v>P</v>
      </c>
      <c r="L141" s="17">
        <f t="shared" si="38"/>
        <v>0.25</v>
      </c>
      <c r="M141" s="17">
        <f t="shared" si="38"/>
        <v>0.25</v>
      </c>
      <c r="N141" s="17">
        <f t="shared" si="38"/>
        <v>0.5</v>
      </c>
      <c r="O141" s="81">
        <f t="shared" si="44"/>
        <v>0</v>
      </c>
      <c r="P141" s="36">
        <f>IF(D141&gt;21,VLOOKUP(D141,Barem!$T$1:$U$39,2,1),0)</f>
        <v>0</v>
      </c>
      <c r="Q141" s="32">
        <f>IF(D141&lt;1.609,0,IF(B141="F",VLOOKUP(G141,Barem!$X$2:$Z$13,2,1),VLOOKUP(G141,Barem!$X$14:$Z$25,2,1)))</f>
        <v>0</v>
      </c>
      <c r="R141" s="36">
        <f>VLOOKUP(A141,Participanti!A:C,3,0)</f>
        <v>0</v>
      </c>
      <c r="S141" s="29">
        <f t="shared" si="45"/>
        <v>2.125</v>
      </c>
      <c r="T141" s="79">
        <v>44006</v>
      </c>
      <c r="U141" s="16">
        <f>COUNTIFS(A:A,A141,C:C,C141)</f>
        <v>1</v>
      </c>
      <c r="V141" s="34">
        <f t="shared" si="46"/>
        <v>0.17460969597370585</v>
      </c>
      <c r="W141" s="3" t="str">
        <f>VLOOKUP(A141,Data_echipe!A:O,15,0)</f>
        <v>Tenchei</v>
      </c>
      <c r="X141" s="3">
        <f t="shared" si="42"/>
        <v>1</v>
      </c>
    </row>
    <row r="142" spans="1:24">
      <c r="A142" s="74" t="s">
        <v>57</v>
      </c>
      <c r="B142" s="24" t="str">
        <f>VLOOKUP(A142,Participanti!A:B,2,0)</f>
        <v>M</v>
      </c>
      <c r="C142" s="75">
        <v>4</v>
      </c>
      <c r="D142" s="76">
        <v>22.6</v>
      </c>
      <c r="E142" s="77">
        <v>8.3043981481481483E-2</v>
      </c>
      <c r="F142" s="78">
        <v>596</v>
      </c>
      <c r="G142" s="20">
        <f t="shared" si="43"/>
        <v>3.6745124549328089E-3</v>
      </c>
      <c r="H142" s="16">
        <f>IF(B142="F",IF(G142&gt;Barem!$AC$2,0,IF(B142="F",VLOOKUP(D142,Barem!$B$2:$C$11,2,1))),IF(G142&gt;Barem!$AC$3,0,VLOOKUP(D142,Barem!$B$12:$C$21,2,1)))</f>
        <v>5</v>
      </c>
      <c r="I142" s="16">
        <f>IF(H142=0,0,IF(B142="F",VLOOKUP(G142,Barem!$G$2:$H$11,2,1),VLOOKUP(G142,Barem!$G$12:$H$21,2,1)))</f>
        <v>2</v>
      </c>
      <c r="J142" s="75">
        <v>4</v>
      </c>
      <c r="K142" s="82" t="str">
        <f>VLOOKUP($C142,Barem!$L$2:$R$13,7,0)</f>
        <v>P</v>
      </c>
      <c r="L142" s="17">
        <f t="shared" si="38"/>
        <v>0.25</v>
      </c>
      <c r="M142" s="17">
        <f t="shared" si="38"/>
        <v>0.25</v>
      </c>
      <c r="N142" s="17">
        <f t="shared" si="38"/>
        <v>0.5</v>
      </c>
      <c r="O142" s="81">
        <f t="shared" si="44"/>
        <v>0.39733333333333332</v>
      </c>
      <c r="P142" s="36">
        <f>IF(D142&gt;21,VLOOKUP(D142,Barem!$T$1:$U$39,2,1),0)</f>
        <v>0</v>
      </c>
      <c r="Q142" s="32">
        <f>IF(D142&lt;1.609,0,IF(B142="F",VLOOKUP(G142,Barem!$X$2:$Z$13,2,1),VLOOKUP(G142,Barem!$X$14:$Z$25,2,1)))</f>
        <v>0</v>
      </c>
      <c r="R142" s="36">
        <f>VLOOKUP(A142,Participanti!A:C,3,0)</f>
        <v>0</v>
      </c>
      <c r="S142" s="29">
        <f t="shared" si="45"/>
        <v>4.1473333333333331</v>
      </c>
      <c r="T142" s="79">
        <v>44010</v>
      </c>
      <c r="U142" s="16">
        <f>COUNTIFS(A:A,A142,C:C,C142)</f>
        <v>1</v>
      </c>
      <c r="V142" s="34">
        <f t="shared" si="46"/>
        <v>0.1835103244837758</v>
      </c>
      <c r="W142" s="3" t="str">
        <f>VLOOKUP(A142,Data_echipe!A:O,15,0)</f>
        <v>Tenchei</v>
      </c>
      <c r="X142" s="3">
        <f t="shared" si="42"/>
        <v>1</v>
      </c>
    </row>
    <row r="143" spans="1:24">
      <c r="A143" s="74" t="s">
        <v>55</v>
      </c>
      <c r="B143" s="24" t="str">
        <f>VLOOKUP(A143,Participanti!A:B,2,0)</f>
        <v>M</v>
      </c>
      <c r="C143" s="75">
        <v>4</v>
      </c>
      <c r="D143" s="76">
        <v>44</v>
      </c>
      <c r="E143" s="77">
        <v>0.28677083333333336</v>
      </c>
      <c r="F143" s="78">
        <v>1984</v>
      </c>
      <c r="G143" s="20">
        <f t="shared" si="43"/>
        <v>6.5175189393939402E-3</v>
      </c>
      <c r="H143" s="16">
        <f>IF(B143="F",IF(G143&gt;Barem!$AC$2,0,IF(B143="F",VLOOKUP(D143,Barem!$B$2:$C$11,2,1))),IF(G143&gt;Barem!$AC$3,0,VLOOKUP(D143,Barem!$B$12:$C$21,2,1)))</f>
        <v>5</v>
      </c>
      <c r="I143" s="16">
        <f>IF(H143=0,0,IF(B143="F",VLOOKUP(G143,Barem!$G$2:$H$11,2,1),VLOOKUP(G143,Barem!$G$12:$H$21,2,1)))</f>
        <v>0</v>
      </c>
      <c r="J143" s="75">
        <v>4</v>
      </c>
      <c r="K143" s="83" t="s">
        <v>182</v>
      </c>
      <c r="L143" s="17">
        <f t="shared" si="38"/>
        <v>0.5</v>
      </c>
      <c r="M143" s="17">
        <f t="shared" si="38"/>
        <v>0.25</v>
      </c>
      <c r="N143" s="17">
        <f t="shared" si="38"/>
        <v>0.25</v>
      </c>
      <c r="O143" s="81">
        <f t="shared" si="44"/>
        <v>1.3226666666666667</v>
      </c>
      <c r="P143" s="36">
        <f>IF(D143&gt;21,VLOOKUP(D143,Barem!$T$1:$U$39,2,1),0)</f>
        <v>0.4</v>
      </c>
      <c r="Q143" s="32">
        <f>IF(D143&lt;1.609,0,IF(B143="F",VLOOKUP(G143,Barem!$X$2:$Z$13,2,1),VLOOKUP(G143,Barem!$X$14:$Z$25,2,1)))</f>
        <v>0</v>
      </c>
      <c r="R143" s="36">
        <f>VLOOKUP(A143,Participanti!A:C,3,0)</f>
        <v>0</v>
      </c>
      <c r="S143" s="29">
        <f t="shared" si="45"/>
        <v>5.222666666666667</v>
      </c>
      <c r="T143" s="79">
        <v>44010</v>
      </c>
      <c r="U143" s="16">
        <f>COUNTIFS(A:A,A143,C:C,C143)</f>
        <v>1</v>
      </c>
      <c r="V143" s="34">
        <f t="shared" si="46"/>
        <v>0.1186969696969697</v>
      </c>
      <c r="W143" s="3" t="str">
        <f>VLOOKUP(A143,Data_echipe!A:O,15,0)</f>
        <v>Serioranistii</v>
      </c>
      <c r="X143" s="3">
        <f t="shared" si="42"/>
        <v>0</v>
      </c>
    </row>
    <row r="144" spans="1:24" s="110" customFormat="1" ht="12.75" thickBot="1">
      <c r="A144" s="94" t="s">
        <v>204</v>
      </c>
      <c r="B144" s="95" t="str">
        <f>VLOOKUP(A144,Participanti!A:B,2,0)</f>
        <v>M</v>
      </c>
      <c r="C144" s="96">
        <v>4</v>
      </c>
      <c r="D144" s="97">
        <v>12.02</v>
      </c>
      <c r="E144" s="98">
        <v>3.2245370370370369E-2</v>
      </c>
      <c r="F144" s="99">
        <v>14</v>
      </c>
      <c r="G144" s="100">
        <f t="shared" si="43"/>
        <v>2.6826431256547728E-3</v>
      </c>
      <c r="H144" s="101">
        <f>IF(B144="F",IF(G144&gt;Barem!$AC$2,0,IF(B144="F",VLOOKUP(D144,Barem!$B$2:$C$11,2,1))),IF(G144&gt;Barem!$AC$3,0,VLOOKUP(D144,Barem!$B$12:$C$21,2,1)))</f>
        <v>3</v>
      </c>
      <c r="I144" s="101">
        <f>IF(H144=0,0,IF(B144="F",VLOOKUP(G144,Barem!$G$2:$H$11,2,1),VLOOKUP(G144,Barem!$G$12:$H$21,2,1)))</f>
        <v>5</v>
      </c>
      <c r="J144" s="96">
        <v>3.5</v>
      </c>
      <c r="K144" s="114" t="s">
        <v>183</v>
      </c>
      <c r="L144" s="103">
        <f t="shared" si="38"/>
        <v>0.25</v>
      </c>
      <c r="M144" s="103">
        <f t="shared" si="38"/>
        <v>0.5</v>
      </c>
      <c r="N144" s="103">
        <f t="shared" si="38"/>
        <v>0.25</v>
      </c>
      <c r="O144" s="104">
        <f t="shared" si="44"/>
        <v>0</v>
      </c>
      <c r="P144" s="105">
        <f>IF(D144&gt;21,VLOOKUP(D144,Barem!$T$1:$U$39,2,1),0)</f>
        <v>0</v>
      </c>
      <c r="Q144" s="106">
        <f>IF(D144&lt;1.609,0,IF(B144="F",VLOOKUP(G144,Barem!$X$2:$Z$13,2,1),VLOOKUP(G144,Barem!$X$14:$Z$25,2,1)))</f>
        <v>0.30000000000000004</v>
      </c>
      <c r="R144" s="105">
        <f>VLOOKUP(A144,Participanti!A:C,3,0)</f>
        <v>0</v>
      </c>
      <c r="S144" s="107">
        <f t="shared" si="45"/>
        <v>4.4249999999999998</v>
      </c>
      <c r="T144" s="108">
        <v>44010</v>
      </c>
      <c r="U144" s="101">
        <f>COUNTIFS(A:A,A144,C:C,C144)</f>
        <v>1</v>
      </c>
      <c r="V144" s="109">
        <f t="shared" si="46"/>
        <v>0.36813643926788686</v>
      </c>
      <c r="W144" s="110" t="str">
        <f>VLOOKUP(A144,Data_echipe!A:O,15,0)</f>
        <v>Unicornii</v>
      </c>
      <c r="X144" s="3">
        <f t="shared" si="42"/>
        <v>1</v>
      </c>
    </row>
    <row r="145" spans="1:24">
      <c r="A145" s="74" t="s">
        <v>6</v>
      </c>
      <c r="B145" s="24" t="str">
        <f>VLOOKUP(A145,Participanti!A:B,2,0)</f>
        <v>F</v>
      </c>
      <c r="C145" s="75">
        <v>5</v>
      </c>
      <c r="D145" s="76">
        <v>20.02</v>
      </c>
      <c r="E145" s="77">
        <v>6.9155092592592601E-2</v>
      </c>
      <c r="F145" s="78">
        <v>35</v>
      </c>
      <c r="G145" s="20">
        <f t="shared" si="43"/>
        <v>3.4543003293003296E-3</v>
      </c>
      <c r="H145" s="16">
        <f>IF(B145="F",IF(G145&gt;Barem!$AC$2,0,IF(B145="F",VLOOKUP(D145,Barem!$B$2:$C$11,2,1))),IF(G145&gt;Barem!$AC$3,0,VLOOKUP(D145,Barem!$B$12:$C$21,2,1)))</f>
        <v>5</v>
      </c>
      <c r="I145" s="16">
        <f>IF(H145=0,0,IF(B145="F",VLOOKUP(G145,Barem!$G$2:$H$11,2,1),VLOOKUP(G145,Barem!$G$12:$H$21,2,1)))</f>
        <v>4</v>
      </c>
      <c r="J145" s="75">
        <v>3.5</v>
      </c>
      <c r="K145" s="82" t="str">
        <f>VLOOKUP($C145,Barem!$L$2:$R$13,7,0)</f>
        <v>D</v>
      </c>
      <c r="L145" s="17">
        <f t="shared" si="38"/>
        <v>0.5</v>
      </c>
      <c r="M145" s="17">
        <f t="shared" si="38"/>
        <v>0.25</v>
      </c>
      <c r="N145" s="17">
        <f t="shared" si="38"/>
        <v>0.25</v>
      </c>
      <c r="O145" s="81">
        <f t="shared" si="44"/>
        <v>0</v>
      </c>
      <c r="P145" s="36">
        <f>IF(D145&gt;21,VLOOKUP(D145,Barem!$T$1:$U$39,2,1),0)</f>
        <v>0</v>
      </c>
      <c r="Q145" s="32">
        <f>IF(D145&lt;1.609,0,IF(B145="F",VLOOKUP(G145,Barem!$X$2:$Z$13,2,1),VLOOKUP(G145,Barem!$X$14:$Z$25,2,1)))</f>
        <v>0</v>
      </c>
      <c r="R145" s="36">
        <f>VLOOKUP(A145,Participanti!A:C,3,0)</f>
        <v>0</v>
      </c>
      <c r="S145" s="29">
        <f t="shared" si="45"/>
        <v>4.375</v>
      </c>
      <c r="T145" s="79">
        <v>44017</v>
      </c>
      <c r="U145" s="16">
        <f>COUNTIFS(A:A,A145,C:C,C145)</f>
        <v>1</v>
      </c>
      <c r="V145" s="34">
        <f t="shared" si="46"/>
        <v>0.21853146853146854</v>
      </c>
      <c r="W145" s="3" t="str">
        <f>VLOOKUP(A145,Data_echipe!A:O,15,0)</f>
        <v>Unicornii</v>
      </c>
      <c r="X145" s="3">
        <f t="shared" si="42"/>
        <v>1</v>
      </c>
    </row>
    <row r="146" spans="1:24">
      <c r="A146" s="74" t="s">
        <v>82</v>
      </c>
      <c r="B146" s="24" t="str">
        <f>VLOOKUP(A146,Participanti!A:B,2,0)</f>
        <v>M</v>
      </c>
      <c r="C146" s="75">
        <v>5</v>
      </c>
      <c r="D146" s="76">
        <v>10.029999999999999</v>
      </c>
      <c r="E146" s="77">
        <v>3.6597222222222225E-2</v>
      </c>
      <c r="F146" s="78">
        <v>30</v>
      </c>
      <c r="G146" s="20">
        <f t="shared" si="43"/>
        <v>3.6487758945386068E-3</v>
      </c>
      <c r="H146" s="16">
        <f>IF(B146="F",IF(G146&gt;Barem!$AC$2,0,IF(B146="F",VLOOKUP(D146,Barem!$B$2:$C$11,2,1))),IF(G146&gt;Barem!$AC$3,0,VLOOKUP(D146,Barem!$B$12:$C$21,2,1)))</f>
        <v>2.5</v>
      </c>
      <c r="I146" s="16">
        <f>IF(H146=0,0,IF(B146="F",VLOOKUP(G146,Barem!$G$2:$H$11,2,1),VLOOKUP(G146,Barem!$G$12:$H$21,2,1)))</f>
        <v>2.5</v>
      </c>
      <c r="J146" s="75">
        <v>3.5</v>
      </c>
      <c r="K146" s="83" t="s">
        <v>184</v>
      </c>
      <c r="L146" s="17">
        <f t="shared" ref="L146:N159" si="47">IF($K146=L$1,50%,25%)</f>
        <v>0.25</v>
      </c>
      <c r="M146" s="17">
        <f t="shared" si="47"/>
        <v>0.25</v>
      </c>
      <c r="N146" s="17">
        <f t="shared" si="47"/>
        <v>0.5</v>
      </c>
      <c r="O146" s="81">
        <f t="shared" si="44"/>
        <v>0</v>
      </c>
      <c r="P146" s="36">
        <f>IF(D146&gt;21,VLOOKUP(D146,Barem!$T$1:$U$39,2,1),0)</f>
        <v>0</v>
      </c>
      <c r="Q146" s="32">
        <f>IF(D146&lt;1.609,0,IF(B146="F",VLOOKUP(G146,Barem!$X$2:$Z$13,2,1),VLOOKUP(G146,Barem!$X$14:$Z$25,2,1)))</f>
        <v>0</v>
      </c>
      <c r="R146" s="36">
        <f>VLOOKUP(A146,Participanti!A:C,3,0)</f>
        <v>0</v>
      </c>
      <c r="S146" s="29">
        <f t="shared" si="45"/>
        <v>3</v>
      </c>
      <c r="T146" s="79">
        <v>44017</v>
      </c>
      <c r="U146" s="16">
        <f>COUNTIFS(A:A,A146,C:C,C146)</f>
        <v>1</v>
      </c>
      <c r="V146" s="34">
        <f t="shared" si="46"/>
        <v>0.29910269192422734</v>
      </c>
      <c r="W146" s="3" t="str">
        <f>VLOOKUP(A146,Data_echipe!A:O,15,0)</f>
        <v xml:space="preserve"> Let it run</v>
      </c>
      <c r="X146" s="3">
        <f t="shared" si="42"/>
        <v>1</v>
      </c>
    </row>
    <row r="147" spans="1:24">
      <c r="A147" s="74" t="s">
        <v>64</v>
      </c>
      <c r="B147" s="24" t="str">
        <f>VLOOKUP(A147,Participanti!A:B,2,0)</f>
        <v>M</v>
      </c>
      <c r="C147" s="75">
        <v>5</v>
      </c>
      <c r="D147" s="76">
        <v>10.029999999999999</v>
      </c>
      <c r="E147" s="77">
        <v>5.5069444444444449E-2</v>
      </c>
      <c r="F147" s="78">
        <v>0</v>
      </c>
      <c r="G147" s="20">
        <f t="shared" si="43"/>
        <v>5.4904730253683403E-3</v>
      </c>
      <c r="H147" s="16">
        <f>IF(B147="F",IF(G147&gt;Barem!$AC$2,0,IF(B147="F",VLOOKUP(D147,Barem!$B$2:$C$11,2,1))),IF(G147&gt;Barem!$AC$3,0,VLOOKUP(D147,Barem!$B$12:$C$21,2,1)))</f>
        <v>2.5</v>
      </c>
      <c r="I147" s="16">
        <f>IF(H147=0,0,IF(B147="F",VLOOKUP(G147,Barem!$G$2:$H$11,2,1),VLOOKUP(G147,Barem!$G$12:$H$21,2,1)))</f>
        <v>1</v>
      </c>
      <c r="J147" s="75">
        <v>3</v>
      </c>
      <c r="K147" s="82" t="str">
        <f>VLOOKUP($C147,Barem!$L$2:$R$13,7,0)</f>
        <v>D</v>
      </c>
      <c r="L147" s="17">
        <f t="shared" si="47"/>
        <v>0.5</v>
      </c>
      <c r="M147" s="17">
        <f t="shared" si="47"/>
        <v>0.25</v>
      </c>
      <c r="N147" s="17">
        <f t="shared" si="47"/>
        <v>0.25</v>
      </c>
      <c r="O147" s="81">
        <f t="shared" si="44"/>
        <v>0</v>
      </c>
      <c r="P147" s="36">
        <f>IF(D147&gt;21,VLOOKUP(D147,Barem!$T$1:$U$39,2,1),0)</f>
        <v>0</v>
      </c>
      <c r="Q147" s="32">
        <f>IF(D147&lt;1.609,0,IF(B147="F",VLOOKUP(G147,Barem!$X$2:$Z$13,2,1),VLOOKUP(G147,Barem!$X$14:$Z$25,2,1)))</f>
        <v>0</v>
      </c>
      <c r="R147" s="36">
        <f>VLOOKUP(A147,Participanti!A:C,3,0)</f>
        <v>0</v>
      </c>
      <c r="S147" s="29">
        <f t="shared" si="45"/>
        <v>2.25</v>
      </c>
      <c r="T147" s="79">
        <v>44015</v>
      </c>
      <c r="U147" s="16">
        <f>COUNTIFS(A:A,A147,C:C,C147)</f>
        <v>1</v>
      </c>
      <c r="V147" s="34">
        <f t="shared" si="46"/>
        <v>0.2243270189431705</v>
      </c>
      <c r="W147" s="3" t="str">
        <f>VLOOKUP(A147,Data_echipe!A:O,15,0)</f>
        <v xml:space="preserve"> Let it run</v>
      </c>
      <c r="X147" s="3">
        <f t="shared" si="42"/>
        <v>1</v>
      </c>
    </row>
    <row r="148" spans="1:24">
      <c r="A148" s="74" t="s">
        <v>115</v>
      </c>
      <c r="B148" s="24" t="str">
        <f>VLOOKUP(A148,Participanti!A:B,2,0)</f>
        <v>M</v>
      </c>
      <c r="C148" s="75">
        <v>5</v>
      </c>
      <c r="D148" s="76">
        <v>23.53</v>
      </c>
      <c r="E148" s="77">
        <v>0.16729166666666664</v>
      </c>
      <c r="F148" s="78">
        <v>708</v>
      </c>
      <c r="G148" s="20">
        <f t="shared" ref="G148:G182" si="48">E148/D148</f>
        <v>7.1097180903810725E-3</v>
      </c>
      <c r="H148" s="16">
        <f>IF(B148="F",IF(G148&gt;Barem!$AC$2,0,IF(B148="F",VLOOKUP(D148,Barem!$B$2:$C$11,2,1))),IF(G148&gt;Barem!$AC$3,0,VLOOKUP(D148,Barem!$B$12:$C$21,2,1)))</f>
        <v>5</v>
      </c>
      <c r="I148" s="16">
        <f>IF(H148=0,0,IF(B148="F",VLOOKUP(G148,Barem!$G$2:$H$11,2,1),VLOOKUP(G148,Barem!$G$12:$H$21,2,1)))</f>
        <v>0</v>
      </c>
      <c r="J148" s="75">
        <v>2.5</v>
      </c>
      <c r="K148" s="82" t="str">
        <f>VLOOKUP($C148,Barem!$L$2:$R$13,7,0)</f>
        <v>D</v>
      </c>
      <c r="L148" s="17">
        <f t="shared" si="47"/>
        <v>0.5</v>
      </c>
      <c r="M148" s="17">
        <f t="shared" si="47"/>
        <v>0.25</v>
      </c>
      <c r="N148" s="17">
        <f t="shared" si="47"/>
        <v>0.25</v>
      </c>
      <c r="O148" s="81">
        <f t="shared" ref="O148:O182" si="49">IF(F148&lt;-49,F148/1500,IF(F148&gt;99,F148/1500,0))</f>
        <v>0.47199999999999998</v>
      </c>
      <c r="P148" s="36">
        <f>IF(D148&gt;21,VLOOKUP(D148,Barem!$T$1:$U$39,2,1),0)</f>
        <v>0</v>
      </c>
      <c r="Q148" s="32">
        <f>IF(D148&lt;1.609,0,IF(B148="F",VLOOKUP(G148,Barem!$X$2:$Z$13,2,1),VLOOKUP(G148,Barem!$X$14:$Z$25,2,1)))</f>
        <v>0</v>
      </c>
      <c r="R148" s="36">
        <f>VLOOKUP(A148,Participanti!A:C,3,0)</f>
        <v>0.5</v>
      </c>
      <c r="S148" s="29">
        <f t="shared" ref="S148:S182" si="50">H148*L148+I148*M148+J148*N148+O148+P148+Q148+R148</f>
        <v>4.0969999999999995</v>
      </c>
      <c r="T148" s="79">
        <v>44016</v>
      </c>
      <c r="U148" s="16">
        <f>COUNTIFS(A:A,A148,C:C,C148)</f>
        <v>1</v>
      </c>
      <c r="V148" s="34">
        <f t="shared" ref="V148:V182" si="51">S148/D148</f>
        <v>0.17411814704632381</v>
      </c>
      <c r="W148" s="3" t="str">
        <f>VLOOKUP(A148,Data_echipe!A:O,15,0)</f>
        <v xml:space="preserve"> Let it run</v>
      </c>
      <c r="X148" s="3">
        <f t="shared" si="42"/>
        <v>0</v>
      </c>
    </row>
    <row r="149" spans="1:24">
      <c r="A149" s="74" t="s">
        <v>8</v>
      </c>
      <c r="B149" s="24" t="str">
        <f>VLOOKUP(A149,Participanti!A:B,2,0)</f>
        <v>M</v>
      </c>
      <c r="C149" s="75">
        <v>5</v>
      </c>
      <c r="D149" s="76">
        <v>9.33</v>
      </c>
      <c r="E149" s="77">
        <v>3.5381944444444445E-2</v>
      </c>
      <c r="F149" s="78"/>
      <c r="G149" s="20">
        <f t="shared" si="48"/>
        <v>3.7922770036917948E-3</v>
      </c>
      <c r="H149" s="16">
        <f>IF(B149="F",IF(G149&gt;Barem!$AC$2,0,IF(B149="F",VLOOKUP(D149,Barem!$B$2:$C$11,2,1))),IF(G149&gt;Barem!$AC$3,0,VLOOKUP(D149,Barem!$B$12:$C$21,2,1)))</f>
        <v>2</v>
      </c>
      <c r="I149" s="16">
        <f>IF(H149=0,0,IF(B149="F",VLOOKUP(G149,Barem!$G$2:$H$11,2,1),VLOOKUP(G149,Barem!$G$12:$H$21,2,1)))</f>
        <v>2</v>
      </c>
      <c r="J149" s="75">
        <v>3.5</v>
      </c>
      <c r="K149" s="82" t="str">
        <f>VLOOKUP($C149,Barem!$L$2:$R$13,7,0)</f>
        <v>D</v>
      </c>
      <c r="L149" s="17">
        <f t="shared" si="47"/>
        <v>0.5</v>
      </c>
      <c r="M149" s="17">
        <f t="shared" si="47"/>
        <v>0.25</v>
      </c>
      <c r="N149" s="17">
        <f t="shared" si="47"/>
        <v>0.25</v>
      </c>
      <c r="O149" s="81">
        <f t="shared" si="49"/>
        <v>0</v>
      </c>
      <c r="P149" s="36">
        <f>IF(D149&gt;21,VLOOKUP(D149,Barem!$T$1:$U$39,2,1),0)</f>
        <v>0</v>
      </c>
      <c r="Q149" s="32">
        <f>IF(D149&lt;1.609,0,IF(B149="F",VLOOKUP(G149,Barem!$X$2:$Z$13,2,1),VLOOKUP(G149,Barem!$X$14:$Z$25,2,1)))</f>
        <v>0</v>
      </c>
      <c r="R149" s="36">
        <f>VLOOKUP(A149,Participanti!A:C,3,0)</f>
        <v>0</v>
      </c>
      <c r="S149" s="29">
        <f t="shared" si="50"/>
        <v>2.375</v>
      </c>
      <c r="T149" s="79">
        <v>44017</v>
      </c>
      <c r="U149" s="16">
        <f>COUNTIFS(A:A,A149,C:C,C149)</f>
        <v>1</v>
      </c>
      <c r="V149" s="34">
        <f t="shared" si="51"/>
        <v>0.25455519828510181</v>
      </c>
      <c r="W149" s="3" t="str">
        <f>VLOOKUP(A149,Data_echipe!A:O,15,0)</f>
        <v xml:space="preserve"> Let it run</v>
      </c>
      <c r="X149" s="3">
        <f t="shared" si="42"/>
        <v>1</v>
      </c>
    </row>
    <row r="150" spans="1:24">
      <c r="A150" s="74" t="s">
        <v>131</v>
      </c>
      <c r="B150" s="24" t="str">
        <f>VLOOKUP(A150,Participanti!A:B,2,0)</f>
        <v>M</v>
      </c>
      <c r="C150" s="75">
        <v>5</v>
      </c>
      <c r="D150" s="76">
        <v>21.13</v>
      </c>
      <c r="E150" s="77">
        <v>9.4236111111111118E-2</v>
      </c>
      <c r="F150" s="78">
        <v>62</v>
      </c>
      <c r="G150" s="20">
        <f t="shared" si="48"/>
        <v>4.4598254193616241E-3</v>
      </c>
      <c r="H150" s="16">
        <f>IF(B150="F",IF(G150&gt;Barem!$AC$2,0,IF(B150="F",VLOOKUP(D150,Barem!$B$2:$C$11,2,1))),IF(G150&gt;Barem!$AC$3,0,VLOOKUP(D150,Barem!$B$12:$C$21,2,1)))</f>
        <v>5</v>
      </c>
      <c r="I150" s="16">
        <f>IF(H150=0,0,IF(B150="F",VLOOKUP(G150,Barem!$G$2:$H$11,2,1),VLOOKUP(G150,Barem!$G$12:$H$21,2,1)))</f>
        <v>1</v>
      </c>
      <c r="J150" s="75">
        <v>4</v>
      </c>
      <c r="K150" s="82" t="str">
        <f>VLOOKUP($C150,Barem!$L$2:$R$13,7,0)</f>
        <v>D</v>
      </c>
      <c r="L150" s="17">
        <f t="shared" si="47"/>
        <v>0.5</v>
      </c>
      <c r="M150" s="17">
        <f t="shared" si="47"/>
        <v>0.25</v>
      </c>
      <c r="N150" s="17">
        <f t="shared" si="47"/>
        <v>0.25</v>
      </c>
      <c r="O150" s="81">
        <f t="shared" si="49"/>
        <v>0</v>
      </c>
      <c r="P150" s="36">
        <f>IF(D150&gt;21,VLOOKUP(D150,Barem!$T$1:$U$39,2,1),0)</f>
        <v>0</v>
      </c>
      <c r="Q150" s="32">
        <f>IF(D150&lt;1.609,0,IF(B150="F",VLOOKUP(G150,Barem!$X$2:$Z$13,2,1),VLOOKUP(G150,Barem!$X$14:$Z$25,2,1)))</f>
        <v>0</v>
      </c>
      <c r="R150" s="36">
        <f>VLOOKUP(A150,Participanti!A:C,3,0)</f>
        <v>0</v>
      </c>
      <c r="S150" s="29">
        <f t="shared" si="50"/>
        <v>3.75</v>
      </c>
      <c r="T150" s="79">
        <v>44012</v>
      </c>
      <c r="U150" s="16">
        <f>COUNTIFS(A:A,A150,C:C,C150)</f>
        <v>1</v>
      </c>
      <c r="V150" s="34">
        <f t="shared" si="51"/>
        <v>0.17747278750591577</v>
      </c>
      <c r="W150" s="3" t="str">
        <f>VLOOKUP(A150,Data_echipe!A:O,15,0)</f>
        <v xml:space="preserve"> Let it run</v>
      </c>
      <c r="X150" s="3">
        <f t="shared" si="42"/>
        <v>1</v>
      </c>
    </row>
    <row r="151" spans="1:24">
      <c r="A151" s="74" t="s">
        <v>206</v>
      </c>
      <c r="B151" s="24" t="str">
        <f>VLOOKUP(A151,Participanti!A:B,2,0)</f>
        <v>M</v>
      </c>
      <c r="C151" s="75">
        <v>5</v>
      </c>
      <c r="D151" s="76">
        <v>7</v>
      </c>
      <c r="E151" s="77">
        <v>3.6562499999999998E-2</v>
      </c>
      <c r="F151" s="78">
        <v>8</v>
      </c>
      <c r="G151" s="20">
        <f t="shared" si="48"/>
        <v>5.223214285714285E-3</v>
      </c>
      <c r="H151" s="16">
        <f>IF(B151="F",IF(G151&gt;Barem!$AC$2,0,IF(B151="F",VLOOKUP(D151,Barem!$B$2:$C$11,2,1))),IF(G151&gt;Barem!$AC$3,0,VLOOKUP(D151,Barem!$B$12:$C$21,2,1)))</f>
        <v>2</v>
      </c>
      <c r="I151" s="16">
        <f>IF(H151=0,0,IF(B151="F",VLOOKUP(G151,Barem!$G$2:$H$11,2,1),VLOOKUP(G151,Barem!$G$12:$H$21,2,1)))</f>
        <v>1</v>
      </c>
      <c r="J151" s="75">
        <v>4</v>
      </c>
      <c r="K151" s="83" t="s">
        <v>183</v>
      </c>
      <c r="L151" s="17">
        <f t="shared" si="47"/>
        <v>0.25</v>
      </c>
      <c r="M151" s="17">
        <f t="shared" si="47"/>
        <v>0.5</v>
      </c>
      <c r="N151" s="17">
        <f t="shared" si="47"/>
        <v>0.25</v>
      </c>
      <c r="O151" s="81">
        <f t="shared" si="49"/>
        <v>0</v>
      </c>
      <c r="P151" s="36">
        <f>IF(D151&gt;21,VLOOKUP(D151,Barem!$T$1:$U$39,2,1),0)</f>
        <v>0</v>
      </c>
      <c r="Q151" s="32">
        <f>IF(D151&lt;1.609,0,IF(B151="F",VLOOKUP(G151,Barem!$X$2:$Z$13,2,1),VLOOKUP(G151,Barem!$X$14:$Z$25,2,1)))</f>
        <v>0</v>
      </c>
      <c r="R151" s="36">
        <f>VLOOKUP(A151,Participanti!A:C,3,0)</f>
        <v>0</v>
      </c>
      <c r="S151" s="29">
        <f t="shared" si="50"/>
        <v>2</v>
      </c>
      <c r="T151" s="79">
        <v>44013</v>
      </c>
      <c r="U151" s="16">
        <f>COUNTIFS(A:A,A151,C:C,C151)</f>
        <v>1</v>
      </c>
      <c r="V151" s="34">
        <f t="shared" si="51"/>
        <v>0.2857142857142857</v>
      </c>
      <c r="W151" s="3" t="str">
        <f>VLOOKUP(A151,Data_echipe!A:O,15,0)</f>
        <v>Unicornii</v>
      </c>
      <c r="X151" s="3">
        <f t="shared" si="42"/>
        <v>1</v>
      </c>
    </row>
    <row r="152" spans="1:24">
      <c r="A152" s="74" t="s">
        <v>50</v>
      </c>
      <c r="B152" s="24" t="str">
        <f>VLOOKUP(A152,Participanti!A:B,2,0)</f>
        <v>F</v>
      </c>
      <c r="C152" s="75">
        <v>5</v>
      </c>
      <c r="D152" s="76">
        <v>10.02</v>
      </c>
      <c r="E152" s="77">
        <v>4.3379629629629629E-2</v>
      </c>
      <c r="F152" s="78">
        <v>66</v>
      </c>
      <c r="G152" s="20">
        <f t="shared" si="48"/>
        <v>4.3293043542544539E-3</v>
      </c>
      <c r="H152" s="16">
        <f>IF(B152="F",IF(G152&gt;Barem!$AC$2,0,IF(B152="F",VLOOKUP(D152,Barem!$B$2:$C$11,2,1))),IF(G152&gt;Barem!$AC$3,0,VLOOKUP(D152,Barem!$B$12:$C$21,2,1)))</f>
        <v>2.5</v>
      </c>
      <c r="I152" s="16">
        <f>IF(H152=0,0,IF(B152="F",VLOOKUP(G152,Barem!$G$2:$H$11,2,1),VLOOKUP(G152,Barem!$G$12:$H$21,2,1)))</f>
        <v>1.5</v>
      </c>
      <c r="J152" s="75">
        <v>2.5</v>
      </c>
      <c r="K152" s="82" t="str">
        <f>VLOOKUP($C152,Barem!$L$2:$R$13,7,0)</f>
        <v>D</v>
      </c>
      <c r="L152" s="17">
        <f t="shared" si="47"/>
        <v>0.5</v>
      </c>
      <c r="M152" s="17">
        <f t="shared" si="47"/>
        <v>0.25</v>
      </c>
      <c r="N152" s="17">
        <f t="shared" si="47"/>
        <v>0.25</v>
      </c>
      <c r="O152" s="81">
        <f t="shared" si="49"/>
        <v>0</v>
      </c>
      <c r="P152" s="36">
        <f>IF(D152&gt;21,VLOOKUP(D152,Barem!$T$1:$U$39,2,1),0)</f>
        <v>0</v>
      </c>
      <c r="Q152" s="32">
        <f>IF(D152&lt;1.609,0,IF(B152="F",VLOOKUP(G152,Barem!$X$2:$Z$13,2,1),VLOOKUP(G152,Barem!$X$14:$Z$25,2,1)))</f>
        <v>0</v>
      </c>
      <c r="R152" s="36">
        <f>VLOOKUP(A152,Participanti!A:C,3,0)</f>
        <v>0</v>
      </c>
      <c r="S152" s="29">
        <f t="shared" si="50"/>
        <v>2.25</v>
      </c>
      <c r="T152" s="79">
        <v>44015</v>
      </c>
      <c r="U152" s="16">
        <f>COUNTIFS(A:A,A152,C:C,C152)</f>
        <v>1</v>
      </c>
      <c r="V152" s="34">
        <f t="shared" si="51"/>
        <v>0.22455089820359284</v>
      </c>
      <c r="W152" s="3" t="str">
        <f>VLOOKUP(A152,Data_echipe!A:O,15,0)</f>
        <v>Serioranistii</v>
      </c>
      <c r="X152" s="3">
        <f t="shared" si="42"/>
        <v>1</v>
      </c>
    </row>
    <row r="153" spans="1:24">
      <c r="A153" s="74" t="s">
        <v>209</v>
      </c>
      <c r="B153" s="24" t="str">
        <f>VLOOKUP(A153,Participanti!A:B,2,0)</f>
        <v>M</v>
      </c>
      <c r="C153" s="75">
        <v>5</v>
      </c>
      <c r="D153" s="76">
        <v>10.27</v>
      </c>
      <c r="E153" s="77">
        <v>3.4166666666666672E-2</v>
      </c>
      <c r="F153" s="78">
        <v>27</v>
      </c>
      <c r="G153" s="20">
        <f t="shared" si="48"/>
        <v>3.3268419344368717E-3</v>
      </c>
      <c r="H153" s="16">
        <f>IF(B153="F",IF(G153&gt;Barem!$AC$2,0,IF(B153="F",VLOOKUP(D153,Barem!$B$2:$C$11,2,1))),IF(G153&gt;Barem!$AC$3,0,VLOOKUP(D153,Barem!$B$12:$C$21,2,1)))</f>
        <v>2.5</v>
      </c>
      <c r="I153" s="16">
        <f>IF(H153=0,0,IF(B153="F",VLOOKUP(G153,Barem!$G$2:$H$11,2,1),VLOOKUP(G153,Barem!$G$12:$H$21,2,1)))</f>
        <v>3</v>
      </c>
      <c r="J153" s="75">
        <v>2</v>
      </c>
      <c r="K153" s="83" t="s">
        <v>183</v>
      </c>
      <c r="L153" s="17">
        <f t="shared" si="47"/>
        <v>0.25</v>
      </c>
      <c r="M153" s="17">
        <f t="shared" si="47"/>
        <v>0.5</v>
      </c>
      <c r="N153" s="17">
        <f t="shared" si="47"/>
        <v>0.25</v>
      </c>
      <c r="O153" s="81">
        <f t="shared" si="49"/>
        <v>0</v>
      </c>
      <c r="P153" s="36">
        <f>IF(D153&gt;21,VLOOKUP(D153,Barem!$T$1:$U$39,2,1),0)</f>
        <v>0</v>
      </c>
      <c r="Q153" s="32">
        <f>IF(D153&lt;1.609,0,IF(B153="F",VLOOKUP(G153,Barem!$X$2:$Z$13,2,1),VLOOKUP(G153,Barem!$X$14:$Z$25,2,1)))</f>
        <v>0</v>
      </c>
      <c r="R153" s="36">
        <f>VLOOKUP(A153,Participanti!A:C,3,0)</f>
        <v>0</v>
      </c>
      <c r="S153" s="29">
        <f t="shared" si="50"/>
        <v>2.625</v>
      </c>
      <c r="T153" s="79">
        <v>44013</v>
      </c>
      <c r="U153" s="16">
        <f>COUNTIFS(A:A,A153,C:C,C153)</f>
        <v>1</v>
      </c>
      <c r="V153" s="34">
        <f t="shared" si="51"/>
        <v>0.25559883154819862</v>
      </c>
      <c r="W153" s="3" t="str">
        <f>VLOOKUP(A153,Data_echipe!A:O,15,0)</f>
        <v>Serioranistii</v>
      </c>
      <c r="X153" s="3">
        <f t="shared" si="42"/>
        <v>1</v>
      </c>
    </row>
    <row r="154" spans="1:24">
      <c r="A154" s="74" t="s">
        <v>210</v>
      </c>
      <c r="B154" s="24" t="str">
        <f>VLOOKUP(A154,Participanti!A:B,2,0)</f>
        <v>F</v>
      </c>
      <c r="C154" s="75">
        <v>5</v>
      </c>
      <c r="D154" s="76">
        <v>4.51</v>
      </c>
      <c r="E154" s="77">
        <v>1.8854166666666665E-2</v>
      </c>
      <c r="F154" s="78">
        <v>8</v>
      </c>
      <c r="G154" s="20">
        <f t="shared" si="48"/>
        <v>4.180524759793052E-3</v>
      </c>
      <c r="H154" s="16">
        <f>IF(B154="F",IF(G154&gt;Barem!$AC$2,0,IF(B154="F",VLOOKUP(D154,Barem!$B$2:$C$11,2,1))),IF(G154&gt;Barem!$AC$3,0,VLOOKUP(D154,Barem!$B$12:$C$21,2,1)))</f>
        <v>1.5</v>
      </c>
      <c r="I154" s="16">
        <f>IF(H154=0,0,IF(B154="F",VLOOKUP(G154,Barem!$G$2:$H$11,2,1),VLOOKUP(G154,Barem!$G$12:$H$21,2,1)))</f>
        <v>1.5</v>
      </c>
      <c r="J154" s="75">
        <v>3.5</v>
      </c>
      <c r="K154" s="83" t="s">
        <v>184</v>
      </c>
      <c r="L154" s="17">
        <f t="shared" si="47"/>
        <v>0.25</v>
      </c>
      <c r="M154" s="17">
        <f t="shared" si="47"/>
        <v>0.25</v>
      </c>
      <c r="N154" s="17">
        <f t="shared" si="47"/>
        <v>0.5</v>
      </c>
      <c r="O154" s="81">
        <f t="shared" si="49"/>
        <v>0</v>
      </c>
      <c r="P154" s="36">
        <f>IF(D154&gt;21,VLOOKUP(D154,Barem!$T$1:$U$39,2,1),0)</f>
        <v>0</v>
      </c>
      <c r="Q154" s="32">
        <f>IF(D154&lt;1.609,0,IF(B154="F",VLOOKUP(G154,Barem!$X$2:$Z$13,2,1),VLOOKUP(G154,Barem!$X$14:$Z$25,2,1)))</f>
        <v>0</v>
      </c>
      <c r="R154" s="36">
        <f>VLOOKUP(A154,Participanti!A:C,3,0)</f>
        <v>0</v>
      </c>
      <c r="S154" s="29">
        <f t="shared" si="50"/>
        <v>2.5</v>
      </c>
      <c r="T154" s="79">
        <v>44017</v>
      </c>
      <c r="U154" s="16">
        <f>COUNTIFS(A:A,A154,C:C,C154)</f>
        <v>1</v>
      </c>
      <c r="V154" s="34">
        <f t="shared" si="51"/>
        <v>0.55432372505543237</v>
      </c>
      <c r="W154" s="3" t="str">
        <f>VLOOKUP(A154,Data_echipe!A:O,15,0)</f>
        <v>X Æ A-12</v>
      </c>
      <c r="X154" s="3">
        <f t="shared" si="42"/>
        <v>1</v>
      </c>
    </row>
    <row r="155" spans="1:24">
      <c r="A155" s="74" t="s">
        <v>66</v>
      </c>
      <c r="B155" s="24" t="str">
        <f>VLOOKUP(A155,Participanti!A:B,2,0)</f>
        <v>M</v>
      </c>
      <c r="C155" s="75">
        <v>5</v>
      </c>
      <c r="D155" s="76">
        <v>14.49</v>
      </c>
      <c r="E155" s="77">
        <v>5.5578703703703707E-2</v>
      </c>
      <c r="F155" s="78">
        <v>18</v>
      </c>
      <c r="G155" s="20">
        <f t="shared" si="48"/>
        <v>3.8356593308284132E-3</v>
      </c>
      <c r="H155" s="16">
        <f>IF(B155="F",IF(G155&gt;Barem!$AC$2,0,IF(B155="F",VLOOKUP(D155,Barem!$B$2:$C$11,2,1))),IF(G155&gt;Barem!$AC$3,0,VLOOKUP(D155,Barem!$B$12:$C$21,2,1)))</f>
        <v>3</v>
      </c>
      <c r="I155" s="16">
        <f>IF(H155=0,0,IF(B155="F",VLOOKUP(G155,Barem!$G$2:$H$11,2,1),VLOOKUP(G155,Barem!$G$12:$H$21,2,1)))</f>
        <v>1.5</v>
      </c>
      <c r="J155" s="75">
        <v>1.5</v>
      </c>
      <c r="K155" s="82" t="str">
        <f>VLOOKUP($C155,Barem!$L$2:$R$13,7,0)</f>
        <v>D</v>
      </c>
      <c r="L155" s="17">
        <f t="shared" si="47"/>
        <v>0.5</v>
      </c>
      <c r="M155" s="17">
        <f t="shared" si="47"/>
        <v>0.25</v>
      </c>
      <c r="N155" s="17">
        <f t="shared" si="47"/>
        <v>0.25</v>
      </c>
      <c r="O155" s="81">
        <f t="shared" si="49"/>
        <v>0</v>
      </c>
      <c r="P155" s="36">
        <f>IF(D155&gt;21,VLOOKUP(D155,Barem!$T$1:$U$39,2,1),0)</f>
        <v>0</v>
      </c>
      <c r="Q155" s="32">
        <f>IF(D155&lt;1.609,0,IF(B155="F",VLOOKUP(G155,Barem!$X$2:$Z$13,2,1),VLOOKUP(G155,Barem!$X$14:$Z$25,2,1)))</f>
        <v>0</v>
      </c>
      <c r="R155" s="36">
        <f>VLOOKUP(A155,Participanti!A:C,3,0)</f>
        <v>0</v>
      </c>
      <c r="S155" s="29">
        <f t="shared" si="50"/>
        <v>2.25</v>
      </c>
      <c r="T155" s="79">
        <v>44016</v>
      </c>
      <c r="U155" s="16">
        <f>COUNTIFS(A:A,A155,C:C,C155)</f>
        <v>1</v>
      </c>
      <c r="V155" s="34">
        <f t="shared" si="51"/>
        <v>0.15527950310559005</v>
      </c>
      <c r="W155" s="3" t="str">
        <f>VLOOKUP(A155,Data_echipe!A:O,15,0)</f>
        <v>X Æ A-12</v>
      </c>
      <c r="X155" s="3">
        <f t="shared" si="42"/>
        <v>1</v>
      </c>
    </row>
    <row r="156" spans="1:24">
      <c r="A156" s="74" t="s">
        <v>208</v>
      </c>
      <c r="B156" s="24" t="str">
        <f>VLOOKUP(A156,Participanti!A:B,2,0)</f>
        <v>M</v>
      </c>
      <c r="C156" s="75">
        <v>5</v>
      </c>
      <c r="D156" s="76">
        <v>21</v>
      </c>
      <c r="E156" s="77">
        <v>6.9803240740740735E-2</v>
      </c>
      <c r="F156" s="78">
        <v>23</v>
      </c>
      <c r="G156" s="20">
        <f t="shared" si="48"/>
        <v>3.3239638447971781E-3</v>
      </c>
      <c r="H156" s="16">
        <f>IF(B156="F",IF(G156&gt;Barem!$AC$2,0,IF(B156="F",VLOOKUP(D156,Barem!$B$2:$C$11,2,1))),IF(G156&gt;Barem!$AC$3,0,VLOOKUP(D156,Barem!$B$12:$C$21,2,1)))</f>
        <v>5</v>
      </c>
      <c r="I156" s="16">
        <f>IF(H156=0,0,IF(B156="F",VLOOKUP(G156,Barem!$G$2:$H$11,2,1),VLOOKUP(G156,Barem!$G$12:$H$21,2,1)))</f>
        <v>3</v>
      </c>
      <c r="J156" s="75">
        <v>3.5</v>
      </c>
      <c r="K156" s="83" t="s">
        <v>183</v>
      </c>
      <c r="L156" s="17">
        <f t="shared" si="47"/>
        <v>0.25</v>
      </c>
      <c r="M156" s="17">
        <f t="shared" si="47"/>
        <v>0.5</v>
      </c>
      <c r="N156" s="17">
        <f t="shared" si="47"/>
        <v>0.25</v>
      </c>
      <c r="O156" s="81">
        <f t="shared" si="49"/>
        <v>0</v>
      </c>
      <c r="P156" s="36">
        <f>IF(D156&gt;21,VLOOKUP(D156,Barem!$T$1:$U$39,2,1),0)</f>
        <v>0</v>
      </c>
      <c r="Q156" s="32">
        <f>IF(D156&lt;1.609,0,IF(B156="F",VLOOKUP(G156,Barem!$X$2:$Z$13,2,1),VLOOKUP(G156,Barem!$X$14:$Z$25,2,1)))</f>
        <v>0</v>
      </c>
      <c r="R156" s="36">
        <f>VLOOKUP(A156,Participanti!A:C,3,0)</f>
        <v>0</v>
      </c>
      <c r="S156" s="29">
        <f t="shared" si="50"/>
        <v>3.625</v>
      </c>
      <c r="T156" s="79">
        <v>44017</v>
      </c>
      <c r="U156" s="16">
        <f>COUNTIFS(A:A,A156,C:C,C156)</f>
        <v>1</v>
      </c>
      <c r="V156" s="34">
        <f t="shared" si="51"/>
        <v>0.17261904761904762</v>
      </c>
      <c r="W156" s="3" t="str">
        <f>VLOOKUP(A156,Data_echipe!A:O,15,0)</f>
        <v xml:space="preserve"> Let it run</v>
      </c>
      <c r="X156" s="3">
        <f t="shared" si="42"/>
        <v>1</v>
      </c>
    </row>
    <row r="157" spans="1:24">
      <c r="A157" s="74" t="s">
        <v>169</v>
      </c>
      <c r="B157" s="24" t="str">
        <f>VLOOKUP(A157,Participanti!A:B,2,0)</f>
        <v>F</v>
      </c>
      <c r="C157" s="75">
        <v>5</v>
      </c>
      <c r="D157" s="76">
        <v>5</v>
      </c>
      <c r="E157" s="77">
        <v>2.7858796296296298E-2</v>
      </c>
      <c r="F157" s="78">
        <v>7</v>
      </c>
      <c r="G157" s="20">
        <f t="shared" si="48"/>
        <v>5.5717592592592598E-3</v>
      </c>
      <c r="H157" s="16">
        <f>IF(B157="F",IF(G157&gt;Barem!$AC$2,0,IF(B157="F",VLOOKUP(D157,Barem!$B$2:$C$11,2,1))),IF(G157&gt;Barem!$AC$3,0,VLOOKUP(D157,Barem!$B$12:$C$21,2,1)))</f>
        <v>1.5</v>
      </c>
      <c r="I157" s="16">
        <f>IF(H157=0,0,IF(B157="F",VLOOKUP(G157,Barem!$G$2:$H$11,2,1),VLOOKUP(G157,Barem!$G$12:$H$21,2,1)))</f>
        <v>1</v>
      </c>
      <c r="J157" s="75">
        <v>1</v>
      </c>
      <c r="K157" s="83" t="s">
        <v>183</v>
      </c>
      <c r="L157" s="17">
        <f t="shared" si="47"/>
        <v>0.25</v>
      </c>
      <c r="M157" s="17">
        <f t="shared" si="47"/>
        <v>0.5</v>
      </c>
      <c r="N157" s="17">
        <f t="shared" si="47"/>
        <v>0.25</v>
      </c>
      <c r="O157" s="81">
        <f t="shared" si="49"/>
        <v>0</v>
      </c>
      <c r="P157" s="36">
        <f>IF(D157&gt;21,VLOOKUP(D157,Barem!$T$1:$U$39,2,1),0)</f>
        <v>0</v>
      </c>
      <c r="Q157" s="32">
        <f>IF(D157&lt;1.609,0,IF(B157="F",VLOOKUP(G157,Barem!$X$2:$Z$13,2,1),VLOOKUP(G157,Barem!$X$14:$Z$25,2,1)))</f>
        <v>0</v>
      </c>
      <c r="R157" s="36">
        <f>VLOOKUP(A157,Participanti!A:C,3,0)</f>
        <v>0.5</v>
      </c>
      <c r="S157" s="29">
        <f t="shared" si="50"/>
        <v>1.625</v>
      </c>
      <c r="T157" s="79">
        <v>44014</v>
      </c>
      <c r="U157" s="16">
        <f>COUNTIFS(A:A,A157,C:C,C157)</f>
        <v>1</v>
      </c>
      <c r="V157" s="34">
        <f t="shared" si="51"/>
        <v>0.32500000000000001</v>
      </c>
      <c r="W157" s="3" t="str">
        <f>VLOOKUP(A157,Data_echipe!A:O,15,0)</f>
        <v>Serioranistii</v>
      </c>
      <c r="X157" s="3">
        <f t="shared" si="42"/>
        <v>1</v>
      </c>
    </row>
    <row r="158" spans="1:24">
      <c r="A158" s="74" t="s">
        <v>53</v>
      </c>
      <c r="B158" s="24" t="str">
        <f>VLOOKUP(A158,Participanti!A:B,2,0)</f>
        <v>M</v>
      </c>
      <c r="C158" s="75">
        <v>5</v>
      </c>
      <c r="D158" s="76">
        <v>14.2</v>
      </c>
      <c r="E158" s="77">
        <v>5.4571759259259257E-2</v>
      </c>
      <c r="F158" s="78">
        <v>79</v>
      </c>
      <c r="G158" s="20">
        <f t="shared" si="48"/>
        <v>3.8430816379760044E-3</v>
      </c>
      <c r="H158" s="16">
        <f>IF(B158="F",IF(G158&gt;Barem!$AC$2,0,IF(B158="F",VLOOKUP(D158,Barem!$B$2:$C$11,2,1))),IF(G158&gt;Barem!$AC$3,0,VLOOKUP(D158,Barem!$B$12:$C$21,2,1)))</f>
        <v>3</v>
      </c>
      <c r="I158" s="16">
        <f>IF(H158=0,0,IF(B158="F",VLOOKUP(G158,Barem!$G$2:$H$11,2,1),VLOOKUP(G158,Barem!$G$12:$H$21,2,1)))</f>
        <v>1.5</v>
      </c>
      <c r="J158" s="75">
        <v>1</v>
      </c>
      <c r="K158" s="83" t="s">
        <v>184</v>
      </c>
      <c r="L158" s="17">
        <f t="shared" si="47"/>
        <v>0.25</v>
      </c>
      <c r="M158" s="17">
        <f t="shared" si="47"/>
        <v>0.25</v>
      </c>
      <c r="N158" s="17">
        <f t="shared" si="47"/>
        <v>0.5</v>
      </c>
      <c r="O158" s="81">
        <f t="shared" si="49"/>
        <v>0</v>
      </c>
      <c r="P158" s="36">
        <f>IF(D158&gt;21,VLOOKUP(D158,Barem!$T$1:$U$39,2,1),0)</f>
        <v>0</v>
      </c>
      <c r="Q158" s="32">
        <f>IF(D158&lt;1.609,0,IF(B158="F",VLOOKUP(G158,Barem!$X$2:$Z$13,2,1),VLOOKUP(G158,Barem!$X$14:$Z$25,2,1)))</f>
        <v>0</v>
      </c>
      <c r="R158" s="36">
        <f>VLOOKUP(A158,Participanti!A:C,3,0)</f>
        <v>0</v>
      </c>
      <c r="S158" s="29">
        <f t="shared" si="50"/>
        <v>1.625</v>
      </c>
      <c r="T158" s="79">
        <v>44017</v>
      </c>
      <c r="U158" s="16">
        <f>COUNTIFS(A:A,A158,C:C,C158)</f>
        <v>1</v>
      </c>
      <c r="V158" s="34">
        <f t="shared" si="51"/>
        <v>0.11443661971830986</v>
      </c>
      <c r="W158" s="3" t="str">
        <f>VLOOKUP(A158,Data_echipe!A:O,15,0)</f>
        <v>Tenchei</v>
      </c>
      <c r="X158" s="3">
        <f t="shared" si="42"/>
        <v>1</v>
      </c>
    </row>
    <row r="159" spans="1:24">
      <c r="A159" s="74" t="s">
        <v>62</v>
      </c>
      <c r="B159" s="24" t="str">
        <f>VLOOKUP(A159,Participanti!A:B,2,0)</f>
        <v>M</v>
      </c>
      <c r="C159" s="75">
        <v>5</v>
      </c>
      <c r="D159" s="76">
        <v>5.01</v>
      </c>
      <c r="E159" s="77">
        <v>2.1412037037037035E-2</v>
      </c>
      <c r="F159" s="78">
        <v>28</v>
      </c>
      <c r="G159" s="20">
        <f t="shared" si="48"/>
        <v>4.2738596880313442E-3</v>
      </c>
      <c r="H159" s="16">
        <f>IF(B159="F",IF(G159&gt;Barem!$AC$2,0,IF(B159="F",VLOOKUP(D159,Barem!$B$2:$C$11,2,1))),IF(G159&gt;Barem!$AC$3,0,VLOOKUP(D159,Barem!$B$12:$C$21,2,1)))</f>
        <v>1.5</v>
      </c>
      <c r="I159" s="16">
        <f>IF(H159=0,0,IF(B159="F",VLOOKUP(G159,Barem!$G$2:$H$11,2,1),VLOOKUP(G159,Barem!$G$12:$H$21,2,1)))</f>
        <v>1</v>
      </c>
      <c r="J159" s="75">
        <v>4</v>
      </c>
      <c r="K159" s="83" t="s">
        <v>184</v>
      </c>
      <c r="L159" s="17">
        <f t="shared" si="47"/>
        <v>0.25</v>
      </c>
      <c r="M159" s="17">
        <f t="shared" si="47"/>
        <v>0.25</v>
      </c>
      <c r="N159" s="17">
        <f t="shared" si="47"/>
        <v>0.5</v>
      </c>
      <c r="O159" s="81">
        <f t="shared" si="49"/>
        <v>0</v>
      </c>
      <c r="P159" s="36">
        <f>IF(D159&gt;21,VLOOKUP(D159,Barem!$T$1:$U$39,2,1),0)</f>
        <v>0</v>
      </c>
      <c r="Q159" s="32">
        <f>IF(D159&lt;1.609,0,IF(B159="F",VLOOKUP(G159,Barem!$X$2:$Z$13,2,1),VLOOKUP(G159,Barem!$X$14:$Z$25,2,1)))</f>
        <v>0</v>
      </c>
      <c r="R159" s="36">
        <f>VLOOKUP(A159,Participanti!A:C,3,0)</f>
        <v>0</v>
      </c>
      <c r="S159" s="29">
        <f t="shared" si="50"/>
        <v>2.625</v>
      </c>
      <c r="T159" s="79">
        <v>44017</v>
      </c>
      <c r="U159" s="16">
        <f>COUNTIFS(A:A,A159,C:C,C159)</f>
        <v>1</v>
      </c>
      <c r="V159" s="34">
        <f t="shared" si="51"/>
        <v>0.5239520958083832</v>
      </c>
      <c r="W159" s="3" t="str">
        <f>VLOOKUP(A159,Data_echipe!A:O,15,0)</f>
        <v>Serioranistii</v>
      </c>
      <c r="X159" s="3">
        <f t="shared" si="42"/>
        <v>1</v>
      </c>
    </row>
    <row r="160" spans="1:24">
      <c r="A160" s="74" t="s">
        <v>52</v>
      </c>
      <c r="B160" s="24" t="str">
        <f>VLOOKUP(A160,Participanti!A:B,2,0)</f>
        <v>M</v>
      </c>
      <c r="C160" s="75">
        <v>5</v>
      </c>
      <c r="D160" s="76">
        <v>21.12</v>
      </c>
      <c r="E160" s="77">
        <v>7.0520833333333324E-2</v>
      </c>
      <c r="F160" s="78">
        <v>394</v>
      </c>
      <c r="G160" s="20">
        <f t="shared" si="48"/>
        <v>3.3390546085858581E-3</v>
      </c>
      <c r="H160" s="16">
        <f>IF(B160="F",IF(G160&gt;Barem!$AC$2,0,IF(B160="F",VLOOKUP(D160,Barem!$B$2:$C$11,2,1))),IF(G160&gt;Barem!$AC$3,0,VLOOKUP(D160,Barem!$B$12:$C$21,2,1)))</f>
        <v>5</v>
      </c>
      <c r="I160" s="16">
        <f>IF(H160=0,0,IF(B160="F",VLOOKUP(G160,Barem!$G$2:$H$11,2,1),VLOOKUP(G160,Barem!$G$12:$H$21,2,1)))</f>
        <v>3</v>
      </c>
      <c r="J160" s="75">
        <v>1.5</v>
      </c>
      <c r="K160" s="82" t="str">
        <f>VLOOKUP($C160,Barem!$L$2:$R$13,7,0)</f>
        <v>D</v>
      </c>
      <c r="L160" s="17">
        <f t="shared" ref="L160:N183" si="52">IF($K160=L$1,50%,25%)</f>
        <v>0.5</v>
      </c>
      <c r="M160" s="17">
        <f t="shared" si="52"/>
        <v>0.25</v>
      </c>
      <c r="N160" s="17">
        <f t="shared" si="52"/>
        <v>0.25</v>
      </c>
      <c r="O160" s="81">
        <f t="shared" si="49"/>
        <v>0.26266666666666666</v>
      </c>
      <c r="P160" s="36">
        <f>IF(D160&gt;21,VLOOKUP(D160,Barem!$T$1:$U$39,2,1),0)</f>
        <v>0</v>
      </c>
      <c r="Q160" s="32">
        <f>IF(D160&lt;1.609,0,IF(B160="F",VLOOKUP(G160,Barem!$X$2:$Z$13,2,1),VLOOKUP(G160,Barem!$X$14:$Z$25,2,1)))</f>
        <v>0</v>
      </c>
      <c r="R160" s="36">
        <f>VLOOKUP(A160,Participanti!A:C,3,0)</f>
        <v>0</v>
      </c>
      <c r="S160" s="29">
        <f t="shared" si="50"/>
        <v>3.8876666666666666</v>
      </c>
      <c r="T160" s="79">
        <v>44017</v>
      </c>
      <c r="U160" s="16">
        <f>COUNTIFS(A:A,A160,C:C,C160)</f>
        <v>1</v>
      </c>
      <c r="V160" s="34">
        <f t="shared" si="51"/>
        <v>0.18407512626262626</v>
      </c>
      <c r="W160" s="3" t="str">
        <f>VLOOKUP(A160,Data_echipe!A:O,15,0)</f>
        <v xml:space="preserve"> Let it run</v>
      </c>
      <c r="X160" s="3">
        <f t="shared" si="42"/>
        <v>1</v>
      </c>
    </row>
    <row r="161" spans="1:24">
      <c r="A161" s="74" t="s">
        <v>114</v>
      </c>
      <c r="B161" s="24" t="str">
        <f>VLOOKUP(A161,Participanti!A:B,2,0)</f>
        <v>M</v>
      </c>
      <c r="C161" s="75">
        <v>5</v>
      </c>
      <c r="D161" s="76">
        <v>10</v>
      </c>
      <c r="E161" s="77">
        <v>3.4409722222222223E-2</v>
      </c>
      <c r="F161" s="78">
        <v>301</v>
      </c>
      <c r="G161" s="20">
        <f t="shared" si="48"/>
        <v>3.4409722222222224E-3</v>
      </c>
      <c r="H161" s="16">
        <f>IF(B161="F",IF(G161&gt;Barem!$AC$2,0,IF(B161="F",VLOOKUP(D161,Barem!$B$2:$C$11,2,1))),IF(G161&gt;Barem!$AC$3,0,VLOOKUP(D161,Barem!$B$12:$C$21,2,1)))</f>
        <v>2.5</v>
      </c>
      <c r="I161" s="16">
        <f>IF(H161=0,0,IF(B161="F",VLOOKUP(G161,Barem!$G$2:$H$11,2,1),VLOOKUP(G161,Barem!$G$12:$H$21,2,1)))</f>
        <v>3</v>
      </c>
      <c r="J161" s="75">
        <v>2.5</v>
      </c>
      <c r="K161" s="82" t="str">
        <f>VLOOKUP($C161,Barem!$L$2:$R$13,7,0)</f>
        <v>D</v>
      </c>
      <c r="L161" s="17">
        <f t="shared" si="52"/>
        <v>0.5</v>
      </c>
      <c r="M161" s="17">
        <f t="shared" si="52"/>
        <v>0.25</v>
      </c>
      <c r="N161" s="17">
        <f t="shared" si="52"/>
        <v>0.25</v>
      </c>
      <c r="O161" s="81">
        <f t="shared" si="49"/>
        <v>0.20066666666666666</v>
      </c>
      <c r="P161" s="36">
        <f>IF(D161&gt;21,VLOOKUP(D161,Barem!$T$1:$U$39,2,1),0)</f>
        <v>0</v>
      </c>
      <c r="Q161" s="32">
        <f>IF(D161&lt;1.609,0,IF(B161="F",VLOOKUP(G161,Barem!$X$2:$Z$13,2,1),VLOOKUP(G161,Barem!$X$14:$Z$25,2,1)))</f>
        <v>0</v>
      </c>
      <c r="R161" s="36">
        <f>VLOOKUP(A161,Participanti!A:C,3,0)</f>
        <v>0</v>
      </c>
      <c r="S161" s="29">
        <f t="shared" si="50"/>
        <v>2.8256666666666668</v>
      </c>
      <c r="T161" s="79">
        <v>44012</v>
      </c>
      <c r="U161" s="16">
        <f>COUNTIFS(A:A,A161,C:C,C161)</f>
        <v>1</v>
      </c>
      <c r="V161" s="34">
        <f t="shared" si="51"/>
        <v>0.28256666666666669</v>
      </c>
      <c r="W161" s="3" t="str">
        <f>VLOOKUP(A161,Data_echipe!A:O,15,0)</f>
        <v>Serioranistii</v>
      </c>
      <c r="X161" s="3">
        <f t="shared" si="42"/>
        <v>1</v>
      </c>
    </row>
    <row r="162" spans="1:24">
      <c r="A162" s="74" t="s">
        <v>68</v>
      </c>
      <c r="B162" s="24" t="str">
        <f>VLOOKUP(A162,Participanti!A:B,2,0)</f>
        <v>M</v>
      </c>
      <c r="C162" s="75">
        <v>5</v>
      </c>
      <c r="D162" s="76">
        <v>17.02</v>
      </c>
      <c r="E162" s="77">
        <v>6.0821759259259256E-2</v>
      </c>
      <c r="F162" s="78">
        <v>17</v>
      </c>
      <c r="G162" s="20">
        <f t="shared" si="48"/>
        <v>3.5735463724594157E-3</v>
      </c>
      <c r="H162" s="16">
        <f>IF(B162="F",IF(G162&gt;Barem!$AC$2,0,IF(B162="F",VLOOKUP(D162,Barem!$B$2:$C$11,2,1))),IF(G162&gt;Barem!$AC$3,0,VLOOKUP(D162,Barem!$B$12:$C$21,2,1)))</f>
        <v>4</v>
      </c>
      <c r="I162" s="16">
        <f>IF(H162=0,0,IF(B162="F",VLOOKUP(G162,Barem!$G$2:$H$11,2,1),VLOOKUP(G162,Barem!$G$12:$H$21,2,1)))</f>
        <v>2.5</v>
      </c>
      <c r="J162" s="75">
        <v>3</v>
      </c>
      <c r="K162" s="82" t="str">
        <f>VLOOKUP($C162,Barem!$L$2:$R$13,7,0)</f>
        <v>D</v>
      </c>
      <c r="L162" s="17">
        <f t="shared" si="52"/>
        <v>0.5</v>
      </c>
      <c r="M162" s="17">
        <f t="shared" si="52"/>
        <v>0.25</v>
      </c>
      <c r="N162" s="17">
        <f t="shared" si="52"/>
        <v>0.25</v>
      </c>
      <c r="O162" s="81">
        <f t="shared" si="49"/>
        <v>0</v>
      </c>
      <c r="P162" s="36">
        <f>IF(D162&gt;21,VLOOKUP(D162,Barem!$T$1:$U$39,2,1),0)</f>
        <v>0</v>
      </c>
      <c r="Q162" s="32">
        <f>IF(D162&lt;1.609,0,IF(B162="F",VLOOKUP(G162,Barem!$X$2:$Z$13,2,1),VLOOKUP(G162,Barem!$X$14:$Z$25,2,1)))</f>
        <v>0</v>
      </c>
      <c r="R162" s="36">
        <f>VLOOKUP(A162,Participanti!A:C,3,0)</f>
        <v>0</v>
      </c>
      <c r="S162" s="29">
        <f t="shared" si="50"/>
        <v>3.375</v>
      </c>
      <c r="T162" s="79">
        <v>44012</v>
      </c>
      <c r="U162" s="16">
        <f>COUNTIFS(A:A,A162,C:C,C162)</f>
        <v>1</v>
      </c>
      <c r="V162" s="34">
        <f t="shared" si="51"/>
        <v>0.1982961222091657</v>
      </c>
      <c r="W162" s="3" t="str">
        <f>VLOOKUP(A162,Data_echipe!A:O,15,0)</f>
        <v>Unicornii</v>
      </c>
      <c r="X162" s="3">
        <f t="shared" si="42"/>
        <v>1</v>
      </c>
    </row>
    <row r="163" spans="1:24">
      <c r="A163" s="74" t="s">
        <v>86</v>
      </c>
      <c r="B163" s="24" t="str">
        <f>VLOOKUP(A163,Participanti!A:B,2,0)</f>
        <v>M</v>
      </c>
      <c r="C163" s="75">
        <v>5</v>
      </c>
      <c r="D163" s="76">
        <v>11</v>
      </c>
      <c r="E163" s="77">
        <v>4.7280092592592589E-2</v>
      </c>
      <c r="F163" s="78">
        <v>53</v>
      </c>
      <c r="G163" s="20">
        <f t="shared" si="48"/>
        <v>4.298190235690235E-3</v>
      </c>
      <c r="H163" s="16">
        <f>IF(B163="F",IF(G163&gt;Barem!$AC$2,0,IF(B163="F",VLOOKUP(D163,Barem!$B$2:$C$11,2,1))),IF(G163&gt;Barem!$AC$3,0,VLOOKUP(D163,Barem!$B$12:$C$21,2,1)))</f>
        <v>2.5</v>
      </c>
      <c r="I163" s="16">
        <f>IF(H163=0,0,IF(B163="F",VLOOKUP(G163,Barem!$G$2:$H$11,2,1),VLOOKUP(G163,Barem!$G$12:$H$21,2,1)))</f>
        <v>1</v>
      </c>
      <c r="J163" s="75">
        <v>4</v>
      </c>
      <c r="K163" s="83" t="s">
        <v>184</v>
      </c>
      <c r="L163" s="17">
        <f t="shared" si="52"/>
        <v>0.25</v>
      </c>
      <c r="M163" s="17">
        <f t="shared" si="52"/>
        <v>0.25</v>
      </c>
      <c r="N163" s="17">
        <f t="shared" si="52"/>
        <v>0.5</v>
      </c>
      <c r="O163" s="81">
        <f t="shared" si="49"/>
        <v>0</v>
      </c>
      <c r="P163" s="36">
        <f>IF(D163&gt;21,VLOOKUP(D163,Barem!$T$1:$U$39,2,1),0)</f>
        <v>0</v>
      </c>
      <c r="Q163" s="32">
        <f>IF(D163&lt;1.609,0,IF(B163="F",VLOOKUP(G163,Barem!$X$2:$Z$13,2,1),VLOOKUP(G163,Barem!$X$14:$Z$25,2,1)))</f>
        <v>0</v>
      </c>
      <c r="R163" s="36">
        <f>VLOOKUP(A163,Participanti!A:C,3,0)</f>
        <v>0</v>
      </c>
      <c r="S163" s="29">
        <f t="shared" si="50"/>
        <v>2.875</v>
      </c>
      <c r="T163" s="79">
        <v>44017</v>
      </c>
      <c r="U163" s="16">
        <f>COUNTIFS(A:A,A163,C:C,C163)</f>
        <v>1</v>
      </c>
      <c r="V163" s="34">
        <f t="shared" si="51"/>
        <v>0.26136363636363635</v>
      </c>
      <c r="W163" s="3" t="str">
        <f>VLOOKUP(A163,Data_echipe!A:O,15,0)</f>
        <v>Unicornii</v>
      </c>
      <c r="X163" s="3">
        <f t="shared" si="42"/>
        <v>1</v>
      </c>
    </row>
    <row r="164" spans="1:24">
      <c r="A164" s="74" t="s">
        <v>172</v>
      </c>
      <c r="B164" s="24" t="str">
        <f>VLOOKUP(A164,Participanti!A:B,2,0)</f>
        <v>F</v>
      </c>
      <c r="C164" s="75">
        <v>5</v>
      </c>
      <c r="D164" s="76">
        <v>30</v>
      </c>
      <c r="E164" s="77">
        <v>0.12592592592592591</v>
      </c>
      <c r="F164" s="78">
        <v>5</v>
      </c>
      <c r="G164" s="20">
        <f t="shared" si="48"/>
        <v>4.19753086419753E-3</v>
      </c>
      <c r="H164" s="16">
        <f>IF(B164="F",IF(G164&gt;Barem!$AC$2,0,IF(B164="F",VLOOKUP(D164,Barem!$B$2:$C$11,2,1))),IF(G164&gt;Barem!$AC$3,0,VLOOKUP(D164,Barem!$B$12:$C$21,2,1)))</f>
        <v>5</v>
      </c>
      <c r="I164" s="16">
        <f>IF(H164=0,0,IF(B164="F",VLOOKUP(G164,Barem!$G$2:$H$11,2,1),VLOOKUP(G164,Barem!$G$12:$H$21,2,1)))</f>
        <v>1.5</v>
      </c>
      <c r="J164" s="75">
        <v>1.5</v>
      </c>
      <c r="K164" s="82" t="str">
        <f>VLOOKUP($C164,Barem!$L$2:$R$13,7,0)</f>
        <v>D</v>
      </c>
      <c r="L164" s="17">
        <f t="shared" si="52"/>
        <v>0.5</v>
      </c>
      <c r="M164" s="17">
        <f t="shared" si="52"/>
        <v>0.25</v>
      </c>
      <c r="N164" s="17">
        <f t="shared" si="52"/>
        <v>0.25</v>
      </c>
      <c r="O164" s="81">
        <f t="shared" si="49"/>
        <v>0</v>
      </c>
      <c r="P164" s="36">
        <f>IF(D164&gt;21,VLOOKUP(D164,Barem!$T$1:$U$39,2,1),0)</f>
        <v>0.1</v>
      </c>
      <c r="Q164" s="32">
        <f>IF(D164&lt;1.609,0,IF(B164="F",VLOOKUP(G164,Barem!$X$2:$Z$13,2,1),VLOOKUP(G164,Barem!$X$14:$Z$25,2,1)))</f>
        <v>0</v>
      </c>
      <c r="R164" s="36">
        <f>VLOOKUP(A164,Participanti!A:C,3,0)</f>
        <v>0</v>
      </c>
      <c r="S164" s="29">
        <f t="shared" si="50"/>
        <v>3.35</v>
      </c>
      <c r="T164" s="79">
        <v>44017</v>
      </c>
      <c r="U164" s="16">
        <f>COUNTIFS(A:A,A164,C:C,C164)</f>
        <v>1</v>
      </c>
      <c r="V164" s="34">
        <f t="shared" si="51"/>
        <v>0.11166666666666666</v>
      </c>
      <c r="W164" s="3" t="str">
        <f>VLOOKUP(A164,Data_echipe!A:O,15,0)</f>
        <v>Unicornii</v>
      </c>
      <c r="X164" s="3">
        <f t="shared" si="42"/>
        <v>1</v>
      </c>
    </row>
    <row r="165" spans="1:24">
      <c r="A165" s="74" t="s">
        <v>54</v>
      </c>
      <c r="B165" s="24" t="str">
        <f>VLOOKUP(A165,Participanti!A:B,2,0)</f>
        <v>M</v>
      </c>
      <c r="C165" s="75">
        <v>5</v>
      </c>
      <c r="D165" s="76">
        <v>22.19</v>
      </c>
      <c r="E165" s="77">
        <v>9.0011574074074077E-2</v>
      </c>
      <c r="F165" s="78">
        <v>347</v>
      </c>
      <c r="G165" s="20">
        <f t="shared" si="48"/>
        <v>4.0564026171281695E-3</v>
      </c>
      <c r="H165" s="16">
        <f>IF(B165="F",IF(G165&gt;Barem!$AC$2,0,IF(B165="F",VLOOKUP(D165,Barem!$B$2:$C$11,2,1))),IF(G165&gt;Barem!$AC$3,0,VLOOKUP(D165,Barem!$B$12:$C$21,2,1)))</f>
        <v>5</v>
      </c>
      <c r="I165" s="16">
        <f>IF(H165=0,0,IF(B165="F",VLOOKUP(G165,Barem!$G$2:$H$11,2,1),VLOOKUP(G165,Barem!$G$12:$H$21,2,1)))</f>
        <v>1.5</v>
      </c>
      <c r="J165" s="75">
        <v>2.5</v>
      </c>
      <c r="K165" s="82" t="str">
        <f>VLOOKUP($C165,Barem!$L$2:$R$13,7,0)</f>
        <v>D</v>
      </c>
      <c r="L165" s="17">
        <f t="shared" si="52"/>
        <v>0.5</v>
      </c>
      <c r="M165" s="17">
        <f t="shared" si="52"/>
        <v>0.25</v>
      </c>
      <c r="N165" s="17">
        <f t="shared" si="52"/>
        <v>0.25</v>
      </c>
      <c r="O165" s="81">
        <f t="shared" si="49"/>
        <v>0.23133333333333334</v>
      </c>
      <c r="P165" s="36">
        <f>IF(D165&gt;21,VLOOKUP(D165,Barem!$T$1:$U$39,2,1),0)</f>
        <v>0</v>
      </c>
      <c r="Q165" s="32">
        <f>IF(D165&lt;1.609,0,IF(B165="F",VLOOKUP(G165,Barem!$X$2:$Z$13,2,1),VLOOKUP(G165,Barem!$X$14:$Z$25,2,1)))</f>
        <v>0</v>
      </c>
      <c r="R165" s="36">
        <f>VLOOKUP(A165,Participanti!A:C,3,0)</f>
        <v>0.5</v>
      </c>
      <c r="S165" s="29">
        <f t="shared" si="50"/>
        <v>4.2313333333333336</v>
      </c>
      <c r="T165" s="79">
        <v>44016</v>
      </c>
      <c r="U165" s="16">
        <f>COUNTIFS(A:A,A165,C:C,C165)</f>
        <v>1</v>
      </c>
      <c r="V165" s="34">
        <f t="shared" si="51"/>
        <v>0.19068649541835661</v>
      </c>
      <c r="W165" s="3" t="str">
        <f>VLOOKUP(A165,Data_echipe!A:O,15,0)</f>
        <v>Serioranistii</v>
      </c>
      <c r="X165" s="3">
        <f t="shared" si="42"/>
        <v>1</v>
      </c>
    </row>
    <row r="166" spans="1:24">
      <c r="A166" s="74" t="s">
        <v>201</v>
      </c>
      <c r="B166" s="24" t="str">
        <f>VLOOKUP(A166,Participanti!A:B,2,0)</f>
        <v>F</v>
      </c>
      <c r="C166" s="75">
        <v>5</v>
      </c>
      <c r="D166" s="76">
        <v>21</v>
      </c>
      <c r="E166" s="77">
        <v>9.5462962962962972E-2</v>
      </c>
      <c r="F166" s="78">
        <v>447</v>
      </c>
      <c r="G166" s="20">
        <f t="shared" si="48"/>
        <v>4.5458553791887131E-3</v>
      </c>
      <c r="H166" s="16">
        <f>IF(B166="F",IF(G166&gt;Barem!$AC$2,0,IF(B166="F",VLOOKUP(D166,Barem!$B$2:$C$11,2,1))),IF(G166&gt;Barem!$AC$3,0,VLOOKUP(D166,Barem!$B$12:$C$21,2,1)))</f>
        <v>5</v>
      </c>
      <c r="I166" s="16">
        <f>IF(H166=0,0,IF(B166="F",VLOOKUP(G166,Barem!$G$2:$H$11,2,1),VLOOKUP(G166,Barem!$G$12:$H$21,2,1)))</f>
        <v>1</v>
      </c>
      <c r="J166" s="75">
        <v>4</v>
      </c>
      <c r="K166" s="82" t="str">
        <f>VLOOKUP($C166,Barem!$L$2:$R$13,7,0)</f>
        <v>D</v>
      </c>
      <c r="L166" s="17">
        <f t="shared" si="52"/>
        <v>0.5</v>
      </c>
      <c r="M166" s="17">
        <f t="shared" si="52"/>
        <v>0.25</v>
      </c>
      <c r="N166" s="17">
        <f t="shared" si="52"/>
        <v>0.25</v>
      </c>
      <c r="O166" s="81">
        <f t="shared" si="49"/>
        <v>0.29799999999999999</v>
      </c>
      <c r="P166" s="36">
        <f>IF(D166&gt;21,VLOOKUP(D166,Barem!$T$1:$U$39,2,1),0)</f>
        <v>0</v>
      </c>
      <c r="Q166" s="32">
        <f>IF(D166&lt;1.609,0,IF(B166="F",VLOOKUP(G166,Barem!$X$2:$Z$13,2,1),VLOOKUP(G166,Barem!$X$14:$Z$25,2,1)))</f>
        <v>0</v>
      </c>
      <c r="R166" s="36">
        <f>VLOOKUP(A166,Participanti!A:C,3,0)</f>
        <v>0</v>
      </c>
      <c r="S166" s="29">
        <f t="shared" si="50"/>
        <v>4.048</v>
      </c>
      <c r="T166" s="79">
        <v>44017</v>
      </c>
      <c r="U166" s="16">
        <f>COUNTIFS(A:A,A166,C:C,C166)</f>
        <v>1</v>
      </c>
      <c r="V166" s="34">
        <f t="shared" si="51"/>
        <v>0.19276190476190477</v>
      </c>
      <c r="W166" s="3" t="str">
        <f>VLOOKUP(A166,Data_echipe!A:O,15,0)</f>
        <v>X Æ A-12</v>
      </c>
      <c r="X166" s="3">
        <f t="shared" si="42"/>
        <v>1</v>
      </c>
    </row>
    <row r="167" spans="1:24">
      <c r="A167" s="74" t="s">
        <v>202</v>
      </c>
      <c r="B167" s="24" t="str">
        <f>VLOOKUP(A167,Participanti!A:B,2,0)</f>
        <v>M</v>
      </c>
      <c r="C167" s="75">
        <v>5</v>
      </c>
      <c r="D167" s="76">
        <v>18.03</v>
      </c>
      <c r="E167" s="77">
        <v>7.5104166666666666E-2</v>
      </c>
      <c r="F167" s="78">
        <v>121</v>
      </c>
      <c r="G167" s="20">
        <f t="shared" si="48"/>
        <v>4.1655111850619339E-3</v>
      </c>
      <c r="H167" s="16">
        <f>IF(B167="F",IF(G167&gt;Barem!$AC$2,0,IF(B167="F",VLOOKUP(D167,Barem!$B$2:$C$11,2,1))),IF(G167&gt;Barem!$AC$3,0,VLOOKUP(D167,Barem!$B$12:$C$21,2,1)))</f>
        <v>4</v>
      </c>
      <c r="I167" s="16">
        <f>IF(H167=0,0,IF(B167="F",VLOOKUP(G167,Barem!$G$2:$H$11,2,1),VLOOKUP(G167,Barem!$G$12:$H$21,2,1)))</f>
        <v>1.5</v>
      </c>
      <c r="J167" s="75">
        <v>4</v>
      </c>
      <c r="K167" s="82" t="str">
        <f>VLOOKUP($C167,Barem!$L$2:$R$13,7,0)</f>
        <v>D</v>
      </c>
      <c r="L167" s="17">
        <f t="shared" si="52"/>
        <v>0.5</v>
      </c>
      <c r="M167" s="17">
        <f t="shared" si="52"/>
        <v>0.25</v>
      </c>
      <c r="N167" s="17">
        <f t="shared" si="52"/>
        <v>0.25</v>
      </c>
      <c r="O167" s="81">
        <f t="shared" si="49"/>
        <v>8.0666666666666664E-2</v>
      </c>
      <c r="P167" s="36">
        <f>IF(D167&gt;21,VLOOKUP(D167,Barem!$T$1:$U$39,2,1),0)</f>
        <v>0</v>
      </c>
      <c r="Q167" s="32">
        <f>IF(D167&lt;1.609,0,IF(B167="F",VLOOKUP(G167,Barem!$X$2:$Z$13,2,1),VLOOKUP(G167,Barem!$X$14:$Z$25,2,1)))</f>
        <v>0</v>
      </c>
      <c r="R167" s="36">
        <f>VLOOKUP(A167,Participanti!A:C,3,0)</f>
        <v>0</v>
      </c>
      <c r="S167" s="29">
        <f t="shared" si="50"/>
        <v>3.4556666666666667</v>
      </c>
      <c r="T167" s="79">
        <v>44012</v>
      </c>
      <c r="U167" s="16">
        <f>COUNTIFS(A:A,A167,C:C,C167)</f>
        <v>1</v>
      </c>
      <c r="V167" s="34">
        <f t="shared" si="51"/>
        <v>0.19166204474024773</v>
      </c>
      <c r="W167" s="3" t="str">
        <f>VLOOKUP(A167,Data_echipe!A:O,15,0)</f>
        <v>X Æ A-12</v>
      </c>
      <c r="X167" s="3">
        <f t="shared" si="42"/>
        <v>1</v>
      </c>
    </row>
    <row r="168" spans="1:24">
      <c r="A168" s="74" t="s">
        <v>171</v>
      </c>
      <c r="B168" s="24" t="str">
        <f>VLOOKUP(A168,Participanti!A:B,2,0)</f>
        <v>M</v>
      </c>
      <c r="C168" s="75">
        <v>5</v>
      </c>
      <c r="D168" s="76">
        <v>21.37</v>
      </c>
      <c r="E168" s="77">
        <v>7.5590277777777784E-2</v>
      </c>
      <c r="F168" s="78">
        <v>21</v>
      </c>
      <c r="G168" s="20">
        <f t="shared" si="48"/>
        <v>3.5372146830967609E-3</v>
      </c>
      <c r="H168" s="16">
        <f>IF(B168="F",IF(G168&gt;Barem!$AC$2,0,IF(B168="F",VLOOKUP(D168,Barem!$B$2:$C$11,2,1))),IF(G168&gt;Barem!$AC$3,0,VLOOKUP(D168,Barem!$B$12:$C$21,2,1)))</f>
        <v>5</v>
      </c>
      <c r="I168" s="16">
        <f>IF(H168=0,0,IF(B168="F",VLOOKUP(G168,Barem!$G$2:$H$11,2,1),VLOOKUP(G168,Barem!$G$12:$H$21,2,1)))</f>
        <v>2.5</v>
      </c>
      <c r="J168" s="75">
        <v>3.5</v>
      </c>
      <c r="K168" s="82" t="str">
        <f>VLOOKUP($C168,Barem!$L$2:$R$13,7,0)</f>
        <v>D</v>
      </c>
      <c r="L168" s="17">
        <f t="shared" si="52"/>
        <v>0.5</v>
      </c>
      <c r="M168" s="17">
        <f t="shared" si="52"/>
        <v>0.25</v>
      </c>
      <c r="N168" s="17">
        <f t="shared" si="52"/>
        <v>0.25</v>
      </c>
      <c r="O168" s="81">
        <f t="shared" si="49"/>
        <v>0</v>
      </c>
      <c r="P168" s="36">
        <f>IF(D168&gt;21,VLOOKUP(D168,Barem!$T$1:$U$39,2,1),0)</f>
        <v>0</v>
      </c>
      <c r="Q168" s="32">
        <f>IF(D168&lt;1.609,0,IF(B168="F",VLOOKUP(G168,Barem!$X$2:$Z$13,2,1),VLOOKUP(G168,Barem!$X$14:$Z$25,2,1)))</f>
        <v>0</v>
      </c>
      <c r="R168" s="36">
        <f>VLOOKUP(A168,Participanti!A:C,3,0)</f>
        <v>0</v>
      </c>
      <c r="S168" s="29">
        <f t="shared" si="50"/>
        <v>4</v>
      </c>
      <c r="T168" s="79">
        <v>44016</v>
      </c>
      <c r="U168" s="16">
        <f>COUNTIFS(A:A,A168,C:C,C168)</f>
        <v>1</v>
      </c>
      <c r="V168" s="34">
        <f t="shared" si="51"/>
        <v>0.18717828731867103</v>
      </c>
      <c r="W168" s="3" t="str">
        <f>VLOOKUP(A168,Data_echipe!A:O,15,0)</f>
        <v>X Æ A-12</v>
      </c>
      <c r="X168" s="3">
        <f t="shared" si="42"/>
        <v>1</v>
      </c>
    </row>
    <row r="169" spans="1:24">
      <c r="A169" s="74" t="s">
        <v>60</v>
      </c>
      <c r="B169" s="24" t="str">
        <f>VLOOKUP(A169,Participanti!A:B,2,0)</f>
        <v>M</v>
      </c>
      <c r="C169" s="75">
        <v>5</v>
      </c>
      <c r="D169" s="76">
        <v>23.13</v>
      </c>
      <c r="E169" s="77">
        <v>9.4791666666666663E-2</v>
      </c>
      <c r="F169" s="78">
        <v>76</v>
      </c>
      <c r="G169" s="20">
        <f t="shared" si="48"/>
        <v>4.0982129989912087E-3</v>
      </c>
      <c r="H169" s="16">
        <f>IF(B169="F",IF(G169&gt;Barem!$AC$2,0,IF(B169="F",VLOOKUP(D169,Barem!$B$2:$C$11,2,1))),IF(G169&gt;Barem!$AC$3,0,VLOOKUP(D169,Barem!$B$12:$C$21,2,1)))</f>
        <v>5</v>
      </c>
      <c r="I169" s="16">
        <f>IF(H169=0,0,IF(B169="F",VLOOKUP(G169,Barem!$G$2:$H$11,2,1),VLOOKUP(G169,Barem!$G$12:$H$21,2,1)))</f>
        <v>1.5</v>
      </c>
      <c r="J169" s="75">
        <v>4</v>
      </c>
      <c r="K169" s="82" t="str">
        <f>VLOOKUP($C169,Barem!$L$2:$R$13,7,0)</f>
        <v>D</v>
      </c>
      <c r="L169" s="17">
        <f t="shared" si="52"/>
        <v>0.5</v>
      </c>
      <c r="M169" s="17">
        <f t="shared" si="52"/>
        <v>0.25</v>
      </c>
      <c r="N169" s="17">
        <f t="shared" si="52"/>
        <v>0.25</v>
      </c>
      <c r="O169" s="81">
        <f t="shared" si="49"/>
        <v>0</v>
      </c>
      <c r="P169" s="36">
        <f>IF(D169&gt;21,VLOOKUP(D169,Barem!$T$1:$U$39,2,1),0)</f>
        <v>0</v>
      </c>
      <c r="Q169" s="32">
        <f>IF(D169&lt;1.609,0,IF(B169="F",VLOOKUP(G169,Barem!$X$2:$Z$13,2,1),VLOOKUP(G169,Barem!$X$14:$Z$25,2,1)))</f>
        <v>0</v>
      </c>
      <c r="R169" s="36">
        <f>VLOOKUP(A169,Participanti!A:C,3,0)</f>
        <v>0</v>
      </c>
      <c r="S169" s="29">
        <f t="shared" si="50"/>
        <v>3.875</v>
      </c>
      <c r="T169" s="79">
        <v>44016</v>
      </c>
      <c r="U169" s="16">
        <f>COUNTIFS(A:A,A169,C:C,C169)</f>
        <v>1</v>
      </c>
      <c r="V169" s="34">
        <f t="shared" si="51"/>
        <v>0.16753134457414615</v>
      </c>
      <c r="W169" s="3" t="str">
        <f>VLOOKUP(A169,Data_echipe!A:O,15,0)</f>
        <v>Tenchei</v>
      </c>
      <c r="X169" s="3">
        <f t="shared" si="42"/>
        <v>1</v>
      </c>
    </row>
    <row r="170" spans="1:24">
      <c r="A170" s="74" t="s">
        <v>200</v>
      </c>
      <c r="B170" s="24" t="str">
        <f>VLOOKUP(A170,Participanti!A:B,2,0)</f>
        <v>M</v>
      </c>
      <c r="C170" s="75">
        <v>5</v>
      </c>
      <c r="D170" s="76">
        <v>26.04</v>
      </c>
      <c r="E170" s="77">
        <v>9.1238425925925917E-2</v>
      </c>
      <c r="F170" s="78">
        <v>0</v>
      </c>
      <c r="G170" s="20">
        <f t="shared" si="48"/>
        <v>3.5037797974625928E-3</v>
      </c>
      <c r="H170" s="16">
        <f>IF(B170="F",IF(G170&gt;Barem!$AC$2,0,IF(B170="F",VLOOKUP(D170,Barem!$B$2:$C$11,2,1))),IF(G170&gt;Barem!$AC$3,0,VLOOKUP(D170,Barem!$B$12:$C$21,2,1)))</f>
        <v>5</v>
      </c>
      <c r="I170" s="16">
        <f>IF(H170=0,0,IF(B170="F",VLOOKUP(G170,Barem!$G$2:$H$11,2,1),VLOOKUP(G170,Barem!$G$12:$H$21,2,1)))</f>
        <v>2.5</v>
      </c>
      <c r="J170" s="75">
        <v>3.5</v>
      </c>
      <c r="K170" s="82" t="str">
        <f>VLOOKUP($C170,Barem!$L$2:$R$13,7,0)</f>
        <v>D</v>
      </c>
      <c r="L170" s="17">
        <f t="shared" si="52"/>
        <v>0.5</v>
      </c>
      <c r="M170" s="17">
        <f t="shared" si="52"/>
        <v>0.25</v>
      </c>
      <c r="N170" s="17">
        <f t="shared" si="52"/>
        <v>0.25</v>
      </c>
      <c r="O170" s="81">
        <f t="shared" si="49"/>
        <v>0</v>
      </c>
      <c r="P170" s="36">
        <f>IF(D170&gt;21,VLOOKUP(D170,Barem!$T$1:$U$39,2,1),0)</f>
        <v>0.1</v>
      </c>
      <c r="Q170" s="32">
        <f>IF(D170&lt;1.609,0,IF(B170="F",VLOOKUP(G170,Barem!$X$2:$Z$13,2,1),VLOOKUP(G170,Barem!$X$14:$Z$25,2,1)))</f>
        <v>0</v>
      </c>
      <c r="R170" s="36">
        <f>VLOOKUP(A170,Participanti!A:C,3,0)</f>
        <v>0</v>
      </c>
      <c r="S170" s="29">
        <f t="shared" si="50"/>
        <v>4.0999999999999996</v>
      </c>
      <c r="T170" s="79">
        <v>44016</v>
      </c>
      <c r="U170" s="16">
        <f>COUNTIFS(A:A,A170,C:C,C170)</f>
        <v>1</v>
      </c>
      <c r="V170" s="34">
        <f t="shared" si="51"/>
        <v>0.15745007680491552</v>
      </c>
      <c r="W170" s="3" t="str">
        <f>VLOOKUP(A170,Data_echipe!A:O,15,0)</f>
        <v xml:space="preserve"> Let it run</v>
      </c>
      <c r="X170" s="3">
        <f t="shared" si="42"/>
        <v>1</v>
      </c>
    </row>
    <row r="171" spans="1:24">
      <c r="A171" s="74" t="s">
        <v>47</v>
      </c>
      <c r="B171" s="24" t="str">
        <f>VLOOKUP(A171,Participanti!A:B,2,0)</f>
        <v>M</v>
      </c>
      <c r="C171" s="75">
        <v>5</v>
      </c>
      <c r="D171" s="76">
        <v>12.34</v>
      </c>
      <c r="E171" s="77">
        <v>4.8923611111111105E-2</v>
      </c>
      <c r="F171" s="78">
        <v>26</v>
      </c>
      <c r="G171" s="20">
        <f t="shared" si="48"/>
        <v>3.9646362326670268E-3</v>
      </c>
      <c r="H171" s="16">
        <f>IF(B171="F",IF(G171&gt;Barem!$AC$2,0,IF(B171="F",VLOOKUP(D171,Barem!$B$2:$C$11,2,1))),IF(G171&gt;Barem!$AC$3,0,VLOOKUP(D171,Barem!$B$12:$C$21,2,1)))</f>
        <v>3</v>
      </c>
      <c r="I171" s="16">
        <f>IF(H171=0,0,IF(B171="F",VLOOKUP(G171,Barem!$G$2:$H$11,2,1),VLOOKUP(G171,Barem!$G$12:$H$21,2,1)))</f>
        <v>1.5</v>
      </c>
      <c r="J171" s="75">
        <v>4.5</v>
      </c>
      <c r="K171" s="83" t="s">
        <v>184</v>
      </c>
      <c r="L171" s="17">
        <f t="shared" si="52"/>
        <v>0.25</v>
      </c>
      <c r="M171" s="17">
        <f t="shared" si="52"/>
        <v>0.25</v>
      </c>
      <c r="N171" s="17">
        <f t="shared" si="52"/>
        <v>0.5</v>
      </c>
      <c r="O171" s="81">
        <f t="shared" si="49"/>
        <v>0</v>
      </c>
      <c r="P171" s="36">
        <f>IF(D171&gt;21,VLOOKUP(D171,Barem!$T$1:$U$39,2,1),0)</f>
        <v>0</v>
      </c>
      <c r="Q171" s="32">
        <f>IF(D171&lt;1.609,0,IF(B171="F",VLOOKUP(G171,Barem!$X$2:$Z$13,2,1),VLOOKUP(G171,Barem!$X$14:$Z$25,2,1)))</f>
        <v>0</v>
      </c>
      <c r="R171" s="36">
        <f>VLOOKUP(A171,Participanti!A:C,3,0)</f>
        <v>0</v>
      </c>
      <c r="S171" s="29">
        <f t="shared" si="50"/>
        <v>3.375</v>
      </c>
      <c r="T171" s="79">
        <v>44014</v>
      </c>
      <c r="U171" s="16">
        <f>COUNTIFS(A:A,A171,C:C,C171)</f>
        <v>1</v>
      </c>
      <c r="V171" s="34">
        <f t="shared" si="51"/>
        <v>0.27350081037277146</v>
      </c>
      <c r="W171" s="3" t="str">
        <f>VLOOKUP(A171,Data_echipe!A:O,15,0)</f>
        <v>X Æ A-12</v>
      </c>
      <c r="X171" s="3">
        <f t="shared" si="42"/>
        <v>1</v>
      </c>
    </row>
    <row r="172" spans="1:24">
      <c r="A172" s="74" t="s">
        <v>205</v>
      </c>
      <c r="B172" s="24" t="str">
        <f>VLOOKUP(A172,Participanti!A:B,2,0)</f>
        <v>M</v>
      </c>
      <c r="C172" s="75">
        <v>5</v>
      </c>
      <c r="D172" s="76">
        <v>10.130000000000001</v>
      </c>
      <c r="E172" s="77">
        <v>2.5034722222222222E-2</v>
      </c>
      <c r="F172" s="78">
        <v>77</v>
      </c>
      <c r="G172" s="20">
        <f t="shared" si="48"/>
        <v>2.4713447405944936E-3</v>
      </c>
      <c r="H172" s="16">
        <f>IF(B172="F",IF(G172&gt;Barem!$AC$2,0,IF(B172="F",VLOOKUP(D172,Barem!$B$2:$C$11,2,1))),IF(G172&gt;Barem!$AC$3,0,VLOOKUP(D172,Barem!$B$12:$C$21,2,1)))</f>
        <v>2.5</v>
      </c>
      <c r="I172" s="16">
        <f>IF(H172=0,0,IF(B172="F",VLOOKUP(G172,Barem!$G$2:$H$11,2,1),VLOOKUP(G172,Barem!$G$12:$H$21,2,1)))</f>
        <v>5</v>
      </c>
      <c r="J172" s="75">
        <v>2</v>
      </c>
      <c r="K172" s="83" t="s">
        <v>183</v>
      </c>
      <c r="L172" s="17">
        <f t="shared" si="52"/>
        <v>0.25</v>
      </c>
      <c r="M172" s="17">
        <f t="shared" si="52"/>
        <v>0.5</v>
      </c>
      <c r="N172" s="17">
        <f t="shared" si="52"/>
        <v>0.25</v>
      </c>
      <c r="O172" s="81">
        <f t="shared" si="49"/>
        <v>0</v>
      </c>
      <c r="P172" s="36">
        <f>IF(D172&gt;21,VLOOKUP(D172,Barem!$T$1:$U$39,2,1),0)</f>
        <v>0</v>
      </c>
      <c r="Q172" s="32">
        <f>IF(D172&lt;1.609,0,IF(B172="F",VLOOKUP(G172,Barem!$X$2:$Z$13,2,1),VLOOKUP(G172,Barem!$X$14:$Z$25,2,1)))</f>
        <v>2.1</v>
      </c>
      <c r="R172" s="36">
        <f>VLOOKUP(A172,Participanti!A:C,3,0)</f>
        <v>0</v>
      </c>
      <c r="S172" s="29">
        <f t="shared" si="50"/>
        <v>5.7249999999999996</v>
      </c>
      <c r="T172" s="79">
        <v>44014</v>
      </c>
      <c r="U172" s="16">
        <f>COUNTIFS(A:A,A172,C:C,C172)</f>
        <v>1</v>
      </c>
      <c r="V172" s="34">
        <f t="shared" si="51"/>
        <v>0.56515301085883507</v>
      </c>
      <c r="W172" s="3" t="str">
        <f>VLOOKUP(A172,Data_echipe!A:O,15,0)</f>
        <v>Serioranistii</v>
      </c>
      <c r="X172" s="3">
        <f t="shared" si="42"/>
        <v>1</v>
      </c>
    </row>
    <row r="173" spans="1:24">
      <c r="A173" s="74" t="s">
        <v>203</v>
      </c>
      <c r="B173" s="24" t="str">
        <f>VLOOKUP(A173,Participanti!A:B,2,0)</f>
        <v>M</v>
      </c>
      <c r="C173" s="75">
        <v>5</v>
      </c>
      <c r="D173" s="76">
        <v>25</v>
      </c>
      <c r="E173" s="77">
        <v>9.1076388888888901E-2</v>
      </c>
      <c r="F173" s="78">
        <v>253</v>
      </c>
      <c r="G173" s="20">
        <f t="shared" si="48"/>
        <v>3.6430555555555561E-3</v>
      </c>
      <c r="H173" s="16">
        <f>IF(B173="F",IF(G173&gt;Barem!$AC$2,0,IF(B173="F",VLOOKUP(D173,Barem!$B$2:$C$11,2,1))),IF(G173&gt;Barem!$AC$3,0,VLOOKUP(D173,Barem!$B$12:$C$21,2,1)))</f>
        <v>5</v>
      </c>
      <c r="I173" s="16">
        <f>IF(H173=0,0,IF(B173="F",VLOOKUP(G173,Barem!$G$2:$H$11,2,1),VLOOKUP(G173,Barem!$G$12:$H$21,2,1)))</f>
        <v>2.5</v>
      </c>
      <c r="J173" s="75">
        <v>3</v>
      </c>
      <c r="K173" s="82" t="str">
        <f>VLOOKUP($C173,Barem!$L$2:$R$13,7,0)</f>
        <v>D</v>
      </c>
      <c r="L173" s="17">
        <f t="shared" si="52"/>
        <v>0.5</v>
      </c>
      <c r="M173" s="17">
        <f t="shared" si="52"/>
        <v>0.25</v>
      </c>
      <c r="N173" s="17">
        <f t="shared" si="52"/>
        <v>0.25</v>
      </c>
      <c r="O173" s="81">
        <f t="shared" si="49"/>
        <v>0.16866666666666666</v>
      </c>
      <c r="P173" s="36">
        <f>IF(D173&gt;21,VLOOKUP(D173,Barem!$T$1:$U$39,2,1),0)</f>
        <v>0</v>
      </c>
      <c r="Q173" s="32">
        <f>IF(D173&lt;1.609,0,IF(B173="F",VLOOKUP(G173,Barem!$X$2:$Z$13,2,1),VLOOKUP(G173,Barem!$X$14:$Z$25,2,1)))</f>
        <v>0</v>
      </c>
      <c r="R173" s="36">
        <f>VLOOKUP(A173,Participanti!A:C,3,0)</f>
        <v>0</v>
      </c>
      <c r="S173" s="29">
        <f t="shared" si="50"/>
        <v>4.0436666666666667</v>
      </c>
      <c r="T173" s="79">
        <v>44017</v>
      </c>
      <c r="U173" s="16">
        <f>COUNTIFS(A:A,A173,C:C,C173)</f>
        <v>1</v>
      </c>
      <c r="V173" s="34">
        <f t="shared" si="51"/>
        <v>0.16174666666666668</v>
      </c>
      <c r="W173" s="3" t="str">
        <f>VLOOKUP(A173,Data_echipe!A:O,15,0)</f>
        <v>Tenchei</v>
      </c>
      <c r="X173" s="3">
        <f t="shared" si="42"/>
        <v>1</v>
      </c>
    </row>
    <row r="174" spans="1:24">
      <c r="A174" s="74" t="s">
        <v>57</v>
      </c>
      <c r="B174" s="24" t="str">
        <f>VLOOKUP(A174,Participanti!A:B,2,0)</f>
        <v>M</v>
      </c>
      <c r="C174" s="75">
        <v>5</v>
      </c>
      <c r="D174" s="76">
        <v>30.32</v>
      </c>
      <c r="E174" s="77">
        <v>9.3321759259259271E-2</v>
      </c>
      <c r="F174" s="78">
        <v>457</v>
      </c>
      <c r="G174" s="20">
        <f t="shared" si="48"/>
        <v>3.0778944346721397E-3</v>
      </c>
      <c r="H174" s="16">
        <f>IF(B174="F",IF(G174&gt;Barem!$AC$2,0,IF(B174="F",VLOOKUP(D174,Barem!$B$2:$C$11,2,1))),IF(G174&gt;Barem!$AC$3,0,VLOOKUP(D174,Barem!$B$12:$C$21,2,1)))</f>
        <v>5</v>
      </c>
      <c r="I174" s="16">
        <f>IF(H174=0,0,IF(B174="F",VLOOKUP(G174,Barem!$G$2:$H$11,2,1),VLOOKUP(G174,Barem!$G$12:$H$21,2,1)))</f>
        <v>4</v>
      </c>
      <c r="J174" s="75">
        <v>4</v>
      </c>
      <c r="K174" s="82" t="str">
        <f>VLOOKUP($C174,Barem!$L$2:$R$13,7,0)</f>
        <v>D</v>
      </c>
      <c r="L174" s="17">
        <f t="shared" si="52"/>
        <v>0.5</v>
      </c>
      <c r="M174" s="17">
        <f t="shared" si="52"/>
        <v>0.25</v>
      </c>
      <c r="N174" s="17">
        <f t="shared" si="52"/>
        <v>0.25</v>
      </c>
      <c r="O174" s="81">
        <f t="shared" si="49"/>
        <v>0.30466666666666664</v>
      </c>
      <c r="P174" s="36">
        <f>IF(D174&gt;21,VLOOKUP(D174,Barem!$T$1:$U$39,2,1),0)</f>
        <v>0.1</v>
      </c>
      <c r="Q174" s="32">
        <f>IF(D174&lt;1.609,0,IF(B174="F",VLOOKUP(G174,Barem!$X$2:$Z$13,2,1),VLOOKUP(G174,Barem!$X$14:$Z$25,2,1)))</f>
        <v>0</v>
      </c>
      <c r="R174" s="36">
        <f>VLOOKUP(A174,Participanti!A:C,3,0)</f>
        <v>0</v>
      </c>
      <c r="S174" s="29">
        <f t="shared" si="50"/>
        <v>4.9046666666666665</v>
      </c>
      <c r="T174" s="79">
        <v>44017</v>
      </c>
      <c r="U174" s="16">
        <f>COUNTIFS(A:A,A174,C:C,C174)</f>
        <v>1</v>
      </c>
      <c r="V174" s="34">
        <f t="shared" si="51"/>
        <v>0.16176341248900614</v>
      </c>
      <c r="W174" s="3" t="str">
        <f>VLOOKUP(A174,Data_echipe!A:O,15,0)</f>
        <v>Tenchei</v>
      </c>
      <c r="X174" s="3">
        <f t="shared" si="42"/>
        <v>1</v>
      </c>
    </row>
    <row r="175" spans="1:24">
      <c r="A175" s="74" t="s">
        <v>55</v>
      </c>
      <c r="B175" s="24" t="str">
        <f>VLOOKUP(A175,Participanti!A:B,2,0)</f>
        <v>M</v>
      </c>
      <c r="C175" s="75">
        <v>5</v>
      </c>
      <c r="D175" s="76">
        <v>21.11</v>
      </c>
      <c r="E175" s="77">
        <v>7.2685185185185186E-2</v>
      </c>
      <c r="F175" s="78">
        <v>27</v>
      </c>
      <c r="G175" s="20">
        <f t="shared" si="48"/>
        <v>3.4431636752811552E-3</v>
      </c>
      <c r="H175" s="16">
        <f>IF(B175="F",IF(G175&gt;Barem!$AC$2,0,IF(B175="F",VLOOKUP(D175,Barem!$B$2:$C$11,2,1))),IF(G175&gt;Barem!$AC$3,0,VLOOKUP(D175,Barem!$B$12:$C$21,2,1)))</f>
        <v>5</v>
      </c>
      <c r="I175" s="16">
        <f>IF(H175=0,0,IF(B175="F",VLOOKUP(G175,Barem!$G$2:$H$11,2,1),VLOOKUP(G175,Barem!$G$12:$H$21,2,1)))</f>
        <v>3</v>
      </c>
      <c r="J175" s="75">
        <v>5</v>
      </c>
      <c r="K175" s="83" t="s">
        <v>183</v>
      </c>
      <c r="L175" s="17">
        <f t="shared" si="52"/>
        <v>0.25</v>
      </c>
      <c r="M175" s="17">
        <f t="shared" si="52"/>
        <v>0.5</v>
      </c>
      <c r="N175" s="17">
        <f t="shared" si="52"/>
        <v>0.25</v>
      </c>
      <c r="O175" s="81">
        <f t="shared" si="49"/>
        <v>0</v>
      </c>
      <c r="P175" s="36">
        <f>IF(D175&gt;21,VLOOKUP(D175,Barem!$T$1:$U$39,2,1),0)</f>
        <v>0</v>
      </c>
      <c r="Q175" s="32">
        <f>IF(D175&lt;1.609,0,IF(B175="F",VLOOKUP(G175,Barem!$X$2:$Z$13,2,1),VLOOKUP(G175,Barem!$X$14:$Z$25,2,1)))</f>
        <v>0</v>
      </c>
      <c r="R175" s="36">
        <f>VLOOKUP(A175,Participanti!A:C,3,0)</f>
        <v>0</v>
      </c>
      <c r="S175" s="29">
        <f t="shared" si="50"/>
        <v>4</v>
      </c>
      <c r="T175" s="79">
        <v>44016</v>
      </c>
      <c r="U175" s="16">
        <f>COUNTIFS(A:A,A175,C:C,C175)</f>
        <v>1</v>
      </c>
      <c r="V175" s="34">
        <f t="shared" si="51"/>
        <v>0.18948365703458078</v>
      </c>
      <c r="W175" s="3" t="str">
        <f>VLOOKUP(A175,Data_echipe!A:O,15,0)</f>
        <v>Serioranistii</v>
      </c>
      <c r="X175" s="3">
        <f t="shared" si="42"/>
        <v>1</v>
      </c>
    </row>
    <row r="176" spans="1:24">
      <c r="A176" s="74" t="s">
        <v>204</v>
      </c>
      <c r="B176" s="24" t="str">
        <f>VLOOKUP(A176,Participanti!A:B,2,0)</f>
        <v>M</v>
      </c>
      <c r="C176" s="75">
        <v>5</v>
      </c>
      <c r="D176" s="76">
        <v>50.11</v>
      </c>
      <c r="E176" s="77">
        <v>0.17067129629629629</v>
      </c>
      <c r="F176" s="78">
        <v>476</v>
      </c>
      <c r="G176" s="20">
        <f t="shared" si="48"/>
        <v>3.4059328736039973E-3</v>
      </c>
      <c r="H176" s="16">
        <f>IF(B176="F",IF(G176&gt;Barem!$AC$2,0,IF(B176="F",VLOOKUP(D176,Barem!$B$2:$C$11,2,1))),IF(G176&gt;Barem!$AC$3,0,VLOOKUP(D176,Barem!$B$12:$C$21,2,1)))</f>
        <v>5</v>
      </c>
      <c r="I176" s="16">
        <f>IF(H176=0,0,IF(B176="F",VLOOKUP(G176,Barem!$G$2:$H$11,2,1),VLOOKUP(G176,Barem!$G$12:$H$21,2,1)))</f>
        <v>3</v>
      </c>
      <c r="J176" s="75">
        <v>4</v>
      </c>
      <c r="K176" s="82" t="str">
        <f>VLOOKUP($C176,Barem!$L$2:$R$13,7,0)</f>
        <v>D</v>
      </c>
      <c r="L176" s="17">
        <f t="shared" si="52"/>
        <v>0.5</v>
      </c>
      <c r="M176" s="17">
        <f t="shared" si="52"/>
        <v>0.25</v>
      </c>
      <c r="N176" s="17">
        <f t="shared" si="52"/>
        <v>0.25</v>
      </c>
      <c r="O176" s="81">
        <f t="shared" si="49"/>
        <v>0.31733333333333336</v>
      </c>
      <c r="P176" s="36">
        <f>IF(D176&gt;21,VLOOKUP(D176,Barem!$T$1:$U$39,2,1),0)</f>
        <v>0.5</v>
      </c>
      <c r="Q176" s="32">
        <f>IF(D176&lt;1.609,0,IF(B176="F",VLOOKUP(G176,Barem!$X$2:$Z$13,2,1),VLOOKUP(G176,Barem!$X$14:$Z$25,2,1)))</f>
        <v>0</v>
      </c>
      <c r="R176" s="36">
        <f>VLOOKUP(A176,Participanti!A:C,3,0)</f>
        <v>0</v>
      </c>
      <c r="S176" s="29">
        <f t="shared" si="50"/>
        <v>5.067333333333333</v>
      </c>
      <c r="T176" s="79">
        <v>44017</v>
      </c>
      <c r="U176" s="16">
        <f>COUNTIFS(A:A,A176,C:C,C176)</f>
        <v>1</v>
      </c>
      <c r="V176" s="34">
        <f t="shared" si="51"/>
        <v>0.10112419344109624</v>
      </c>
      <c r="W176" s="3" t="str">
        <f>VLOOKUP(A176,Data_echipe!A:O,15,0)</f>
        <v>Unicornii</v>
      </c>
      <c r="X176" s="3">
        <f t="shared" si="42"/>
        <v>1</v>
      </c>
    </row>
    <row r="177" spans="1:24">
      <c r="A177" s="74" t="s">
        <v>65</v>
      </c>
      <c r="B177" s="24" t="str">
        <f>VLOOKUP(A177,Participanti!A:B,2,0)</f>
        <v>M</v>
      </c>
      <c r="C177" s="75">
        <v>5</v>
      </c>
      <c r="D177" s="76">
        <v>10.01</v>
      </c>
      <c r="E177" s="77">
        <v>3.2523148148148148E-2</v>
      </c>
      <c r="F177" s="78">
        <v>167</v>
      </c>
      <c r="G177" s="20">
        <f t="shared" si="48"/>
        <v>3.2490657490657493E-3</v>
      </c>
      <c r="H177" s="16">
        <f>IF(B177="F",IF(G177&gt;Barem!$AC$2,0,IF(B177="F",VLOOKUP(D177,Barem!$B$2:$C$11,2,1))),IF(G177&gt;Barem!$AC$3,0,VLOOKUP(D177,Barem!$B$12:$C$21,2,1)))</f>
        <v>2.5</v>
      </c>
      <c r="I177" s="16">
        <f>IF(H177=0,0,IF(B177="F",VLOOKUP(G177,Barem!$G$2:$H$11,2,1),VLOOKUP(G177,Barem!$G$12:$H$21,2,1)))</f>
        <v>3.5</v>
      </c>
      <c r="J177" s="75">
        <v>2.5</v>
      </c>
      <c r="K177" s="83" t="s">
        <v>183</v>
      </c>
      <c r="L177" s="17">
        <f t="shared" si="52"/>
        <v>0.25</v>
      </c>
      <c r="M177" s="17">
        <f t="shared" si="52"/>
        <v>0.5</v>
      </c>
      <c r="N177" s="17">
        <f t="shared" si="52"/>
        <v>0.25</v>
      </c>
      <c r="O177" s="81">
        <f t="shared" si="49"/>
        <v>0.11133333333333334</v>
      </c>
      <c r="P177" s="36">
        <f>IF(D177&gt;21,VLOOKUP(D177,Barem!$T$1:$U$39,2,1),0)</f>
        <v>0</v>
      </c>
      <c r="Q177" s="32">
        <f>IF(D177&lt;1.609,0,IF(B177="F",VLOOKUP(G177,Barem!$X$2:$Z$13,2,1),VLOOKUP(G177,Barem!$X$14:$Z$25,2,1)))</f>
        <v>0</v>
      </c>
      <c r="R177" s="36">
        <f>VLOOKUP(A177,Participanti!A:C,3,0)</f>
        <v>0</v>
      </c>
      <c r="S177" s="29">
        <f t="shared" si="50"/>
        <v>3.1113333333333335</v>
      </c>
      <c r="T177" s="79">
        <v>44015</v>
      </c>
      <c r="U177" s="16">
        <f>COUNTIFS(A:A,A177,C:C,C177)</f>
        <v>1</v>
      </c>
      <c r="V177" s="34">
        <f t="shared" si="51"/>
        <v>0.31082251082251083</v>
      </c>
      <c r="W177" s="3" t="str">
        <f>VLOOKUP(A177,Data_echipe!A:O,15,0)</f>
        <v>X Æ A-12</v>
      </c>
      <c r="X177" s="3">
        <f t="shared" si="42"/>
        <v>1</v>
      </c>
    </row>
    <row r="178" spans="1:24">
      <c r="A178" s="74" t="s">
        <v>83</v>
      </c>
      <c r="B178" s="24" t="str">
        <f>VLOOKUP(A178,Participanti!A:B,2,0)</f>
        <v>F</v>
      </c>
      <c r="C178" s="75">
        <v>5</v>
      </c>
      <c r="D178" s="76">
        <v>8</v>
      </c>
      <c r="E178" s="77">
        <v>4.0937500000000002E-2</v>
      </c>
      <c r="F178" s="78">
        <v>2</v>
      </c>
      <c r="G178" s="20">
        <f t="shared" si="48"/>
        <v>5.1171875000000002E-3</v>
      </c>
      <c r="H178" s="16">
        <f>IF(B178="F",IF(G178&gt;Barem!$AC$2,0,IF(B178="F",VLOOKUP(D178,Barem!$B$2:$C$11,2,1))),IF(G178&gt;Barem!$AC$3,0,VLOOKUP(D178,Barem!$B$12:$C$21,2,1)))</f>
        <v>2</v>
      </c>
      <c r="I178" s="16">
        <f>IF(H178=0,0,IF(B178="F",VLOOKUP(G178,Barem!$G$2:$H$11,2,1),VLOOKUP(G178,Barem!$G$12:$H$21,2,1)))</f>
        <v>1</v>
      </c>
      <c r="J178" s="75">
        <v>3</v>
      </c>
      <c r="K178" s="82" t="str">
        <f>VLOOKUP($C178,Barem!$L$2:$R$13,7,0)</f>
        <v>D</v>
      </c>
      <c r="L178" s="17">
        <f t="shared" si="52"/>
        <v>0.5</v>
      </c>
      <c r="M178" s="17">
        <f t="shared" si="52"/>
        <v>0.25</v>
      </c>
      <c r="N178" s="17">
        <f t="shared" si="52"/>
        <v>0.25</v>
      </c>
      <c r="O178" s="81">
        <f t="shared" si="49"/>
        <v>0</v>
      </c>
      <c r="P178" s="36">
        <f>IF(D178&gt;21,VLOOKUP(D178,Barem!$T$1:$U$39,2,1),0)</f>
        <v>0</v>
      </c>
      <c r="Q178" s="32">
        <f>IF(D178&lt;1.609,0,IF(B178="F",VLOOKUP(G178,Barem!$X$2:$Z$13,2,1),VLOOKUP(G178,Barem!$X$14:$Z$25,2,1)))</f>
        <v>0</v>
      </c>
      <c r="R178" s="36">
        <f>VLOOKUP(A178,Participanti!A:C,3,0)</f>
        <v>0.75</v>
      </c>
      <c r="S178" s="29">
        <f t="shared" si="50"/>
        <v>2.75</v>
      </c>
      <c r="T178" s="79">
        <v>43983</v>
      </c>
      <c r="U178" s="16">
        <f>COUNTIFS(A:A,A178,C:C,C178)</f>
        <v>1</v>
      </c>
      <c r="V178" s="34">
        <f t="shared" si="51"/>
        <v>0.34375</v>
      </c>
      <c r="W178" s="3" t="str">
        <f>VLOOKUP(A178,Data_echipe!A:O,15,0)</f>
        <v>Tenchei</v>
      </c>
      <c r="X178" s="3">
        <f t="shared" si="42"/>
        <v>1</v>
      </c>
    </row>
    <row r="179" spans="1:24" s="110" customFormat="1" ht="12.75" thickBot="1">
      <c r="A179" s="94" t="s">
        <v>170</v>
      </c>
      <c r="B179" s="95" t="str">
        <f>VLOOKUP(A179,Participanti!A:B,2,0)</f>
        <v>M</v>
      </c>
      <c r="C179" s="96">
        <v>5</v>
      </c>
      <c r="D179" s="97">
        <v>7.45</v>
      </c>
      <c r="E179" s="98">
        <v>2.5127314814814811E-2</v>
      </c>
      <c r="F179" s="99">
        <v>12</v>
      </c>
      <c r="G179" s="100">
        <f t="shared" si="48"/>
        <v>3.372793934874471E-3</v>
      </c>
      <c r="H179" s="101">
        <f>IF(B179="F",IF(G179&gt;Barem!$AC$2,0,IF(B179="F",VLOOKUP(D179,Barem!$B$2:$C$11,2,1))),IF(G179&gt;Barem!$AC$3,0,VLOOKUP(D179,Barem!$B$12:$C$21,2,1)))</f>
        <v>2</v>
      </c>
      <c r="I179" s="101">
        <f>IF(H179=0,0,IF(B179="F",VLOOKUP(G179,Barem!$G$2:$H$11,2,1),VLOOKUP(G179,Barem!$G$12:$H$21,2,1)))</f>
        <v>3</v>
      </c>
      <c r="J179" s="96">
        <v>1.5</v>
      </c>
      <c r="K179" s="102" t="str">
        <f>VLOOKUP($C179,Barem!$L$2:$R$13,7,0)</f>
        <v>D</v>
      </c>
      <c r="L179" s="103">
        <f t="shared" si="52"/>
        <v>0.5</v>
      </c>
      <c r="M179" s="103">
        <f t="shared" si="52"/>
        <v>0.25</v>
      </c>
      <c r="N179" s="103">
        <f t="shared" si="52"/>
        <v>0.25</v>
      </c>
      <c r="O179" s="104">
        <f t="shared" si="49"/>
        <v>0</v>
      </c>
      <c r="P179" s="105">
        <f>IF(D179&gt;21,VLOOKUP(D179,Barem!$T$1:$U$39,2,1),0)</f>
        <v>0</v>
      </c>
      <c r="Q179" s="106">
        <f>IF(D179&lt;1.609,0,IF(B179="F",VLOOKUP(G179,Barem!$X$2:$Z$13,2,1),VLOOKUP(G179,Barem!$X$14:$Z$25,2,1)))</f>
        <v>0</v>
      </c>
      <c r="R179" s="105">
        <f>VLOOKUP(A179,Participanti!A:C,3,0)</f>
        <v>0</v>
      </c>
      <c r="S179" s="107">
        <f t="shared" si="50"/>
        <v>2.125</v>
      </c>
      <c r="T179" s="108">
        <v>44015</v>
      </c>
      <c r="U179" s="101">
        <f>COUNTIFS(A:A,A179,C:C,C179)</f>
        <v>1</v>
      </c>
      <c r="V179" s="109">
        <f t="shared" si="51"/>
        <v>0.28523489932885904</v>
      </c>
      <c r="W179" s="110" t="str">
        <f>VLOOKUP(A179,Data_echipe!A:O,15,0)</f>
        <v>Tenchei</v>
      </c>
      <c r="X179" s="3">
        <f t="shared" si="42"/>
        <v>1</v>
      </c>
    </row>
    <row r="180" spans="1:24">
      <c r="A180" s="74" t="s">
        <v>6</v>
      </c>
      <c r="B180" s="24" t="str">
        <f>VLOOKUP(A180,Participanti!A:B,2,0)</f>
        <v>F</v>
      </c>
      <c r="C180" s="75">
        <v>6</v>
      </c>
      <c r="D180" s="76">
        <v>12.76</v>
      </c>
      <c r="E180" s="77">
        <v>4.5104166666666667E-2</v>
      </c>
      <c r="F180" s="78">
        <v>15</v>
      </c>
      <c r="G180" s="20">
        <f t="shared" si="48"/>
        <v>3.5348092998955067E-3</v>
      </c>
      <c r="H180" s="16">
        <f>IF(B180="F",IF(G180&gt;Barem!$AC$2,0,IF(B180="F",VLOOKUP(D180,Barem!$B$2:$C$11,2,1))),IF(G180&gt;Barem!$AC$3,0,VLOOKUP(D180,Barem!$B$12:$C$21,2,1)))</f>
        <v>3</v>
      </c>
      <c r="I180" s="16">
        <f>IF(H180=0,0,IF(B180="F",VLOOKUP(G180,Barem!$G$2:$H$11,2,1),VLOOKUP(G180,Barem!$G$12:$H$21,2,1)))</f>
        <v>3.5</v>
      </c>
      <c r="J180" s="75">
        <v>2.5</v>
      </c>
      <c r="K180" s="82" t="str">
        <f>VLOOKUP($C180,Barem!$L$2:$R$13,7,0)</f>
        <v>V</v>
      </c>
      <c r="L180" s="17">
        <f t="shared" si="52"/>
        <v>0.25</v>
      </c>
      <c r="M180" s="17">
        <f t="shared" si="52"/>
        <v>0.5</v>
      </c>
      <c r="N180" s="17">
        <f t="shared" si="52"/>
        <v>0.25</v>
      </c>
      <c r="O180" s="81">
        <f t="shared" si="49"/>
        <v>0</v>
      </c>
      <c r="P180" s="36">
        <f>IF(D180&gt;21,VLOOKUP(D180,Barem!$T$1:$U$39,2,1),0)</f>
        <v>0</v>
      </c>
      <c r="Q180" s="32">
        <f>IF(D180&lt;1.609,0,IF(B180="F",VLOOKUP(G180,Barem!$X$2:$Z$13,2,1),VLOOKUP(G180,Barem!$X$14:$Z$25,2,1)))</f>
        <v>0</v>
      </c>
      <c r="R180" s="36">
        <f>VLOOKUP(A180,Participanti!A:C,3,0)</f>
        <v>0</v>
      </c>
      <c r="S180" s="29">
        <f t="shared" si="50"/>
        <v>3.125</v>
      </c>
      <c r="T180" s="79">
        <v>44021</v>
      </c>
      <c r="U180" s="16">
        <f>COUNTIFS(A:A,A180,C:C,C180)</f>
        <v>1</v>
      </c>
      <c r="V180" s="34">
        <f t="shared" si="51"/>
        <v>0.24490595611285268</v>
      </c>
      <c r="W180" s="3" t="str">
        <f>VLOOKUP(A180,Data_echipe!A:O,15,0)</f>
        <v>Unicornii</v>
      </c>
      <c r="X180" s="3">
        <f t="shared" si="42"/>
        <v>1</v>
      </c>
    </row>
    <row r="181" spans="1:24">
      <c r="A181" s="74" t="s">
        <v>82</v>
      </c>
      <c r="B181" s="24" t="str">
        <f>VLOOKUP(A181,Participanti!A:B,2,0)</f>
        <v>M</v>
      </c>
      <c r="C181" s="75">
        <v>6</v>
      </c>
      <c r="D181" s="76">
        <v>21.45</v>
      </c>
      <c r="E181" s="77">
        <v>0.10614583333333333</v>
      </c>
      <c r="F181" s="78">
        <v>632</v>
      </c>
      <c r="G181" s="20">
        <f t="shared" si="48"/>
        <v>4.9485236985236988E-3</v>
      </c>
      <c r="H181" s="16">
        <f>IF(B181="F",IF(G181&gt;Barem!$AC$2,0,IF(B181="F",VLOOKUP(D181,Barem!$B$2:$C$11,2,1))),IF(G181&gt;Barem!$AC$3,0,VLOOKUP(D181,Barem!$B$12:$C$21,2,1)))</f>
        <v>5</v>
      </c>
      <c r="I181" s="16">
        <f>IF(H181=0,0,IF(B181="F",VLOOKUP(G181,Barem!$G$2:$H$11,2,1),VLOOKUP(G181,Barem!$G$12:$H$21,2,1)))</f>
        <v>1</v>
      </c>
      <c r="J181" s="75">
        <v>3.5</v>
      </c>
      <c r="K181" s="83" t="s">
        <v>182</v>
      </c>
      <c r="L181" s="17">
        <f t="shared" si="52"/>
        <v>0.5</v>
      </c>
      <c r="M181" s="17">
        <f t="shared" si="52"/>
        <v>0.25</v>
      </c>
      <c r="N181" s="17">
        <f t="shared" si="52"/>
        <v>0.25</v>
      </c>
      <c r="O181" s="81">
        <f t="shared" si="49"/>
        <v>0.42133333333333334</v>
      </c>
      <c r="P181" s="36">
        <f>IF(D181&gt;21,VLOOKUP(D181,Barem!$T$1:$U$39,2,1),0)</f>
        <v>0</v>
      </c>
      <c r="Q181" s="32">
        <f>IF(D181&lt;1.609,0,IF(B181="F",VLOOKUP(G181,Barem!$X$2:$Z$13,2,1),VLOOKUP(G181,Barem!$X$14:$Z$25,2,1)))</f>
        <v>0</v>
      </c>
      <c r="R181" s="36">
        <f>VLOOKUP(A181,Participanti!A:C,3,0)</f>
        <v>0</v>
      </c>
      <c r="S181" s="29">
        <f t="shared" si="50"/>
        <v>4.0463333333333331</v>
      </c>
      <c r="T181" s="79">
        <v>44024</v>
      </c>
      <c r="U181" s="16">
        <f>COUNTIFS(A:A,A181,C:C,C181)</f>
        <v>1</v>
      </c>
      <c r="V181" s="34">
        <f t="shared" si="51"/>
        <v>0.18864024864024864</v>
      </c>
      <c r="W181" s="3" t="str">
        <f>VLOOKUP(A181,Data_echipe!A:O,15,0)</f>
        <v xml:space="preserve"> Let it run</v>
      </c>
      <c r="X181" s="3">
        <f t="shared" si="42"/>
        <v>1</v>
      </c>
    </row>
    <row r="182" spans="1:24">
      <c r="A182" s="74" t="s">
        <v>64</v>
      </c>
      <c r="B182" s="24" t="str">
        <f>VLOOKUP(A182,Participanti!A:B,2,0)</f>
        <v>M</v>
      </c>
      <c r="C182" s="75">
        <v>6</v>
      </c>
      <c r="D182" s="76">
        <v>10.029999999999999</v>
      </c>
      <c r="E182" s="77">
        <v>4.4537037037037042E-2</v>
      </c>
      <c r="F182" s="78">
        <v>0</v>
      </c>
      <c r="G182" s="20">
        <f t="shared" si="48"/>
        <v>4.4403825560355974E-3</v>
      </c>
      <c r="H182" s="16">
        <f>IF(B182="F",IF(G182&gt;Barem!$AC$2,0,IF(B182="F",VLOOKUP(D182,Barem!$B$2:$C$11,2,1))),IF(G182&gt;Barem!$AC$3,0,VLOOKUP(D182,Barem!$B$12:$C$21,2,1)))</f>
        <v>2.5</v>
      </c>
      <c r="I182" s="16">
        <f>IF(H182=0,0,IF(B182="F",VLOOKUP(G182,Barem!$G$2:$H$11,2,1),VLOOKUP(G182,Barem!$G$12:$H$21,2,1)))</f>
        <v>1</v>
      </c>
      <c r="J182" s="75">
        <v>3</v>
      </c>
      <c r="K182" s="82" t="str">
        <f>VLOOKUP($C182,Barem!$L$2:$R$13,7,0)</f>
        <v>V</v>
      </c>
      <c r="L182" s="17">
        <f t="shared" si="52"/>
        <v>0.25</v>
      </c>
      <c r="M182" s="17">
        <f t="shared" si="52"/>
        <v>0.5</v>
      </c>
      <c r="N182" s="17">
        <f t="shared" si="52"/>
        <v>0.25</v>
      </c>
      <c r="O182" s="81">
        <f t="shared" si="49"/>
        <v>0</v>
      </c>
      <c r="P182" s="36">
        <f>IF(D182&gt;21,VLOOKUP(D182,Barem!$T$1:$U$39,2,1),0)</f>
        <v>0</v>
      </c>
      <c r="Q182" s="32">
        <f>IF(D182&lt;1.609,0,IF(B182="F",VLOOKUP(G182,Barem!$X$2:$Z$13,2,1),VLOOKUP(G182,Barem!$X$14:$Z$25,2,1)))</f>
        <v>0</v>
      </c>
      <c r="R182" s="36">
        <f>VLOOKUP(A182,Participanti!A:C,3,0)</f>
        <v>0</v>
      </c>
      <c r="S182" s="29">
        <f t="shared" si="50"/>
        <v>1.875</v>
      </c>
      <c r="T182" s="79">
        <v>44019</v>
      </c>
      <c r="U182" s="16">
        <f>COUNTIFS(A:A,A182,C:C,C182)</f>
        <v>1</v>
      </c>
      <c r="V182" s="34">
        <f t="shared" si="51"/>
        <v>0.18693918245264207</v>
      </c>
      <c r="W182" s="3" t="str">
        <f>VLOOKUP(A182,Data_echipe!A:O,15,0)</f>
        <v xml:space="preserve"> Let it run</v>
      </c>
      <c r="X182" s="3">
        <f t="shared" si="42"/>
        <v>1</v>
      </c>
    </row>
    <row r="183" spans="1:24">
      <c r="A183" s="74" t="s">
        <v>115</v>
      </c>
      <c r="B183" s="24" t="str">
        <f>VLOOKUP(A183,Participanti!A:B,2,0)</f>
        <v>M</v>
      </c>
      <c r="C183" s="75">
        <v>6</v>
      </c>
      <c r="D183" s="76">
        <v>75.31</v>
      </c>
      <c r="E183" s="77">
        <v>0.53546296296296292</v>
      </c>
      <c r="F183" s="78">
        <v>2799</v>
      </c>
      <c r="G183" s="20">
        <f t="shared" ref="G183:G217" si="53">E183/D183</f>
        <v>7.1101176864023759E-3</v>
      </c>
      <c r="H183" s="16">
        <f>IF(B183="F",IF(G183&gt;Barem!$AC$2,0,IF(B183="F",VLOOKUP(D183,Barem!$B$2:$C$11,2,1))),IF(G183&gt;Barem!$AC$3,0,VLOOKUP(D183,Barem!$B$12:$C$21,2,1)))</f>
        <v>5</v>
      </c>
      <c r="I183" s="16">
        <f>IF(H183=0,0,IF(B183="F",VLOOKUP(G183,Barem!$G$2:$H$11,2,1),VLOOKUP(G183,Barem!$G$12:$H$21,2,1)))</f>
        <v>0</v>
      </c>
      <c r="J183" s="75">
        <v>4.5</v>
      </c>
      <c r="K183" s="83" t="s">
        <v>182</v>
      </c>
      <c r="L183" s="17">
        <f t="shared" si="52"/>
        <v>0.5</v>
      </c>
      <c r="M183" s="17">
        <f t="shared" si="52"/>
        <v>0.25</v>
      </c>
      <c r="N183" s="17">
        <f t="shared" si="52"/>
        <v>0.25</v>
      </c>
      <c r="O183" s="81">
        <f t="shared" ref="O183:O217" si="54">IF(F183&lt;-49,F183/1500,IF(F183&gt;99,F183/1500,0))</f>
        <v>1.8660000000000001</v>
      </c>
      <c r="P183" s="36">
        <f>IF(D183&gt;21,VLOOKUP(D183,Barem!$T$1:$U$39,2,1),0)</f>
        <v>1</v>
      </c>
      <c r="Q183" s="32">
        <f>IF(D183&lt;1.609,0,IF(B183="F",VLOOKUP(G183,Barem!$X$2:$Z$13,2,1),VLOOKUP(G183,Barem!$X$14:$Z$25,2,1)))</f>
        <v>0</v>
      </c>
      <c r="R183" s="36">
        <f>VLOOKUP(A183,Participanti!A:C,3,0)</f>
        <v>0.5</v>
      </c>
      <c r="S183" s="29">
        <f t="shared" ref="S183:S217" si="55">H183*L183+I183*M183+J183*N183+O183+P183+Q183+R183</f>
        <v>6.9909999999999997</v>
      </c>
      <c r="T183" s="79">
        <v>44022</v>
      </c>
      <c r="U183" s="16">
        <f>COUNTIFS(A:A,A183,C:C,C183)</f>
        <v>1</v>
      </c>
      <c r="V183" s="34">
        <f t="shared" ref="V183:V217" si="56">S183/D183</f>
        <v>9.2829637498340181E-2</v>
      </c>
      <c r="W183" s="3" t="str">
        <f>VLOOKUP(A183,Data_echipe!A:O,15,0)</f>
        <v xml:space="preserve"> Let it run</v>
      </c>
      <c r="X183" s="3">
        <f t="shared" si="42"/>
        <v>0</v>
      </c>
    </row>
    <row r="184" spans="1:24">
      <c r="A184" s="74" t="s">
        <v>8</v>
      </c>
      <c r="B184" s="24" t="str">
        <f>VLOOKUP(A184,Participanti!A:B,2,0)</f>
        <v>M</v>
      </c>
      <c r="C184" s="75">
        <v>6</v>
      </c>
      <c r="D184" s="76">
        <v>9.81</v>
      </c>
      <c r="E184" s="77">
        <v>3.7627314814814815E-2</v>
      </c>
      <c r="F184" s="78">
        <v>9</v>
      </c>
      <c r="G184" s="20">
        <f t="shared" si="53"/>
        <v>3.8356080341299505E-3</v>
      </c>
      <c r="H184" s="16">
        <f>IF(B184="F",IF(G184&gt;Barem!$AC$2,0,IF(B184="F",VLOOKUP(D184,Barem!$B$2:$C$11,2,1))),IF(G184&gt;Barem!$AC$3,0,VLOOKUP(D184,Barem!$B$12:$C$21,2,1)))</f>
        <v>2.5</v>
      </c>
      <c r="I184" s="16">
        <f>IF(H184=0,0,IF(B184="F",VLOOKUP(G184,Barem!$G$2:$H$11,2,1),VLOOKUP(G184,Barem!$G$12:$H$21,2,1)))</f>
        <v>1.5</v>
      </c>
      <c r="J184" s="75">
        <v>3</v>
      </c>
      <c r="K184" s="83" t="s">
        <v>182</v>
      </c>
      <c r="L184" s="17">
        <f t="shared" ref="L184:N214" si="57">IF($K184=L$1,50%,25%)</f>
        <v>0.5</v>
      </c>
      <c r="M184" s="17">
        <f t="shared" si="57"/>
        <v>0.25</v>
      </c>
      <c r="N184" s="17">
        <f t="shared" si="57"/>
        <v>0.25</v>
      </c>
      <c r="O184" s="81">
        <f t="shared" si="54"/>
        <v>0</v>
      </c>
      <c r="P184" s="36">
        <f>IF(D184&gt;21,VLOOKUP(D184,Barem!$T$1:$U$39,2,1),0)</f>
        <v>0</v>
      </c>
      <c r="Q184" s="32">
        <f>IF(D184&lt;1.609,0,IF(B184="F",VLOOKUP(G184,Barem!$X$2:$Z$13,2,1),VLOOKUP(G184,Barem!$X$14:$Z$25,2,1)))</f>
        <v>0</v>
      </c>
      <c r="R184" s="36">
        <f>VLOOKUP(A184,Participanti!A:C,3,0)</f>
        <v>0</v>
      </c>
      <c r="S184" s="29">
        <f t="shared" si="55"/>
        <v>2.375</v>
      </c>
      <c r="T184" s="79">
        <v>44024</v>
      </c>
      <c r="U184" s="16">
        <f>COUNTIFS(A:A,A184,C:C,C184)</f>
        <v>1</v>
      </c>
      <c r="V184" s="34">
        <f t="shared" si="56"/>
        <v>0.24209989806320081</v>
      </c>
      <c r="W184" s="3" t="str">
        <f>VLOOKUP(A184,Data_echipe!A:O,15,0)</f>
        <v xml:space="preserve"> Let it run</v>
      </c>
      <c r="X184" s="3">
        <f t="shared" si="42"/>
        <v>1</v>
      </c>
    </row>
    <row r="185" spans="1:24">
      <c r="A185" s="74" t="s">
        <v>131</v>
      </c>
      <c r="B185" s="24" t="str">
        <f>VLOOKUP(A185,Participanti!A:B,2,0)</f>
        <v>M</v>
      </c>
      <c r="C185" s="75">
        <v>6</v>
      </c>
      <c r="D185" s="76">
        <v>5.01</v>
      </c>
      <c r="E185" s="77">
        <v>1.8935185185185183E-2</v>
      </c>
      <c r="F185" s="78">
        <v>0</v>
      </c>
      <c r="G185" s="20">
        <f t="shared" si="53"/>
        <v>3.7794780808752862E-3</v>
      </c>
      <c r="H185" s="16">
        <f>IF(B185="F",IF(G185&gt;Barem!$AC$2,0,IF(B185="F",VLOOKUP(D185,Barem!$B$2:$C$11,2,1))),IF(G185&gt;Barem!$AC$3,0,VLOOKUP(D185,Barem!$B$12:$C$21,2,1)))</f>
        <v>1.5</v>
      </c>
      <c r="I185" s="16">
        <f>IF(H185=0,0,IF(B185="F",VLOOKUP(G185,Barem!$G$2:$H$11,2,1),VLOOKUP(G185,Barem!$G$12:$H$21,2,1)))</f>
        <v>2</v>
      </c>
      <c r="J185" s="75">
        <v>1.5</v>
      </c>
      <c r="K185" s="82" t="str">
        <f>VLOOKUP($C185,Barem!$L$2:$R$13,7,0)</f>
        <v>V</v>
      </c>
      <c r="L185" s="17">
        <f t="shared" si="57"/>
        <v>0.25</v>
      </c>
      <c r="M185" s="17">
        <f t="shared" si="57"/>
        <v>0.5</v>
      </c>
      <c r="N185" s="17">
        <f t="shared" si="57"/>
        <v>0.25</v>
      </c>
      <c r="O185" s="81">
        <f t="shared" si="54"/>
        <v>0</v>
      </c>
      <c r="P185" s="36">
        <f>IF(D185&gt;21,VLOOKUP(D185,Barem!$T$1:$U$39,2,1),0)</f>
        <v>0</v>
      </c>
      <c r="Q185" s="32">
        <f>IF(D185&lt;1.609,0,IF(B185="F",VLOOKUP(G185,Barem!$X$2:$Z$13,2,1),VLOOKUP(G185,Barem!$X$14:$Z$25,2,1)))</f>
        <v>0</v>
      </c>
      <c r="R185" s="36">
        <f>VLOOKUP(A185,Participanti!A:C,3,0)</f>
        <v>0</v>
      </c>
      <c r="S185" s="29">
        <f t="shared" si="55"/>
        <v>1.75</v>
      </c>
      <c r="T185" s="79">
        <v>44023</v>
      </c>
      <c r="U185" s="16">
        <f>COUNTIFS(A:A,A185,C:C,C185)</f>
        <v>1</v>
      </c>
      <c r="V185" s="34">
        <f t="shared" si="56"/>
        <v>0.34930139720558884</v>
      </c>
      <c r="W185" s="3" t="str">
        <f>VLOOKUP(A185,Data_echipe!A:O,15,0)</f>
        <v xml:space="preserve"> Let it run</v>
      </c>
      <c r="X185" s="3">
        <f t="shared" si="42"/>
        <v>1</v>
      </c>
    </row>
    <row r="186" spans="1:24">
      <c r="A186" s="74" t="s">
        <v>206</v>
      </c>
      <c r="B186" s="24" t="str">
        <f>VLOOKUP(A186,Participanti!A:B,2,0)</f>
        <v>M</v>
      </c>
      <c r="C186" s="75">
        <v>6</v>
      </c>
      <c r="D186" s="76">
        <v>10.01</v>
      </c>
      <c r="E186" s="77">
        <v>4.7569444444444442E-2</v>
      </c>
      <c r="F186" s="78">
        <v>13</v>
      </c>
      <c r="G186" s="20">
        <f t="shared" si="53"/>
        <v>4.752192252192252E-3</v>
      </c>
      <c r="H186" s="16">
        <f>IF(B186="F",IF(G186&gt;Barem!$AC$2,0,IF(B186="F",VLOOKUP(D186,Barem!$B$2:$C$11,2,1))),IF(G186&gt;Barem!$AC$3,0,VLOOKUP(D186,Barem!$B$12:$C$21,2,1)))</f>
        <v>2.5</v>
      </c>
      <c r="I186" s="16">
        <f>IF(H186=0,0,IF(B186="F",VLOOKUP(G186,Barem!$G$2:$H$11,2,1),VLOOKUP(G186,Barem!$G$12:$H$21,2,1)))</f>
        <v>1</v>
      </c>
      <c r="J186" s="75">
        <v>3.5</v>
      </c>
      <c r="K186" s="83" t="s">
        <v>184</v>
      </c>
      <c r="L186" s="17">
        <f t="shared" si="57"/>
        <v>0.25</v>
      </c>
      <c r="M186" s="17">
        <f t="shared" si="57"/>
        <v>0.25</v>
      </c>
      <c r="N186" s="17">
        <f t="shared" si="57"/>
        <v>0.5</v>
      </c>
      <c r="O186" s="81">
        <f t="shared" si="54"/>
        <v>0</v>
      </c>
      <c r="P186" s="36">
        <f>IF(D186&gt;21,VLOOKUP(D186,Barem!$T$1:$U$39,2,1),0)</f>
        <v>0</v>
      </c>
      <c r="Q186" s="32">
        <f>IF(D186&lt;1.609,0,IF(B186="F",VLOOKUP(G186,Barem!$X$2:$Z$13,2,1),VLOOKUP(G186,Barem!$X$14:$Z$25,2,1)))</f>
        <v>0</v>
      </c>
      <c r="R186" s="36">
        <f>VLOOKUP(A186,Participanti!A:C,3,0)</f>
        <v>0</v>
      </c>
      <c r="S186" s="29">
        <f t="shared" si="55"/>
        <v>2.625</v>
      </c>
      <c r="T186" s="79">
        <v>44021</v>
      </c>
      <c r="U186" s="16">
        <f>COUNTIFS(A:A,A186,C:C,C186)</f>
        <v>1</v>
      </c>
      <c r="V186" s="34">
        <f t="shared" si="56"/>
        <v>0.26223776223776224</v>
      </c>
      <c r="W186" s="3" t="str">
        <f>VLOOKUP(A186,Data_echipe!A:O,15,0)</f>
        <v>Unicornii</v>
      </c>
      <c r="X186" s="3">
        <f t="shared" si="42"/>
        <v>1</v>
      </c>
    </row>
    <row r="187" spans="1:24">
      <c r="A187" s="74" t="s">
        <v>50</v>
      </c>
      <c r="B187" s="24" t="str">
        <f>VLOOKUP(A187,Participanti!A:B,2,0)</f>
        <v>F</v>
      </c>
      <c r="C187" s="75">
        <v>6</v>
      </c>
      <c r="D187" s="76">
        <v>7.03</v>
      </c>
      <c r="E187" s="77">
        <v>2.8726851851851851E-2</v>
      </c>
      <c r="F187" s="78">
        <v>42</v>
      </c>
      <c r="G187" s="20">
        <f t="shared" si="53"/>
        <v>4.0863231652705336E-3</v>
      </c>
      <c r="H187" s="16">
        <f>IF(B187="F",IF(G187&gt;Barem!$AC$2,0,IF(B187="F",VLOOKUP(D187,Barem!$B$2:$C$11,2,1))),IF(G187&gt;Barem!$AC$3,0,VLOOKUP(D187,Barem!$B$12:$C$21,2,1)))</f>
        <v>2</v>
      </c>
      <c r="I187" s="16">
        <f>IF(H187=0,0,IF(B187="F",VLOOKUP(G187,Barem!$G$2:$H$11,2,1),VLOOKUP(G187,Barem!$G$12:$H$21,2,1)))</f>
        <v>2</v>
      </c>
      <c r="J187" s="75">
        <v>3</v>
      </c>
      <c r="K187" s="82" t="str">
        <f>VLOOKUP($C187,Barem!$L$2:$R$13,7,0)</f>
        <v>V</v>
      </c>
      <c r="L187" s="17">
        <f t="shared" si="57"/>
        <v>0.25</v>
      </c>
      <c r="M187" s="17">
        <f t="shared" si="57"/>
        <v>0.5</v>
      </c>
      <c r="N187" s="17">
        <f t="shared" si="57"/>
        <v>0.25</v>
      </c>
      <c r="O187" s="81">
        <f t="shared" si="54"/>
        <v>0</v>
      </c>
      <c r="P187" s="36">
        <f>IF(D187&gt;21,VLOOKUP(D187,Barem!$T$1:$U$39,2,1),0)</f>
        <v>0</v>
      </c>
      <c r="Q187" s="32">
        <f>IF(D187&lt;1.609,0,IF(B187="F",VLOOKUP(G187,Barem!$X$2:$Z$13,2,1),VLOOKUP(G187,Barem!$X$14:$Z$25,2,1)))</f>
        <v>0</v>
      </c>
      <c r="R187" s="36">
        <f>VLOOKUP(A187,Participanti!A:C,3,0)</f>
        <v>0</v>
      </c>
      <c r="S187" s="29">
        <f t="shared" si="55"/>
        <v>2.25</v>
      </c>
      <c r="T187" s="79">
        <v>44020</v>
      </c>
      <c r="U187" s="16">
        <f>COUNTIFS(A:A,A187,C:C,C187)</f>
        <v>1</v>
      </c>
      <c r="V187" s="34">
        <f t="shared" si="56"/>
        <v>0.32005689900426743</v>
      </c>
      <c r="W187" s="3" t="str">
        <f>VLOOKUP(A187,Data_echipe!A:O,15,0)</f>
        <v>Serioranistii</v>
      </c>
      <c r="X187" s="3">
        <f t="shared" si="42"/>
        <v>1</v>
      </c>
    </row>
    <row r="188" spans="1:24">
      <c r="A188" s="74" t="s">
        <v>209</v>
      </c>
      <c r="B188" s="24" t="str">
        <f>VLOOKUP(A188,Participanti!A:B,2,0)</f>
        <v>M</v>
      </c>
      <c r="C188" s="75">
        <v>6</v>
      </c>
      <c r="D188" s="76">
        <v>21.29</v>
      </c>
      <c r="E188" s="77">
        <v>7.0810185185185184E-2</v>
      </c>
      <c r="F188" s="78">
        <v>28</v>
      </c>
      <c r="G188" s="20">
        <f t="shared" si="53"/>
        <v>3.3259833342031558E-3</v>
      </c>
      <c r="H188" s="16">
        <f>IF(B188="F",IF(G188&gt;Barem!$AC$2,0,IF(B188="F",VLOOKUP(D188,Barem!$B$2:$C$11,2,1))),IF(G188&gt;Barem!$AC$3,0,VLOOKUP(D188,Barem!$B$12:$C$21,2,1)))</f>
        <v>5</v>
      </c>
      <c r="I188" s="16">
        <f>IF(H188=0,0,IF(B188="F",VLOOKUP(G188,Barem!$G$2:$H$11,2,1),VLOOKUP(G188,Barem!$G$12:$H$21,2,1)))</f>
        <v>3</v>
      </c>
      <c r="J188" s="75">
        <v>2.5</v>
      </c>
      <c r="K188" s="83" t="s">
        <v>182</v>
      </c>
      <c r="L188" s="17">
        <f t="shared" si="57"/>
        <v>0.5</v>
      </c>
      <c r="M188" s="17">
        <f t="shared" si="57"/>
        <v>0.25</v>
      </c>
      <c r="N188" s="17">
        <f t="shared" si="57"/>
        <v>0.25</v>
      </c>
      <c r="O188" s="81">
        <f t="shared" si="54"/>
        <v>0</v>
      </c>
      <c r="P188" s="36">
        <f>IF(D188&gt;21,VLOOKUP(D188,Barem!$T$1:$U$39,2,1),0)</f>
        <v>0</v>
      </c>
      <c r="Q188" s="32">
        <f>IF(D188&lt;1.609,0,IF(B188="F",VLOOKUP(G188,Barem!$X$2:$Z$13,2,1),VLOOKUP(G188,Barem!$X$14:$Z$25,2,1)))</f>
        <v>0</v>
      </c>
      <c r="R188" s="36">
        <f>VLOOKUP(A188,Participanti!A:C,3,0)</f>
        <v>0</v>
      </c>
      <c r="S188" s="29">
        <f t="shared" si="55"/>
        <v>3.875</v>
      </c>
      <c r="T188" s="79">
        <v>44023</v>
      </c>
      <c r="U188" s="16">
        <f>COUNTIFS(A:A,A188,C:C,C188)</f>
        <v>1</v>
      </c>
      <c r="V188" s="34">
        <f t="shared" si="56"/>
        <v>0.18201033348990137</v>
      </c>
      <c r="W188" s="3" t="str">
        <f>VLOOKUP(A188,Data_echipe!A:O,15,0)</f>
        <v>Serioranistii</v>
      </c>
      <c r="X188" s="3">
        <f t="shared" si="42"/>
        <v>1</v>
      </c>
    </row>
    <row r="189" spans="1:24">
      <c r="A189" s="74" t="s">
        <v>210</v>
      </c>
      <c r="B189" s="24" t="str">
        <f>VLOOKUP(A189,Participanti!A:B,2,0)</f>
        <v>F</v>
      </c>
      <c r="C189" s="75">
        <v>6</v>
      </c>
      <c r="D189" s="76">
        <v>5</v>
      </c>
      <c r="E189" s="77">
        <v>2.1284722222222222E-2</v>
      </c>
      <c r="F189" s="78">
        <v>9</v>
      </c>
      <c r="G189" s="20">
        <f t="shared" si="53"/>
        <v>4.2569444444444443E-3</v>
      </c>
      <c r="H189" s="16">
        <f>IF(B189="F",IF(G189&gt;Barem!$AC$2,0,IF(B189="F",VLOOKUP(D189,Barem!$B$2:$C$11,2,1))),IF(G189&gt;Barem!$AC$3,0,VLOOKUP(D189,Barem!$B$12:$C$21,2,1)))</f>
        <v>1.5</v>
      </c>
      <c r="I189" s="16">
        <f>IF(H189=0,0,IF(B189="F",VLOOKUP(G189,Barem!$G$2:$H$11,2,1),VLOOKUP(G189,Barem!$G$12:$H$21,2,1)))</f>
        <v>1.5</v>
      </c>
      <c r="J189" s="75">
        <v>3</v>
      </c>
      <c r="K189" s="83" t="s">
        <v>184</v>
      </c>
      <c r="L189" s="17">
        <f t="shared" si="57"/>
        <v>0.25</v>
      </c>
      <c r="M189" s="17">
        <f t="shared" si="57"/>
        <v>0.25</v>
      </c>
      <c r="N189" s="17">
        <f t="shared" si="57"/>
        <v>0.5</v>
      </c>
      <c r="O189" s="81">
        <f t="shared" si="54"/>
        <v>0</v>
      </c>
      <c r="P189" s="36">
        <f>IF(D189&gt;21,VLOOKUP(D189,Barem!$T$1:$U$39,2,1),0)</f>
        <v>0</v>
      </c>
      <c r="Q189" s="32">
        <f>IF(D189&lt;1.609,0,IF(B189="F",VLOOKUP(G189,Barem!$X$2:$Z$13,2,1),VLOOKUP(G189,Barem!$X$14:$Z$25,2,1)))</f>
        <v>0</v>
      </c>
      <c r="R189" s="36">
        <f>VLOOKUP(A189,Participanti!A:C,3,0)</f>
        <v>0</v>
      </c>
      <c r="S189" s="29">
        <f t="shared" si="55"/>
        <v>2.25</v>
      </c>
      <c r="T189" s="79">
        <v>44021</v>
      </c>
      <c r="U189" s="16">
        <f>COUNTIFS(A:A,A189,C:C,C189)</f>
        <v>1</v>
      </c>
      <c r="V189" s="34">
        <f t="shared" si="56"/>
        <v>0.45</v>
      </c>
      <c r="W189" s="3" t="str">
        <f>VLOOKUP(A189,Data_echipe!A:O,15,0)</f>
        <v>X Æ A-12</v>
      </c>
      <c r="X189" s="3">
        <f t="shared" si="42"/>
        <v>1</v>
      </c>
    </row>
    <row r="190" spans="1:24">
      <c r="A190" s="74" t="s">
        <v>66</v>
      </c>
      <c r="B190" s="24" t="str">
        <f>VLOOKUP(A190,Participanti!A:B,2,0)</f>
        <v>M</v>
      </c>
      <c r="C190" s="75">
        <v>6</v>
      </c>
      <c r="D190" s="76">
        <v>11.27</v>
      </c>
      <c r="E190" s="77">
        <v>4.2986111111111114E-2</v>
      </c>
      <c r="F190" s="78"/>
      <c r="G190" s="20">
        <f t="shared" si="53"/>
        <v>3.8142068421571531E-3</v>
      </c>
      <c r="H190" s="16">
        <f>IF(B190="F",IF(G190&gt;Barem!$AC$2,0,IF(B190="F",VLOOKUP(D190,Barem!$B$2:$C$11,2,1))),IF(G190&gt;Barem!$AC$3,0,VLOOKUP(D190,Barem!$B$12:$C$21,2,1)))</f>
        <v>2.5</v>
      </c>
      <c r="I190" s="16">
        <f>IF(H190=0,0,IF(B190="F",VLOOKUP(G190,Barem!$G$2:$H$11,2,1),VLOOKUP(G190,Barem!$G$12:$H$21,2,1)))</f>
        <v>2</v>
      </c>
      <c r="J190" s="75">
        <v>1.5</v>
      </c>
      <c r="K190" s="82" t="str">
        <f>VLOOKUP($C190,Barem!$L$2:$R$13,7,0)</f>
        <v>V</v>
      </c>
      <c r="L190" s="17">
        <f t="shared" si="57"/>
        <v>0.25</v>
      </c>
      <c r="M190" s="17">
        <f t="shared" si="57"/>
        <v>0.5</v>
      </c>
      <c r="N190" s="17">
        <f t="shared" si="57"/>
        <v>0.25</v>
      </c>
      <c r="O190" s="81">
        <f t="shared" si="54"/>
        <v>0</v>
      </c>
      <c r="P190" s="36">
        <f>IF(D190&gt;21,VLOOKUP(D190,Barem!$T$1:$U$39,2,1),0)</f>
        <v>0</v>
      </c>
      <c r="Q190" s="32">
        <f>IF(D190&lt;1.609,0,IF(B190="F",VLOOKUP(G190,Barem!$X$2:$Z$13,2,1),VLOOKUP(G190,Barem!$X$14:$Z$25,2,1)))</f>
        <v>0</v>
      </c>
      <c r="R190" s="36">
        <f>VLOOKUP(A190,Participanti!A:C,3,0)</f>
        <v>0</v>
      </c>
      <c r="S190" s="29">
        <f t="shared" si="55"/>
        <v>2</v>
      </c>
      <c r="T190" s="79">
        <v>44018</v>
      </c>
      <c r="U190" s="16">
        <f>COUNTIFS(A:A,A190,C:C,C190)</f>
        <v>1</v>
      </c>
      <c r="V190" s="34">
        <f t="shared" si="56"/>
        <v>0.1774622892635315</v>
      </c>
      <c r="W190" s="3" t="str">
        <f>VLOOKUP(A190,Data_echipe!A:O,15,0)</f>
        <v>X Æ A-12</v>
      </c>
      <c r="X190" s="3">
        <f t="shared" si="42"/>
        <v>1</v>
      </c>
    </row>
    <row r="191" spans="1:24">
      <c r="A191" s="74" t="s">
        <v>208</v>
      </c>
      <c r="B191" s="24" t="str">
        <f>VLOOKUP(A191,Participanti!A:B,2,0)</f>
        <v>M</v>
      </c>
      <c r="C191" s="75">
        <v>6</v>
      </c>
      <c r="D191" s="76">
        <v>27.22</v>
      </c>
      <c r="E191" s="77">
        <v>0.10015046296296297</v>
      </c>
      <c r="F191" s="78">
        <v>0</v>
      </c>
      <c r="G191" s="20">
        <f t="shared" si="53"/>
        <v>3.6792969494108367E-3</v>
      </c>
      <c r="H191" s="16">
        <f>IF(B191="F",IF(G191&gt;Barem!$AC$2,0,IF(B191="F",VLOOKUP(D191,Barem!$B$2:$C$11,2,1))),IF(G191&gt;Barem!$AC$3,0,VLOOKUP(D191,Barem!$B$12:$C$21,2,1)))</f>
        <v>5</v>
      </c>
      <c r="I191" s="16">
        <f>IF(H191=0,0,IF(B191="F",VLOOKUP(G191,Barem!$G$2:$H$11,2,1),VLOOKUP(G191,Barem!$G$12:$H$21,2,1)))</f>
        <v>2</v>
      </c>
      <c r="J191" s="75">
        <v>3.5</v>
      </c>
      <c r="K191" s="83" t="s">
        <v>182</v>
      </c>
      <c r="L191" s="17">
        <f t="shared" si="57"/>
        <v>0.5</v>
      </c>
      <c r="M191" s="17">
        <f t="shared" si="57"/>
        <v>0.25</v>
      </c>
      <c r="N191" s="17">
        <f t="shared" si="57"/>
        <v>0.25</v>
      </c>
      <c r="O191" s="81">
        <f t="shared" si="54"/>
        <v>0</v>
      </c>
      <c r="P191" s="36">
        <f>IF(D191&gt;21,VLOOKUP(D191,Barem!$T$1:$U$39,2,1),0)</f>
        <v>0.1</v>
      </c>
      <c r="Q191" s="32">
        <f>IF(D191&lt;1.609,0,IF(B191="F",VLOOKUP(G191,Barem!$X$2:$Z$13,2,1),VLOOKUP(G191,Barem!$X$14:$Z$25,2,1)))</f>
        <v>0</v>
      </c>
      <c r="R191" s="36">
        <f>VLOOKUP(A191,Participanti!A:C,3,0)</f>
        <v>0</v>
      </c>
      <c r="S191" s="29">
        <f t="shared" si="55"/>
        <v>3.9750000000000001</v>
      </c>
      <c r="T191" s="79">
        <v>44023</v>
      </c>
      <c r="U191" s="16">
        <f>COUNTIFS(A:A,A191,C:C,C191)</f>
        <v>1</v>
      </c>
      <c r="V191" s="34">
        <f t="shared" si="56"/>
        <v>0.14603232916972814</v>
      </c>
      <c r="W191" s="3" t="str">
        <f>VLOOKUP(A191,Data_echipe!A:O,15,0)</f>
        <v xml:space="preserve"> Let it run</v>
      </c>
      <c r="X191" s="3">
        <f t="shared" si="42"/>
        <v>1</v>
      </c>
    </row>
    <row r="192" spans="1:24">
      <c r="A192" s="74" t="s">
        <v>169</v>
      </c>
      <c r="B192" s="24" t="str">
        <f>VLOOKUP(A192,Participanti!A:B,2,0)</f>
        <v>F</v>
      </c>
      <c r="C192" s="75">
        <v>6</v>
      </c>
      <c r="D192" s="76">
        <v>13.63</v>
      </c>
      <c r="E192" s="77">
        <v>0.12962962962962962</v>
      </c>
      <c r="F192" s="78">
        <v>736</v>
      </c>
      <c r="G192" s="20">
        <f t="shared" si="53"/>
        <v>9.510611124697697E-3</v>
      </c>
      <c r="H192" s="16">
        <f>IF(B192="F",IF(G192&gt;Barem!$AC$2,0,IF(B192="F",VLOOKUP(D192,Barem!$B$2:$C$11,2,1))),IF(G192&gt;Barem!$AC$3,0,VLOOKUP(D192,Barem!$B$12:$C$21,2,1)))</f>
        <v>0</v>
      </c>
      <c r="I192" s="16">
        <f>IF(H192=0,0,IF(B192="F",VLOOKUP(G192,Barem!$G$2:$H$11,2,1),VLOOKUP(G192,Barem!$G$12:$H$21,2,1)))</f>
        <v>0</v>
      </c>
      <c r="J192" s="75">
        <v>3.5</v>
      </c>
      <c r="K192" s="83" t="s">
        <v>184</v>
      </c>
      <c r="L192" s="17">
        <f t="shared" si="57"/>
        <v>0.25</v>
      </c>
      <c r="M192" s="17">
        <f t="shared" si="57"/>
        <v>0.25</v>
      </c>
      <c r="N192" s="17">
        <f t="shared" si="57"/>
        <v>0.5</v>
      </c>
      <c r="O192" s="81">
        <f t="shared" si="54"/>
        <v>0.49066666666666664</v>
      </c>
      <c r="P192" s="36">
        <f>IF(D192&gt;21,VLOOKUP(D192,Barem!$T$1:$U$39,2,1),0)</f>
        <v>0</v>
      </c>
      <c r="Q192" s="32">
        <f>IF(D192&lt;1.609,0,IF(B192="F",VLOOKUP(G192,Barem!$X$2:$Z$13,2,1),VLOOKUP(G192,Barem!$X$14:$Z$25,2,1)))</f>
        <v>0</v>
      </c>
      <c r="R192" s="36">
        <f>VLOOKUP(A192,Participanti!A:C,3,0)</f>
        <v>0.5</v>
      </c>
      <c r="S192" s="29">
        <f t="shared" si="55"/>
        <v>2.7406666666666668</v>
      </c>
      <c r="T192" s="79">
        <v>44024</v>
      </c>
      <c r="U192" s="16">
        <f>COUNTIFS(A:A,A192,C:C,C192)</f>
        <v>1</v>
      </c>
      <c r="V192" s="34">
        <f t="shared" si="56"/>
        <v>0.20107605771582293</v>
      </c>
      <c r="W192" s="3" t="str">
        <f>VLOOKUP(A192,Data_echipe!A:O,15,0)</f>
        <v>Serioranistii</v>
      </c>
      <c r="X192" s="3">
        <f t="shared" si="42"/>
        <v>0</v>
      </c>
    </row>
    <row r="193" spans="1:24">
      <c r="A193" s="74" t="s">
        <v>53</v>
      </c>
      <c r="B193" s="24" t="str">
        <f>VLOOKUP(A193,Participanti!A:B,2,0)</f>
        <v>M</v>
      </c>
      <c r="C193" s="75">
        <v>6</v>
      </c>
      <c r="D193" s="76">
        <v>22.03</v>
      </c>
      <c r="E193" s="77">
        <v>7.8518518518518529E-2</v>
      </c>
      <c r="F193" s="78">
        <v>266</v>
      </c>
      <c r="G193" s="20">
        <f t="shared" si="53"/>
        <v>3.5641633462786437E-3</v>
      </c>
      <c r="H193" s="16">
        <f>IF(B193="F",IF(G193&gt;Barem!$AC$2,0,IF(B193="F",VLOOKUP(D193,Barem!$B$2:$C$11,2,1))),IF(G193&gt;Barem!$AC$3,0,VLOOKUP(D193,Barem!$B$12:$C$21,2,1)))</f>
        <v>5</v>
      </c>
      <c r="I193" s="16">
        <f>IF(H193=0,0,IF(B193="F",VLOOKUP(G193,Barem!$G$2:$H$11,2,1),VLOOKUP(G193,Barem!$G$12:$H$21,2,1)))</f>
        <v>2.5</v>
      </c>
      <c r="J193" s="75">
        <v>1</v>
      </c>
      <c r="K193" s="83" t="s">
        <v>182</v>
      </c>
      <c r="L193" s="17">
        <f t="shared" si="57"/>
        <v>0.5</v>
      </c>
      <c r="M193" s="17">
        <f t="shared" si="57"/>
        <v>0.25</v>
      </c>
      <c r="N193" s="17">
        <f t="shared" si="57"/>
        <v>0.25</v>
      </c>
      <c r="O193" s="81">
        <f t="shared" si="54"/>
        <v>0.17733333333333334</v>
      </c>
      <c r="P193" s="36">
        <f>IF(D193&gt;21,VLOOKUP(D193,Barem!$T$1:$U$39,2,1),0)</f>
        <v>0</v>
      </c>
      <c r="Q193" s="32">
        <f>IF(D193&lt;1.609,0,IF(B193="F",VLOOKUP(G193,Barem!$X$2:$Z$13,2,1),VLOOKUP(G193,Barem!$X$14:$Z$25,2,1)))</f>
        <v>0</v>
      </c>
      <c r="R193" s="36">
        <f>VLOOKUP(A193,Participanti!A:C,3,0)</f>
        <v>0</v>
      </c>
      <c r="S193" s="29">
        <f t="shared" si="55"/>
        <v>3.5523333333333333</v>
      </c>
      <c r="T193" s="79">
        <v>44024</v>
      </c>
      <c r="U193" s="16">
        <f>COUNTIFS(A:A,A193,C:C,C193)</f>
        <v>1</v>
      </c>
      <c r="V193" s="34">
        <f t="shared" si="56"/>
        <v>0.16124981086397336</v>
      </c>
      <c r="W193" s="3" t="str">
        <f>VLOOKUP(A193,Data_echipe!A:O,15,0)</f>
        <v>Tenchei</v>
      </c>
      <c r="X193" s="3">
        <f t="shared" si="42"/>
        <v>1</v>
      </c>
    </row>
    <row r="194" spans="1:24">
      <c r="A194" s="74" t="s">
        <v>62</v>
      </c>
      <c r="B194" s="24" t="str">
        <f>VLOOKUP(A194,Participanti!A:B,2,0)</f>
        <v>M</v>
      </c>
      <c r="C194" s="75">
        <v>6</v>
      </c>
      <c r="D194" s="76">
        <v>15.01</v>
      </c>
      <c r="E194" s="77">
        <v>7.8472222222222221E-2</v>
      </c>
      <c r="F194" s="78">
        <v>457</v>
      </c>
      <c r="G194" s="20">
        <f t="shared" si="53"/>
        <v>5.227996150714339E-3</v>
      </c>
      <c r="H194" s="16">
        <f>IF(B194="F",IF(G194&gt;Barem!$AC$2,0,IF(B194="F",VLOOKUP(D194,Barem!$B$2:$C$11,2,1))),IF(G194&gt;Barem!$AC$3,0,VLOOKUP(D194,Barem!$B$12:$C$21,2,1)))</f>
        <v>3.5</v>
      </c>
      <c r="I194" s="16">
        <f>IF(H194=0,0,IF(B194="F",VLOOKUP(G194,Barem!$G$2:$H$11,2,1),VLOOKUP(G194,Barem!$G$12:$H$21,2,1)))</f>
        <v>1</v>
      </c>
      <c r="J194" s="75">
        <v>4</v>
      </c>
      <c r="K194" s="83" t="s">
        <v>182</v>
      </c>
      <c r="L194" s="17">
        <f t="shared" si="57"/>
        <v>0.5</v>
      </c>
      <c r="M194" s="17">
        <f t="shared" si="57"/>
        <v>0.25</v>
      </c>
      <c r="N194" s="17">
        <f t="shared" si="57"/>
        <v>0.25</v>
      </c>
      <c r="O194" s="81">
        <f t="shared" si="54"/>
        <v>0.30466666666666664</v>
      </c>
      <c r="P194" s="36">
        <f>IF(D194&gt;21,VLOOKUP(D194,Barem!$T$1:$U$39,2,1),0)</f>
        <v>0</v>
      </c>
      <c r="Q194" s="32">
        <f>IF(D194&lt;1.609,0,IF(B194="F",VLOOKUP(G194,Barem!$X$2:$Z$13,2,1),VLOOKUP(G194,Barem!$X$14:$Z$25,2,1)))</f>
        <v>0</v>
      </c>
      <c r="R194" s="36">
        <f>VLOOKUP(A194,Participanti!A:C,3,0)</f>
        <v>0</v>
      </c>
      <c r="S194" s="29">
        <f t="shared" si="55"/>
        <v>3.3046666666666669</v>
      </c>
      <c r="T194" s="79">
        <v>44024</v>
      </c>
      <c r="U194" s="16">
        <f>COUNTIFS(A:A,A194,C:C,C194)</f>
        <v>1</v>
      </c>
      <c r="V194" s="34">
        <f t="shared" si="56"/>
        <v>0.22016433488785256</v>
      </c>
      <c r="W194" s="3" t="str">
        <f>VLOOKUP(A194,Data_echipe!A:O,15,0)</f>
        <v>Serioranistii</v>
      </c>
      <c r="X194" s="3">
        <f t="shared" si="42"/>
        <v>1</v>
      </c>
    </row>
    <row r="195" spans="1:24">
      <c r="A195" s="74" t="s">
        <v>52</v>
      </c>
      <c r="B195" s="24" t="str">
        <f>VLOOKUP(A195,Participanti!A:B,2,0)</f>
        <v>M</v>
      </c>
      <c r="C195" s="75">
        <v>6</v>
      </c>
      <c r="D195" s="76">
        <v>21.3</v>
      </c>
      <c r="E195" s="77">
        <v>6.1990740740740735E-2</v>
      </c>
      <c r="F195" s="78">
        <v>0</v>
      </c>
      <c r="G195" s="20">
        <f t="shared" si="53"/>
        <v>2.9103634150582504E-3</v>
      </c>
      <c r="H195" s="16">
        <f>IF(B195="F",IF(G195&gt;Barem!$AC$2,0,IF(B195="F",VLOOKUP(D195,Barem!$B$2:$C$11,2,1))),IF(G195&gt;Barem!$AC$3,0,VLOOKUP(D195,Barem!$B$12:$C$21,2,1)))</f>
        <v>5</v>
      </c>
      <c r="I195" s="16">
        <f>IF(H195=0,0,IF(B195="F",VLOOKUP(G195,Barem!$G$2:$H$11,2,1),VLOOKUP(G195,Barem!$G$12:$H$21,2,1)))</f>
        <v>4.5</v>
      </c>
      <c r="J195" s="75">
        <v>3</v>
      </c>
      <c r="K195" s="82" t="str">
        <f>VLOOKUP($C195,Barem!$L$2:$R$13,7,0)</f>
        <v>V</v>
      </c>
      <c r="L195" s="17">
        <f t="shared" si="57"/>
        <v>0.25</v>
      </c>
      <c r="M195" s="17">
        <f t="shared" si="57"/>
        <v>0.5</v>
      </c>
      <c r="N195" s="17">
        <f t="shared" si="57"/>
        <v>0.25</v>
      </c>
      <c r="O195" s="81">
        <f t="shared" si="54"/>
        <v>0</v>
      </c>
      <c r="P195" s="36">
        <f>IF(D195&gt;21,VLOOKUP(D195,Barem!$T$1:$U$39,2,1),0)</f>
        <v>0</v>
      </c>
      <c r="Q195" s="32">
        <f>IF(D195&lt;1.609,0,IF(B195="F",VLOOKUP(G195,Barem!$X$2:$Z$13,2,1),VLOOKUP(G195,Barem!$X$14:$Z$25,2,1)))</f>
        <v>0</v>
      </c>
      <c r="R195" s="36">
        <f>VLOOKUP(A195,Participanti!A:C,3,0)</f>
        <v>0</v>
      </c>
      <c r="S195" s="29">
        <f t="shared" si="55"/>
        <v>4.25</v>
      </c>
      <c r="T195" s="79">
        <v>44024</v>
      </c>
      <c r="U195" s="16">
        <f>COUNTIFS(A:A,A195,C:C,C195)</f>
        <v>1</v>
      </c>
      <c r="V195" s="34">
        <f t="shared" si="56"/>
        <v>0.19953051643192488</v>
      </c>
      <c r="W195" s="3" t="str">
        <f>VLOOKUP(A195,Data_echipe!A:O,15,0)</f>
        <v xml:space="preserve"> Let it run</v>
      </c>
      <c r="X195" s="3">
        <f t="shared" ref="X195:X258" si="58">IF(I195&gt;0,1,0)</f>
        <v>1</v>
      </c>
    </row>
    <row r="196" spans="1:24">
      <c r="A196" s="74" t="s">
        <v>114</v>
      </c>
      <c r="B196" s="24" t="str">
        <f>VLOOKUP(A196,Participanti!A:B,2,0)</f>
        <v>M</v>
      </c>
      <c r="C196" s="75">
        <v>6</v>
      </c>
      <c r="D196" s="76">
        <v>11.01</v>
      </c>
      <c r="E196" s="77">
        <v>3.8043981481481477E-2</v>
      </c>
      <c r="F196" s="78">
        <v>304</v>
      </c>
      <c r="G196" s="20">
        <f t="shared" si="53"/>
        <v>3.455402496047364E-3</v>
      </c>
      <c r="H196" s="16">
        <f>IF(B196="F",IF(G196&gt;Barem!$AC$2,0,IF(B196="F",VLOOKUP(D196,Barem!$B$2:$C$11,2,1))),IF(G196&gt;Barem!$AC$3,0,VLOOKUP(D196,Barem!$B$12:$C$21,2,1)))</f>
        <v>2.5</v>
      </c>
      <c r="I196" s="16">
        <f>IF(H196=0,0,IF(B196="F",VLOOKUP(G196,Barem!$G$2:$H$11,2,1),VLOOKUP(G196,Barem!$G$12:$H$21,2,1)))</f>
        <v>3</v>
      </c>
      <c r="J196" s="75">
        <v>2.5</v>
      </c>
      <c r="K196" s="82" t="str">
        <f>VLOOKUP($C196,Barem!$L$2:$R$13,7,0)</f>
        <v>V</v>
      </c>
      <c r="L196" s="17">
        <f t="shared" si="57"/>
        <v>0.25</v>
      </c>
      <c r="M196" s="17">
        <f t="shared" si="57"/>
        <v>0.5</v>
      </c>
      <c r="N196" s="17">
        <f t="shared" si="57"/>
        <v>0.25</v>
      </c>
      <c r="O196" s="81">
        <f t="shared" si="54"/>
        <v>0.20266666666666666</v>
      </c>
      <c r="P196" s="36">
        <f>IF(D196&gt;21,VLOOKUP(D196,Barem!$T$1:$U$39,2,1),0)</f>
        <v>0</v>
      </c>
      <c r="Q196" s="32">
        <f>IF(D196&lt;1.609,0,IF(B196="F",VLOOKUP(G196,Barem!$X$2:$Z$13,2,1),VLOOKUP(G196,Barem!$X$14:$Z$25,2,1)))</f>
        <v>0</v>
      </c>
      <c r="R196" s="36">
        <f>VLOOKUP(A196,Participanti!A:C,3,0)</f>
        <v>0</v>
      </c>
      <c r="S196" s="29">
        <f t="shared" si="55"/>
        <v>2.9526666666666666</v>
      </c>
      <c r="T196" s="79">
        <v>44019</v>
      </c>
      <c r="U196" s="16">
        <f>COUNTIFS(A:A,A196,C:C,C196)</f>
        <v>1</v>
      </c>
      <c r="V196" s="34">
        <f t="shared" si="56"/>
        <v>0.26818044202240388</v>
      </c>
      <c r="W196" s="3" t="str">
        <f>VLOOKUP(A196,Data_echipe!A:O,15,0)</f>
        <v>Serioranistii</v>
      </c>
      <c r="X196" s="3">
        <f t="shared" si="58"/>
        <v>1</v>
      </c>
    </row>
    <row r="197" spans="1:24">
      <c r="A197" s="74" t="s">
        <v>68</v>
      </c>
      <c r="B197" s="24" t="str">
        <f>VLOOKUP(A197,Participanti!A:B,2,0)</f>
        <v>M</v>
      </c>
      <c r="C197" s="75">
        <v>6</v>
      </c>
      <c r="D197" s="76">
        <v>7.05</v>
      </c>
      <c r="E197" s="77">
        <v>2.269675925925926E-2</v>
      </c>
      <c r="F197" s="78">
        <v>8</v>
      </c>
      <c r="G197" s="20">
        <f t="shared" si="53"/>
        <v>3.2193984764906751E-3</v>
      </c>
      <c r="H197" s="16">
        <f>IF(B197="F",IF(G197&gt;Barem!$AC$2,0,IF(B197="F",VLOOKUP(D197,Barem!$B$2:$C$11,2,1))),IF(G197&gt;Barem!$AC$3,0,VLOOKUP(D197,Barem!$B$12:$C$21,2,1)))</f>
        <v>2</v>
      </c>
      <c r="I197" s="16">
        <f>IF(H197=0,0,IF(B197="F",VLOOKUP(G197,Barem!$G$2:$H$11,2,1),VLOOKUP(G197,Barem!$G$12:$H$21,2,1)))</f>
        <v>3.5</v>
      </c>
      <c r="J197" s="75">
        <v>3.5</v>
      </c>
      <c r="K197" s="82" t="str">
        <f>VLOOKUP($C197,Barem!$L$2:$R$13,7,0)</f>
        <v>V</v>
      </c>
      <c r="L197" s="17">
        <f t="shared" si="57"/>
        <v>0.25</v>
      </c>
      <c r="M197" s="17">
        <f t="shared" si="57"/>
        <v>0.5</v>
      </c>
      <c r="N197" s="17">
        <f t="shared" si="57"/>
        <v>0.25</v>
      </c>
      <c r="O197" s="81">
        <f t="shared" si="54"/>
        <v>0</v>
      </c>
      <c r="P197" s="36">
        <f>IF(D197&gt;21,VLOOKUP(D197,Barem!$T$1:$U$39,2,1),0)</f>
        <v>0</v>
      </c>
      <c r="Q197" s="32">
        <f>IF(D197&lt;1.609,0,IF(B197="F",VLOOKUP(G197,Barem!$X$2:$Z$13,2,1),VLOOKUP(G197,Barem!$X$14:$Z$25,2,1)))</f>
        <v>0</v>
      </c>
      <c r="R197" s="36">
        <f>VLOOKUP(A197,Participanti!A:C,3,0)</f>
        <v>0</v>
      </c>
      <c r="S197" s="29">
        <f t="shared" si="55"/>
        <v>3.125</v>
      </c>
      <c r="T197" s="79">
        <v>44019</v>
      </c>
      <c r="U197" s="16">
        <f>COUNTIFS(A:A,A197,C:C,C197)</f>
        <v>1</v>
      </c>
      <c r="V197" s="34">
        <f t="shared" si="56"/>
        <v>0.44326241134751776</v>
      </c>
      <c r="W197" s="3" t="str">
        <f>VLOOKUP(A197,Data_echipe!A:O,15,0)</f>
        <v>Unicornii</v>
      </c>
      <c r="X197" s="3">
        <f t="shared" si="58"/>
        <v>1</v>
      </c>
    </row>
    <row r="198" spans="1:24">
      <c r="A198" s="74" t="s">
        <v>86</v>
      </c>
      <c r="B198" s="24" t="str">
        <f>VLOOKUP(A198,Participanti!A:B,2,0)</f>
        <v>M</v>
      </c>
      <c r="C198" s="75">
        <v>6</v>
      </c>
      <c r="D198" s="76">
        <v>8</v>
      </c>
      <c r="E198" s="77">
        <v>2.6493055555555558E-2</v>
      </c>
      <c r="F198" s="78">
        <v>35</v>
      </c>
      <c r="G198" s="20">
        <f t="shared" si="53"/>
        <v>3.3116319444444447E-3</v>
      </c>
      <c r="H198" s="16">
        <f>IF(B198="F",IF(G198&gt;Barem!$AC$2,0,IF(B198="F",VLOOKUP(D198,Barem!$B$2:$C$11,2,1))),IF(G198&gt;Barem!$AC$3,0,VLOOKUP(D198,Barem!$B$12:$C$21,2,1)))</f>
        <v>2</v>
      </c>
      <c r="I198" s="16">
        <f>IF(H198=0,0,IF(B198="F",VLOOKUP(G198,Barem!$G$2:$H$11,2,1),VLOOKUP(G198,Barem!$G$12:$H$21,2,1)))</f>
        <v>3</v>
      </c>
      <c r="J198" s="75">
        <v>2.5</v>
      </c>
      <c r="K198" s="82" t="str">
        <f>VLOOKUP($C198,Barem!$L$2:$R$13,7,0)</f>
        <v>V</v>
      </c>
      <c r="L198" s="17">
        <f t="shared" si="57"/>
        <v>0.25</v>
      </c>
      <c r="M198" s="17">
        <f t="shared" si="57"/>
        <v>0.5</v>
      </c>
      <c r="N198" s="17">
        <f t="shared" si="57"/>
        <v>0.25</v>
      </c>
      <c r="O198" s="81">
        <f t="shared" si="54"/>
        <v>0</v>
      </c>
      <c r="P198" s="36">
        <f>IF(D198&gt;21,VLOOKUP(D198,Barem!$T$1:$U$39,2,1),0)</f>
        <v>0</v>
      </c>
      <c r="Q198" s="32">
        <f>IF(D198&lt;1.609,0,IF(B198="F",VLOOKUP(G198,Barem!$X$2:$Z$13,2,1),VLOOKUP(G198,Barem!$X$14:$Z$25,2,1)))</f>
        <v>0</v>
      </c>
      <c r="R198" s="36">
        <f>VLOOKUP(A198,Participanti!A:C,3,0)</f>
        <v>0</v>
      </c>
      <c r="S198" s="29">
        <f t="shared" si="55"/>
        <v>2.625</v>
      </c>
      <c r="T198" s="79">
        <v>44023</v>
      </c>
      <c r="U198" s="16">
        <f>COUNTIFS(A:A,A198,C:C,C198)</f>
        <v>1</v>
      </c>
      <c r="V198" s="34">
        <f t="shared" si="56"/>
        <v>0.328125</v>
      </c>
      <c r="W198" s="3" t="str">
        <f>VLOOKUP(A198,Data_echipe!A:O,15,0)</f>
        <v>Unicornii</v>
      </c>
      <c r="X198" s="3">
        <f t="shared" si="58"/>
        <v>1</v>
      </c>
    </row>
    <row r="199" spans="1:24">
      <c r="A199" s="74" t="s">
        <v>172</v>
      </c>
      <c r="B199" s="24" t="str">
        <f>VLOOKUP(A199,Participanti!A:B,2,0)</f>
        <v>F</v>
      </c>
      <c r="C199" s="75">
        <v>6</v>
      </c>
      <c r="D199" s="76">
        <v>16</v>
      </c>
      <c r="E199" s="77">
        <v>6.4444444444444443E-2</v>
      </c>
      <c r="F199" s="78">
        <v>13</v>
      </c>
      <c r="G199" s="20">
        <f t="shared" si="53"/>
        <v>4.0277777777777777E-3</v>
      </c>
      <c r="H199" s="16">
        <f>IF(B199="F",IF(G199&gt;Barem!$AC$2,0,IF(B199="F",VLOOKUP(D199,Barem!$B$2:$C$11,2,1))),IF(G199&gt;Barem!$AC$3,0,VLOOKUP(D199,Barem!$B$12:$C$21,2,1)))</f>
        <v>4</v>
      </c>
      <c r="I199" s="16">
        <f>IF(H199=0,0,IF(B199="F",VLOOKUP(G199,Barem!$G$2:$H$11,2,1),VLOOKUP(G199,Barem!$G$12:$H$21,2,1)))</f>
        <v>2</v>
      </c>
      <c r="J199" s="75">
        <v>4</v>
      </c>
      <c r="K199" s="83" t="s">
        <v>184</v>
      </c>
      <c r="L199" s="17">
        <f t="shared" si="57"/>
        <v>0.25</v>
      </c>
      <c r="M199" s="17">
        <f t="shared" si="57"/>
        <v>0.25</v>
      </c>
      <c r="N199" s="17">
        <f t="shared" si="57"/>
        <v>0.5</v>
      </c>
      <c r="O199" s="81">
        <f t="shared" si="54"/>
        <v>0</v>
      </c>
      <c r="P199" s="36">
        <f>IF(D199&gt;21,VLOOKUP(D199,Barem!$T$1:$U$39,2,1),0)</f>
        <v>0</v>
      </c>
      <c r="Q199" s="32">
        <f>IF(D199&lt;1.609,0,IF(B199="F",VLOOKUP(G199,Barem!$X$2:$Z$13,2,1),VLOOKUP(G199,Barem!$X$14:$Z$25,2,1)))</f>
        <v>0</v>
      </c>
      <c r="R199" s="36">
        <f>VLOOKUP(A199,Participanti!A:C,3,0)</f>
        <v>0</v>
      </c>
      <c r="S199" s="29">
        <f t="shared" si="55"/>
        <v>3.5</v>
      </c>
      <c r="T199" s="79">
        <v>44024</v>
      </c>
      <c r="U199" s="16">
        <f>COUNTIFS(A:A,A199,C:C,C199)</f>
        <v>1</v>
      </c>
      <c r="V199" s="34">
        <f t="shared" si="56"/>
        <v>0.21875</v>
      </c>
      <c r="W199" s="3" t="str">
        <f>VLOOKUP(A199,Data_echipe!A:O,15,0)</f>
        <v>Unicornii</v>
      </c>
      <c r="X199" s="3">
        <f t="shared" si="58"/>
        <v>1</v>
      </c>
    </row>
    <row r="200" spans="1:24">
      <c r="A200" s="74" t="s">
        <v>54</v>
      </c>
      <c r="B200" s="24" t="str">
        <f>VLOOKUP(A200,Participanti!A:B,2,0)</f>
        <v>M</v>
      </c>
      <c r="C200" s="75">
        <v>6</v>
      </c>
      <c r="D200" s="76">
        <v>11.59</v>
      </c>
      <c r="E200" s="77">
        <v>4.4212962962962961E-2</v>
      </c>
      <c r="F200" s="78">
        <v>95</v>
      </c>
      <c r="G200" s="20">
        <f t="shared" si="53"/>
        <v>3.8147509027578051E-3</v>
      </c>
      <c r="H200" s="16">
        <f>IF(B200="F",IF(G200&gt;Barem!$AC$2,0,IF(B200="F",VLOOKUP(D200,Barem!$B$2:$C$11,2,1))),IF(G200&gt;Barem!$AC$3,0,VLOOKUP(D200,Barem!$B$12:$C$21,2,1)))</f>
        <v>2.5</v>
      </c>
      <c r="I200" s="16">
        <f>IF(H200=0,0,IF(B200="F",VLOOKUP(G200,Barem!$G$2:$H$11,2,1),VLOOKUP(G200,Barem!$G$12:$H$21,2,1)))</f>
        <v>2</v>
      </c>
      <c r="J200" s="75">
        <v>3</v>
      </c>
      <c r="K200" s="82" t="str">
        <f>VLOOKUP($C200,Barem!$L$2:$R$13,7,0)</f>
        <v>V</v>
      </c>
      <c r="L200" s="17">
        <f t="shared" si="57"/>
        <v>0.25</v>
      </c>
      <c r="M200" s="17">
        <f t="shared" si="57"/>
        <v>0.5</v>
      </c>
      <c r="N200" s="17">
        <f t="shared" si="57"/>
        <v>0.25</v>
      </c>
      <c r="O200" s="81">
        <f t="shared" si="54"/>
        <v>0</v>
      </c>
      <c r="P200" s="36">
        <f>IF(D200&gt;21,VLOOKUP(D200,Barem!$T$1:$U$39,2,1),0)</f>
        <v>0</v>
      </c>
      <c r="Q200" s="32">
        <f>IF(D200&lt;1.609,0,IF(B200="F",VLOOKUP(G200,Barem!$X$2:$Z$13,2,1),VLOOKUP(G200,Barem!$X$14:$Z$25,2,1)))</f>
        <v>0</v>
      </c>
      <c r="R200" s="36">
        <f>VLOOKUP(A200,Participanti!A:C,3,0)</f>
        <v>0.5</v>
      </c>
      <c r="S200" s="29">
        <f t="shared" si="55"/>
        <v>2.875</v>
      </c>
      <c r="T200" s="79">
        <v>43990</v>
      </c>
      <c r="U200" s="16">
        <f>COUNTIFS(A:A,A200,C:C,C200)</f>
        <v>1</v>
      </c>
      <c r="V200" s="34">
        <f t="shared" si="56"/>
        <v>0.24805867126833478</v>
      </c>
      <c r="W200" s="3" t="str">
        <f>VLOOKUP(A200,Data_echipe!A:O,15,0)</f>
        <v>Serioranistii</v>
      </c>
      <c r="X200" s="3">
        <f t="shared" si="58"/>
        <v>1</v>
      </c>
    </row>
    <row r="201" spans="1:24">
      <c r="A201" s="74" t="s">
        <v>201</v>
      </c>
      <c r="B201" s="24" t="str">
        <f>VLOOKUP(A201,Participanti!A:B,2,0)</f>
        <v>F</v>
      </c>
      <c r="C201" s="75">
        <v>6</v>
      </c>
      <c r="D201" s="76">
        <v>10</v>
      </c>
      <c r="E201" s="77">
        <v>4.4988425925925925E-2</v>
      </c>
      <c r="F201" s="78">
        <v>28</v>
      </c>
      <c r="G201" s="20">
        <f t="shared" si="53"/>
        <v>4.4988425925925925E-3</v>
      </c>
      <c r="H201" s="16">
        <f>IF(B201="F",IF(G201&gt;Barem!$AC$2,0,IF(B201="F",VLOOKUP(D201,Barem!$B$2:$C$11,2,1))),IF(G201&gt;Barem!$AC$3,0,VLOOKUP(D201,Barem!$B$12:$C$21,2,1)))</f>
        <v>2.5</v>
      </c>
      <c r="I201" s="16">
        <f>IF(H201=0,0,IF(B201="F",VLOOKUP(G201,Barem!$G$2:$H$11,2,1),VLOOKUP(G201,Barem!$G$12:$H$21,2,1)))</f>
        <v>1.5</v>
      </c>
      <c r="J201" s="75">
        <v>3</v>
      </c>
      <c r="K201" s="82" t="str">
        <f>VLOOKUP($C201,Barem!$L$2:$R$13,7,0)</f>
        <v>V</v>
      </c>
      <c r="L201" s="17">
        <f t="shared" si="57"/>
        <v>0.25</v>
      </c>
      <c r="M201" s="17">
        <f t="shared" si="57"/>
        <v>0.5</v>
      </c>
      <c r="N201" s="17">
        <f t="shared" si="57"/>
        <v>0.25</v>
      </c>
      <c r="O201" s="81">
        <f t="shared" si="54"/>
        <v>0</v>
      </c>
      <c r="P201" s="36">
        <f>IF(D201&gt;21,VLOOKUP(D201,Barem!$T$1:$U$39,2,1),0)</f>
        <v>0</v>
      </c>
      <c r="Q201" s="32">
        <f>IF(D201&lt;1.609,0,IF(B201="F",VLOOKUP(G201,Barem!$X$2:$Z$13,2,1),VLOOKUP(G201,Barem!$X$14:$Z$25,2,1)))</f>
        <v>0</v>
      </c>
      <c r="R201" s="36">
        <f>VLOOKUP(A201,Participanti!A:C,3,0)</f>
        <v>0</v>
      </c>
      <c r="S201" s="29">
        <f t="shared" si="55"/>
        <v>2.125</v>
      </c>
      <c r="T201" s="79">
        <v>43990</v>
      </c>
      <c r="U201" s="16">
        <f>COUNTIFS(A:A,A201,C:C,C201)</f>
        <v>1</v>
      </c>
      <c r="V201" s="34">
        <f t="shared" si="56"/>
        <v>0.21249999999999999</v>
      </c>
      <c r="W201" s="3" t="str">
        <f>VLOOKUP(A201,Data_echipe!A:O,15,0)</f>
        <v>X Æ A-12</v>
      </c>
      <c r="X201" s="3">
        <f t="shared" si="58"/>
        <v>1</v>
      </c>
    </row>
    <row r="202" spans="1:24">
      <c r="A202" s="74" t="s">
        <v>171</v>
      </c>
      <c r="B202" s="24" t="str">
        <f>VLOOKUP(A202,Participanti!A:B,2,0)</f>
        <v>M</v>
      </c>
      <c r="C202" s="75">
        <v>6</v>
      </c>
      <c r="D202" s="76">
        <v>21.22</v>
      </c>
      <c r="E202" s="77">
        <v>9.0844907407407416E-2</v>
      </c>
      <c r="F202" s="78">
        <v>759</v>
      </c>
      <c r="G202" s="20">
        <f t="shared" si="53"/>
        <v>4.2810983698118484E-3</v>
      </c>
      <c r="H202" s="16">
        <f>IF(B202="F",IF(G202&gt;Barem!$AC$2,0,IF(B202="F",VLOOKUP(D202,Barem!$B$2:$C$11,2,1))),IF(G202&gt;Barem!$AC$3,0,VLOOKUP(D202,Barem!$B$12:$C$21,2,1)))</f>
        <v>5</v>
      </c>
      <c r="I202" s="16">
        <f>IF(H202=0,0,IF(B202="F",VLOOKUP(G202,Barem!$G$2:$H$11,2,1),VLOOKUP(G202,Barem!$G$12:$H$21,2,1)))</f>
        <v>1</v>
      </c>
      <c r="J202" s="75">
        <v>4</v>
      </c>
      <c r="K202" s="83" t="s">
        <v>184</v>
      </c>
      <c r="L202" s="17">
        <f t="shared" si="57"/>
        <v>0.25</v>
      </c>
      <c r="M202" s="17">
        <f t="shared" si="57"/>
        <v>0.25</v>
      </c>
      <c r="N202" s="17">
        <f t="shared" si="57"/>
        <v>0.5</v>
      </c>
      <c r="O202" s="81">
        <f t="shared" si="54"/>
        <v>0.50600000000000001</v>
      </c>
      <c r="P202" s="36">
        <f>IF(D202&gt;21,VLOOKUP(D202,Barem!$T$1:$U$39,2,1),0)</f>
        <v>0</v>
      </c>
      <c r="Q202" s="32">
        <f>IF(D202&lt;1.609,0,IF(B202="F",VLOOKUP(G202,Barem!$X$2:$Z$13,2,1),VLOOKUP(G202,Barem!$X$14:$Z$25,2,1)))</f>
        <v>0</v>
      </c>
      <c r="R202" s="36">
        <f>VLOOKUP(A202,Participanti!A:C,3,0)</f>
        <v>0</v>
      </c>
      <c r="S202" s="29">
        <f t="shared" si="55"/>
        <v>4.0060000000000002</v>
      </c>
      <c r="T202" s="79">
        <v>44023</v>
      </c>
      <c r="U202" s="16">
        <f>COUNTIFS(A:A,A202,C:C,C202)</f>
        <v>1</v>
      </c>
      <c r="V202" s="34">
        <f t="shared" si="56"/>
        <v>0.18878416588124414</v>
      </c>
      <c r="W202" s="3" t="str">
        <f>VLOOKUP(A202,Data_echipe!A:O,15,0)</f>
        <v>X Æ A-12</v>
      </c>
      <c r="X202" s="3">
        <f t="shared" si="58"/>
        <v>1</v>
      </c>
    </row>
    <row r="203" spans="1:24">
      <c r="A203" s="74" t="s">
        <v>60</v>
      </c>
      <c r="B203" s="24" t="str">
        <f>VLOOKUP(A203,Participanti!A:B,2,0)</f>
        <v>M</v>
      </c>
      <c r="C203" s="75">
        <v>6</v>
      </c>
      <c r="D203" s="76">
        <v>23.4</v>
      </c>
      <c r="E203" s="77">
        <v>8.6574074074074081E-2</v>
      </c>
      <c r="F203" s="78">
        <v>0</v>
      </c>
      <c r="G203" s="20">
        <f t="shared" si="53"/>
        <v>3.6997467553023114E-3</v>
      </c>
      <c r="H203" s="16">
        <f>IF(B203="F",IF(G203&gt;Barem!$AC$2,0,IF(B203="F",VLOOKUP(D203,Barem!$B$2:$C$11,2,1))),IF(G203&gt;Barem!$AC$3,0,VLOOKUP(D203,Barem!$B$12:$C$21,2,1)))</f>
        <v>5</v>
      </c>
      <c r="I203" s="16">
        <f>IF(H203=0,0,IF(B203="F",VLOOKUP(G203,Barem!$G$2:$H$11,2,1),VLOOKUP(G203,Barem!$G$12:$H$21,2,1)))</f>
        <v>2</v>
      </c>
      <c r="J203" s="75">
        <v>4</v>
      </c>
      <c r="K203" s="82" t="str">
        <f>VLOOKUP($C203,Barem!$L$2:$R$13,7,0)</f>
        <v>V</v>
      </c>
      <c r="L203" s="17">
        <f t="shared" si="57"/>
        <v>0.25</v>
      </c>
      <c r="M203" s="17">
        <f t="shared" si="57"/>
        <v>0.5</v>
      </c>
      <c r="N203" s="17">
        <f t="shared" si="57"/>
        <v>0.25</v>
      </c>
      <c r="O203" s="81">
        <f t="shared" si="54"/>
        <v>0</v>
      </c>
      <c r="P203" s="36">
        <f>IF(D203&gt;21,VLOOKUP(D203,Barem!$T$1:$U$39,2,1),0)</f>
        <v>0</v>
      </c>
      <c r="Q203" s="32">
        <f>IF(D203&lt;1.609,0,IF(B203="F",VLOOKUP(G203,Barem!$X$2:$Z$13,2,1),VLOOKUP(G203,Barem!$X$14:$Z$25,2,1)))</f>
        <v>0</v>
      </c>
      <c r="R203" s="36">
        <f>VLOOKUP(A203,Participanti!A:C,3,0)</f>
        <v>0</v>
      </c>
      <c r="S203" s="29">
        <f t="shared" si="55"/>
        <v>3.25</v>
      </c>
      <c r="T203" s="79">
        <v>44022</v>
      </c>
      <c r="U203" s="16">
        <f>COUNTIFS(A:A,A203,C:C,C203)</f>
        <v>1</v>
      </c>
      <c r="V203" s="34">
        <f t="shared" si="56"/>
        <v>0.1388888888888889</v>
      </c>
      <c r="W203" s="3" t="str">
        <f>VLOOKUP(A203,Data_echipe!A:O,15,0)</f>
        <v>Tenchei</v>
      </c>
      <c r="X203" s="3">
        <f t="shared" si="58"/>
        <v>1</v>
      </c>
    </row>
    <row r="204" spans="1:24">
      <c r="A204" s="74" t="s">
        <v>200</v>
      </c>
      <c r="B204" s="24" t="str">
        <f>VLOOKUP(A204,Participanti!A:B,2,0)</f>
        <v>M</v>
      </c>
      <c r="C204" s="75">
        <v>6</v>
      </c>
      <c r="D204" s="76">
        <v>16.04</v>
      </c>
      <c r="E204" s="77">
        <v>5.1944444444444439E-2</v>
      </c>
      <c r="F204" s="78">
        <v>0</v>
      </c>
      <c r="G204" s="20">
        <f t="shared" si="53"/>
        <v>3.2384316985314488E-3</v>
      </c>
      <c r="H204" s="16">
        <f>IF(B204="F",IF(G204&gt;Barem!$AC$2,0,IF(B204="F",VLOOKUP(D204,Barem!$B$2:$C$11,2,1))),IF(G204&gt;Barem!$AC$3,0,VLOOKUP(D204,Barem!$B$12:$C$21,2,1)))</f>
        <v>3.5</v>
      </c>
      <c r="I204" s="16">
        <f>IF(H204=0,0,IF(B204="F",VLOOKUP(G204,Barem!$G$2:$H$11,2,1),VLOOKUP(G204,Barem!$G$12:$H$21,2,1)))</f>
        <v>3.5</v>
      </c>
      <c r="J204" s="75">
        <v>3.5</v>
      </c>
      <c r="K204" s="82" t="str">
        <f>VLOOKUP($C204,Barem!$L$2:$R$13,7,0)</f>
        <v>V</v>
      </c>
      <c r="L204" s="17">
        <f t="shared" si="57"/>
        <v>0.25</v>
      </c>
      <c r="M204" s="17">
        <f t="shared" si="57"/>
        <v>0.5</v>
      </c>
      <c r="N204" s="17">
        <f t="shared" si="57"/>
        <v>0.25</v>
      </c>
      <c r="O204" s="81">
        <f t="shared" si="54"/>
        <v>0</v>
      </c>
      <c r="P204" s="36">
        <f>IF(D204&gt;21,VLOOKUP(D204,Barem!$T$1:$U$39,2,1),0)</f>
        <v>0</v>
      </c>
      <c r="Q204" s="32">
        <f>IF(D204&lt;1.609,0,IF(B204="F",VLOOKUP(G204,Barem!$X$2:$Z$13,2,1),VLOOKUP(G204,Barem!$X$14:$Z$25,2,1)))</f>
        <v>0</v>
      </c>
      <c r="R204" s="36">
        <f>VLOOKUP(A204,Participanti!A:C,3,0)</f>
        <v>0</v>
      </c>
      <c r="S204" s="29">
        <f t="shared" si="55"/>
        <v>3.5</v>
      </c>
      <c r="T204" s="79">
        <v>44023</v>
      </c>
      <c r="U204" s="16">
        <f>COUNTIFS(A:A,A204,C:C,C204)</f>
        <v>1</v>
      </c>
      <c r="V204" s="34">
        <f t="shared" si="56"/>
        <v>0.21820448877805487</v>
      </c>
      <c r="W204" s="3" t="str">
        <f>VLOOKUP(A204,Data_echipe!A:O,15,0)</f>
        <v xml:space="preserve"> Let it run</v>
      </c>
      <c r="X204" s="3">
        <f t="shared" si="58"/>
        <v>1</v>
      </c>
    </row>
    <row r="205" spans="1:24">
      <c r="A205" s="74" t="s">
        <v>47</v>
      </c>
      <c r="B205" s="24" t="str">
        <f>VLOOKUP(A205,Participanti!A:B,2,0)</f>
        <v>M</v>
      </c>
      <c r="C205" s="75">
        <v>6</v>
      </c>
      <c r="D205" s="76">
        <v>21.48</v>
      </c>
      <c r="E205" s="77">
        <v>8.1944444444444445E-2</v>
      </c>
      <c r="F205" s="78">
        <v>44</v>
      </c>
      <c r="G205" s="20">
        <f t="shared" si="53"/>
        <v>3.8149182702255325E-3</v>
      </c>
      <c r="H205" s="16">
        <f>IF(B205="F",IF(G205&gt;Barem!$AC$2,0,IF(B205="F",VLOOKUP(D205,Barem!$B$2:$C$11,2,1))),IF(G205&gt;Barem!$AC$3,0,VLOOKUP(D205,Barem!$B$12:$C$21,2,1)))</f>
        <v>5</v>
      </c>
      <c r="I205" s="16">
        <f>IF(H205=0,0,IF(B205="F",VLOOKUP(G205,Barem!$G$2:$H$11,2,1),VLOOKUP(G205,Barem!$G$12:$H$21,2,1)))</f>
        <v>2</v>
      </c>
      <c r="J205" s="75">
        <v>4</v>
      </c>
      <c r="K205" s="83" t="s">
        <v>182</v>
      </c>
      <c r="L205" s="17">
        <f t="shared" si="57"/>
        <v>0.5</v>
      </c>
      <c r="M205" s="17">
        <f t="shared" si="57"/>
        <v>0.25</v>
      </c>
      <c r="N205" s="17">
        <f t="shared" si="57"/>
        <v>0.25</v>
      </c>
      <c r="O205" s="81">
        <f t="shared" si="54"/>
        <v>0</v>
      </c>
      <c r="P205" s="36">
        <f>IF(D205&gt;21,VLOOKUP(D205,Barem!$T$1:$U$39,2,1),0)</f>
        <v>0</v>
      </c>
      <c r="Q205" s="32">
        <f>IF(D205&lt;1.609,0,IF(B205="F",VLOOKUP(G205,Barem!$X$2:$Z$13,2,1),VLOOKUP(G205,Barem!$X$14:$Z$25,2,1)))</f>
        <v>0</v>
      </c>
      <c r="R205" s="36">
        <f>VLOOKUP(A205,Participanti!A:C,3,0)</f>
        <v>0</v>
      </c>
      <c r="S205" s="29">
        <f t="shared" si="55"/>
        <v>4</v>
      </c>
      <c r="T205" s="79">
        <v>44020</v>
      </c>
      <c r="U205" s="16">
        <f>COUNTIFS(A:A,A205,C:C,C205)</f>
        <v>1</v>
      </c>
      <c r="V205" s="34">
        <f t="shared" si="56"/>
        <v>0.18621973929236499</v>
      </c>
      <c r="W205" s="3" t="str">
        <f>VLOOKUP(A205,Data_echipe!A:O,15,0)</f>
        <v>X Æ A-12</v>
      </c>
      <c r="X205" s="3">
        <f t="shared" si="58"/>
        <v>1</v>
      </c>
    </row>
    <row r="206" spans="1:24">
      <c r="A206" s="74" t="s">
        <v>205</v>
      </c>
      <c r="B206" s="24" t="str">
        <f>VLOOKUP(A206,Participanti!A:B,2,0)</f>
        <v>M</v>
      </c>
      <c r="C206" s="75">
        <v>6</v>
      </c>
      <c r="D206" s="76"/>
      <c r="E206" s="77"/>
      <c r="F206" s="78"/>
      <c r="G206" s="20" t="e">
        <f t="shared" si="53"/>
        <v>#DIV/0!</v>
      </c>
      <c r="H206" s="16" t="e">
        <f>IF(B206="F",IF(G206&gt;Barem!$AC$2,0,IF(B206="F",VLOOKUP(D206,Barem!$B$2:$C$11,2,1))),IF(G206&gt;Barem!$AC$3,0,VLOOKUP(D206,Barem!$B$12:$C$21,2,1)))</f>
        <v>#DIV/0!</v>
      </c>
      <c r="I206" s="16" t="e">
        <f>IF(H206=0,0,IF(B206="F",VLOOKUP(G206,Barem!$G$2:$H$11,2,1),VLOOKUP(G206,Barem!$G$12:$H$21,2,1)))</f>
        <v>#DIV/0!</v>
      </c>
      <c r="J206" s="75"/>
      <c r="K206" s="82"/>
      <c r="L206" s="17">
        <f t="shared" si="57"/>
        <v>0.25</v>
      </c>
      <c r="M206" s="17">
        <f t="shared" si="57"/>
        <v>0.25</v>
      </c>
      <c r="N206" s="17">
        <f t="shared" si="57"/>
        <v>0.25</v>
      </c>
      <c r="O206" s="81">
        <f t="shared" si="54"/>
        <v>0</v>
      </c>
      <c r="P206" s="36">
        <f>IF(D206&gt;21,VLOOKUP(D206,Barem!$T$1:$U$39,2,1),0)</f>
        <v>0</v>
      </c>
      <c r="Q206" s="32">
        <f>IF(D206&lt;1.609,0,IF(B206="F",VLOOKUP(G206,Barem!$X$2:$Z$13,2,1),VLOOKUP(G206,Barem!$X$14:$Z$25,2,1)))</f>
        <v>0</v>
      </c>
      <c r="R206" s="36">
        <f>VLOOKUP(A206,Participanti!A:C,3,0)</f>
        <v>0</v>
      </c>
      <c r="S206" s="113">
        <v>1.5</v>
      </c>
      <c r="T206" s="79"/>
      <c r="U206" s="16">
        <f>COUNTIFS(A:A,A206,C:C,C206)</f>
        <v>1</v>
      </c>
      <c r="V206" s="34"/>
      <c r="W206" s="3" t="str">
        <f>VLOOKUP(A206,Data_echipe!A:O,15,0)</f>
        <v>Serioranistii</v>
      </c>
      <c r="X206" s="3">
        <v>1</v>
      </c>
    </row>
    <row r="207" spans="1:24">
      <c r="A207" s="74" t="s">
        <v>203</v>
      </c>
      <c r="B207" s="24" t="str">
        <f>VLOOKUP(A207,Participanti!A:B,2,0)</f>
        <v>M</v>
      </c>
      <c r="C207" s="75">
        <v>6</v>
      </c>
      <c r="D207" s="76">
        <v>5</v>
      </c>
      <c r="E207" s="77">
        <v>1.4560185185185183E-2</v>
      </c>
      <c r="F207" s="78">
        <v>0</v>
      </c>
      <c r="G207" s="20">
        <f t="shared" si="53"/>
        <v>2.9120370370370368E-3</v>
      </c>
      <c r="H207" s="16">
        <f>IF(B207="F",IF(G207&gt;Barem!$AC$2,0,IF(B207="F",VLOOKUP(D207,Barem!$B$2:$C$11,2,1))),IF(G207&gt;Barem!$AC$3,0,VLOOKUP(D207,Barem!$B$12:$C$21,2,1)))</f>
        <v>1.5</v>
      </c>
      <c r="I207" s="16">
        <f>IF(H207=0,0,IF(B207="F",VLOOKUP(G207,Barem!$G$2:$H$11,2,1),VLOOKUP(G207,Barem!$G$12:$H$21,2,1)))</f>
        <v>4.5</v>
      </c>
      <c r="J207" s="75">
        <v>2.5</v>
      </c>
      <c r="K207" s="82" t="str">
        <f>VLOOKUP($C207,Barem!$L$2:$R$13,7,0)</f>
        <v>V</v>
      </c>
      <c r="L207" s="17">
        <f t="shared" si="57"/>
        <v>0.25</v>
      </c>
      <c r="M207" s="17">
        <f t="shared" si="57"/>
        <v>0.5</v>
      </c>
      <c r="N207" s="17">
        <f t="shared" si="57"/>
        <v>0.25</v>
      </c>
      <c r="O207" s="81">
        <f t="shared" si="54"/>
        <v>0</v>
      </c>
      <c r="P207" s="36">
        <f>IF(D207&gt;21,VLOOKUP(D207,Barem!$T$1:$U$39,2,1),0)</f>
        <v>0</v>
      </c>
      <c r="Q207" s="32">
        <f>IF(D207&lt;1.609,0,IF(B207="F",VLOOKUP(G207,Barem!$X$2:$Z$13,2,1),VLOOKUP(G207,Barem!$X$14:$Z$25,2,1)))</f>
        <v>0</v>
      </c>
      <c r="R207" s="36">
        <f>VLOOKUP(A207,Participanti!A:C,3,0)</f>
        <v>0</v>
      </c>
      <c r="S207" s="29">
        <f t="shared" si="55"/>
        <v>3.25</v>
      </c>
      <c r="T207" s="79">
        <v>44019</v>
      </c>
      <c r="U207" s="16">
        <f>COUNTIFS(A:A,A207,C:C,C207)</f>
        <v>1</v>
      </c>
      <c r="V207" s="34">
        <f t="shared" si="56"/>
        <v>0.65</v>
      </c>
      <c r="W207" s="3" t="str">
        <f>VLOOKUP(A207,Data_echipe!A:O,15,0)</f>
        <v>Tenchei</v>
      </c>
      <c r="X207" s="3">
        <f t="shared" si="58"/>
        <v>1</v>
      </c>
    </row>
    <row r="208" spans="1:24">
      <c r="A208" s="74" t="s">
        <v>57</v>
      </c>
      <c r="B208" s="24" t="str">
        <f>VLOOKUP(A208,Participanti!A:B,2,0)</f>
        <v>M</v>
      </c>
      <c r="C208" s="75">
        <v>6</v>
      </c>
      <c r="D208" s="76">
        <v>5</v>
      </c>
      <c r="E208" s="77">
        <v>1.2569444444444446E-2</v>
      </c>
      <c r="F208" s="78">
        <v>5</v>
      </c>
      <c r="G208" s="20">
        <f t="shared" si="53"/>
        <v>2.5138888888888893E-3</v>
      </c>
      <c r="H208" s="16">
        <f>IF(B208="F",IF(G208&gt;Barem!$AC$2,0,IF(B208="F",VLOOKUP(D208,Barem!$B$2:$C$11,2,1))),IF(G208&gt;Barem!$AC$3,0,VLOOKUP(D208,Barem!$B$12:$C$21,2,1)))</f>
        <v>1.5</v>
      </c>
      <c r="I208" s="16">
        <f>IF(H208=0,0,IF(B208="F",VLOOKUP(G208,Barem!$G$2:$H$11,2,1),VLOOKUP(G208,Barem!$G$12:$H$21,2,1)))</f>
        <v>5</v>
      </c>
      <c r="J208" s="75">
        <v>3.5</v>
      </c>
      <c r="K208" s="82" t="str">
        <f>VLOOKUP($C208,Barem!$L$2:$R$13,7,0)</f>
        <v>V</v>
      </c>
      <c r="L208" s="17">
        <f t="shared" si="57"/>
        <v>0.25</v>
      </c>
      <c r="M208" s="17">
        <f t="shared" si="57"/>
        <v>0.5</v>
      </c>
      <c r="N208" s="17">
        <f t="shared" si="57"/>
        <v>0.25</v>
      </c>
      <c r="O208" s="81">
        <f t="shared" si="54"/>
        <v>0</v>
      </c>
      <c r="P208" s="36">
        <f>IF(D208&gt;21,VLOOKUP(D208,Barem!$T$1:$U$39,2,1),0)</f>
        <v>0</v>
      </c>
      <c r="Q208" s="32">
        <f>IF(D208&lt;1.609,0,IF(B208="F",VLOOKUP(G208,Barem!$X$2:$Z$13,2,1),VLOOKUP(G208,Barem!$X$14:$Z$25,2,1)))</f>
        <v>1.5</v>
      </c>
      <c r="R208" s="36">
        <f>VLOOKUP(A208,Participanti!A:C,3,0)</f>
        <v>0</v>
      </c>
      <c r="S208" s="29">
        <f t="shared" si="55"/>
        <v>5.25</v>
      </c>
      <c r="T208" s="79">
        <v>44020</v>
      </c>
      <c r="U208" s="16">
        <f>COUNTIFS(A:A,A208,C:C,C208)</f>
        <v>1</v>
      </c>
      <c r="V208" s="34">
        <f t="shared" si="56"/>
        <v>1.05</v>
      </c>
      <c r="W208" s="3" t="str">
        <f>VLOOKUP(A208,Data_echipe!A:O,15,0)</f>
        <v>Tenchei</v>
      </c>
      <c r="X208" s="3">
        <f t="shared" si="58"/>
        <v>1</v>
      </c>
    </row>
    <row r="209" spans="1:24">
      <c r="A209" s="74" t="s">
        <v>55</v>
      </c>
      <c r="B209" s="24" t="str">
        <f>VLOOKUP(A209,Participanti!A:B,2,0)</f>
        <v>M</v>
      </c>
      <c r="C209" s="75">
        <v>6</v>
      </c>
      <c r="D209" s="76">
        <v>32.270000000000003</v>
      </c>
      <c r="E209" s="77">
        <v>0.22197916666666664</v>
      </c>
      <c r="F209" s="78">
        <v>2282</v>
      </c>
      <c r="G209" s="20">
        <f t="shared" si="53"/>
        <v>6.8788090073339516E-3</v>
      </c>
      <c r="H209" s="16">
        <f>IF(B209="F",IF(G209&gt;Barem!$AC$2,0,IF(B209="F",VLOOKUP(D209,Barem!$B$2:$C$11,2,1))),IF(G209&gt;Barem!$AC$3,0,VLOOKUP(D209,Barem!$B$12:$C$21,2,1)))</f>
        <v>5</v>
      </c>
      <c r="I209" s="16">
        <f>IF(H209=0,0,IF(B209="F",VLOOKUP(G209,Barem!$G$2:$H$11,2,1),VLOOKUP(G209,Barem!$G$12:$H$21,2,1)))</f>
        <v>0</v>
      </c>
      <c r="J209" s="75">
        <v>4.5</v>
      </c>
      <c r="K209" s="83" t="s">
        <v>184</v>
      </c>
      <c r="L209" s="17">
        <f t="shared" si="57"/>
        <v>0.25</v>
      </c>
      <c r="M209" s="17">
        <f t="shared" si="57"/>
        <v>0.25</v>
      </c>
      <c r="N209" s="17">
        <f t="shared" si="57"/>
        <v>0.5</v>
      </c>
      <c r="O209" s="81">
        <f t="shared" si="54"/>
        <v>1.5213333333333334</v>
      </c>
      <c r="P209" s="36">
        <f>IF(D209&gt;21,VLOOKUP(D209,Barem!$T$1:$U$39,2,1),0)</f>
        <v>0.2</v>
      </c>
      <c r="Q209" s="32">
        <f>IF(D209&lt;1.609,0,IF(B209="F",VLOOKUP(G209,Barem!$X$2:$Z$13,2,1),VLOOKUP(G209,Barem!$X$14:$Z$25,2,1)))</f>
        <v>0</v>
      </c>
      <c r="R209" s="36">
        <f>VLOOKUP(A209,Participanti!A:C,3,0)</f>
        <v>0</v>
      </c>
      <c r="S209" s="29">
        <f t="shared" si="55"/>
        <v>5.2213333333333338</v>
      </c>
      <c r="T209" s="79">
        <v>44023</v>
      </c>
      <c r="U209" s="16">
        <f>COUNTIFS(A:A,A209,C:C,C209)</f>
        <v>1</v>
      </c>
      <c r="V209" s="34">
        <f t="shared" si="56"/>
        <v>0.1618014667906208</v>
      </c>
      <c r="W209" s="3" t="str">
        <f>VLOOKUP(A209,Data_echipe!A:O,15,0)</f>
        <v>Serioranistii</v>
      </c>
      <c r="X209" s="3">
        <f t="shared" si="58"/>
        <v>0</v>
      </c>
    </row>
    <row r="210" spans="1:24">
      <c r="A210" s="74" t="s">
        <v>56</v>
      </c>
      <c r="B210" s="24" t="str">
        <f>VLOOKUP(A210,Participanti!A:B,2,0)</f>
        <v>M</v>
      </c>
      <c r="C210" s="75">
        <v>6</v>
      </c>
      <c r="D210" s="76">
        <v>11.01</v>
      </c>
      <c r="E210" s="77">
        <v>4.1493055555555554E-2</v>
      </c>
      <c r="F210" s="78">
        <v>6</v>
      </c>
      <c r="G210" s="20">
        <f t="shared" si="53"/>
        <v>3.7686698960540921E-3</v>
      </c>
      <c r="H210" s="16">
        <f>IF(B210="F",IF(G210&gt;Barem!$AC$2,0,IF(B210="F",VLOOKUP(D210,Barem!$B$2:$C$11,2,1))),IF(G210&gt;Barem!$AC$3,0,VLOOKUP(D210,Barem!$B$12:$C$21,2,1)))</f>
        <v>2.5</v>
      </c>
      <c r="I210" s="16">
        <f>IF(H210=0,0,IF(B210="F",VLOOKUP(G210,Barem!$G$2:$H$11,2,1),VLOOKUP(G210,Barem!$G$12:$H$21,2,1)))</f>
        <v>2</v>
      </c>
      <c r="J210" s="75">
        <v>3</v>
      </c>
      <c r="K210" s="82" t="str">
        <f>VLOOKUP($C210,Barem!$L$2:$R$13,7,0)</f>
        <v>V</v>
      </c>
      <c r="L210" s="17">
        <f t="shared" si="57"/>
        <v>0.25</v>
      </c>
      <c r="M210" s="17">
        <f t="shared" si="57"/>
        <v>0.5</v>
      </c>
      <c r="N210" s="17">
        <f t="shared" si="57"/>
        <v>0.25</v>
      </c>
      <c r="O210" s="81">
        <f t="shared" ref="O210" si="59">IF(F210&lt;-49,F210/1500,IF(F210&gt;99,F210/1500,0))</f>
        <v>0</v>
      </c>
      <c r="P210" s="36">
        <f>IF(D210&gt;21,VLOOKUP(D210,Barem!$T$1:$U$39,2,1),0)</f>
        <v>0</v>
      </c>
      <c r="Q210" s="32">
        <f>IF(D210&lt;1.609,0,IF(B210="F",VLOOKUP(G210,Barem!$X$2:$Z$13,2,1),VLOOKUP(G210,Barem!$X$14:$Z$25,2,1)))</f>
        <v>0</v>
      </c>
      <c r="R210" s="36">
        <f>VLOOKUP(A210,Participanti!A:C,3,0)</f>
        <v>0</v>
      </c>
      <c r="S210" s="29">
        <f t="shared" ref="S210" si="60">H210*L210+I210*M210+J210*N210+O210+P210+Q210+R210</f>
        <v>2.375</v>
      </c>
      <c r="T210" s="79">
        <v>44024</v>
      </c>
      <c r="U210" s="16">
        <f>COUNTIFS(A:A,A210,C:C,C210)</f>
        <v>1</v>
      </c>
      <c r="V210" s="34">
        <f t="shared" ref="V210" si="61">S210/D210</f>
        <v>0.21571298819255222</v>
      </c>
      <c r="W210" s="3" t="str">
        <f>VLOOKUP(A210,Data_echipe!A:O,15,0)</f>
        <v>Unicornii</v>
      </c>
      <c r="X210" s="3">
        <f t="shared" si="58"/>
        <v>1</v>
      </c>
    </row>
    <row r="211" spans="1:24">
      <c r="A211" s="74" t="s">
        <v>204</v>
      </c>
      <c r="B211" s="24" t="str">
        <f>VLOOKUP(A211,Participanti!A:B,2,0)</f>
        <v>M</v>
      </c>
      <c r="C211" s="75">
        <v>6</v>
      </c>
      <c r="D211" s="76">
        <v>7.25</v>
      </c>
      <c r="E211" s="77">
        <v>1.8888888888888889E-2</v>
      </c>
      <c r="F211" s="78">
        <v>36</v>
      </c>
      <c r="G211" s="20">
        <f t="shared" si="53"/>
        <v>2.6053639846743294E-3</v>
      </c>
      <c r="H211" s="16">
        <f>IF(B211="F",IF(G211&gt;Barem!$AC$2,0,IF(B211="F",VLOOKUP(D211,Barem!$B$2:$C$11,2,1))),IF(G211&gt;Barem!$AC$3,0,VLOOKUP(D211,Barem!$B$12:$C$21,2,1)))</f>
        <v>2</v>
      </c>
      <c r="I211" s="16">
        <f>IF(H211=0,0,IF(B211="F",VLOOKUP(G211,Barem!$G$2:$H$11,2,1),VLOOKUP(G211,Barem!$G$12:$H$21,2,1)))</f>
        <v>5</v>
      </c>
      <c r="J211" s="75">
        <v>3.5</v>
      </c>
      <c r="K211" s="83" t="s">
        <v>184</v>
      </c>
      <c r="L211" s="17">
        <f t="shared" si="57"/>
        <v>0.25</v>
      </c>
      <c r="M211" s="17">
        <f t="shared" si="57"/>
        <v>0.25</v>
      </c>
      <c r="N211" s="17">
        <f t="shared" si="57"/>
        <v>0.5</v>
      </c>
      <c r="O211" s="81">
        <f t="shared" si="54"/>
        <v>0</v>
      </c>
      <c r="P211" s="36">
        <f>IF(D211&gt;21,VLOOKUP(D211,Barem!$T$1:$U$39,2,1),0)</f>
        <v>0</v>
      </c>
      <c r="Q211" s="32">
        <f>IF(D211&lt;1.609,0,IF(B211="F",VLOOKUP(G211,Barem!$X$2:$Z$13,2,1),VLOOKUP(G211,Barem!$X$14:$Z$25,2,1)))</f>
        <v>0.99999999999999989</v>
      </c>
      <c r="R211" s="36">
        <f>VLOOKUP(A211,Participanti!A:C,3,0)</f>
        <v>0</v>
      </c>
      <c r="S211" s="29">
        <f t="shared" si="55"/>
        <v>4.5</v>
      </c>
      <c r="T211" s="79">
        <v>44020</v>
      </c>
      <c r="U211" s="16">
        <f>COUNTIFS(A:A,A211,C:C,C211)</f>
        <v>1</v>
      </c>
      <c r="V211" s="34">
        <f t="shared" si="56"/>
        <v>0.62068965517241381</v>
      </c>
      <c r="W211" s="3" t="str">
        <f>VLOOKUP(A211,Data_echipe!A:O,15,0)</f>
        <v>Unicornii</v>
      </c>
      <c r="X211" s="3">
        <f t="shared" si="58"/>
        <v>1</v>
      </c>
    </row>
    <row r="212" spans="1:24">
      <c r="A212" s="74" t="s">
        <v>65</v>
      </c>
      <c r="B212" s="24" t="str">
        <f>VLOOKUP(A212,Participanti!A:B,2,0)</f>
        <v>M</v>
      </c>
      <c r="C212" s="75">
        <v>6</v>
      </c>
      <c r="D212" s="76">
        <v>6.23</v>
      </c>
      <c r="E212" s="77">
        <v>1.9305555555555555E-2</v>
      </c>
      <c r="F212" s="78">
        <v>32</v>
      </c>
      <c r="G212" s="20">
        <f t="shared" si="53"/>
        <v>3.0988050650971998E-3</v>
      </c>
      <c r="H212" s="16">
        <f>IF(B212="F",IF(G212&gt;Barem!$AC$2,0,IF(B212="F",VLOOKUP(D212,Barem!$B$2:$C$11,2,1))),IF(G212&gt;Barem!$AC$3,0,VLOOKUP(D212,Barem!$B$12:$C$21,2,1)))</f>
        <v>1.5</v>
      </c>
      <c r="I212" s="16">
        <f>IF(H212=0,0,IF(B212="F",VLOOKUP(G212,Barem!$G$2:$H$11,2,1),VLOOKUP(G212,Barem!$G$12:$H$21,2,1)))</f>
        <v>4</v>
      </c>
      <c r="J212" s="75">
        <v>1.5</v>
      </c>
      <c r="K212" s="82" t="str">
        <f>VLOOKUP($C212,Barem!$L$2:$R$13,7,0)</f>
        <v>V</v>
      </c>
      <c r="L212" s="17">
        <f t="shared" si="57"/>
        <v>0.25</v>
      </c>
      <c r="M212" s="17">
        <f t="shared" si="57"/>
        <v>0.5</v>
      </c>
      <c r="N212" s="17">
        <f t="shared" si="57"/>
        <v>0.25</v>
      </c>
      <c r="O212" s="81">
        <f t="shared" si="54"/>
        <v>0</v>
      </c>
      <c r="P212" s="36">
        <f>IF(D212&gt;21,VLOOKUP(D212,Barem!$T$1:$U$39,2,1),0)</f>
        <v>0</v>
      </c>
      <c r="Q212" s="32">
        <f>IF(D212&lt;1.609,0,IF(B212="F",VLOOKUP(G212,Barem!$X$2:$Z$13,2,1),VLOOKUP(G212,Barem!$X$14:$Z$25,2,1)))</f>
        <v>0</v>
      </c>
      <c r="R212" s="36">
        <f>VLOOKUP(A212,Participanti!A:C,3,0)</f>
        <v>0</v>
      </c>
      <c r="S212" s="29">
        <f t="shared" si="55"/>
        <v>2.75</v>
      </c>
      <c r="T212" s="79">
        <v>44023</v>
      </c>
      <c r="U212" s="16">
        <f>COUNTIFS(A:A,A212,C:C,C212)</f>
        <v>1</v>
      </c>
      <c r="V212" s="34">
        <f t="shared" si="56"/>
        <v>0.44141252006420545</v>
      </c>
      <c r="W212" s="3" t="str">
        <f>VLOOKUP(A212,Data_echipe!A:O,15,0)</f>
        <v>X Æ A-12</v>
      </c>
      <c r="X212" s="3">
        <f t="shared" si="58"/>
        <v>1</v>
      </c>
    </row>
    <row r="213" spans="1:24">
      <c r="A213" s="74" t="s">
        <v>83</v>
      </c>
      <c r="B213" s="24" t="str">
        <f>VLOOKUP(A213,Participanti!A:B,2,0)</f>
        <v>F</v>
      </c>
      <c r="C213" s="75">
        <v>6</v>
      </c>
      <c r="D213" s="76">
        <v>8.01</v>
      </c>
      <c r="E213" s="77">
        <v>4.0081018518518523E-2</v>
      </c>
      <c r="F213" s="78">
        <v>2</v>
      </c>
      <c r="G213" s="20">
        <f t="shared" si="53"/>
        <v>5.0038724742220379E-3</v>
      </c>
      <c r="H213" s="16">
        <f>IF(B213="F",IF(G213&gt;Barem!$AC$2,0,IF(B213="F",VLOOKUP(D213,Barem!$B$2:$C$11,2,1))),IF(G213&gt;Barem!$AC$3,0,VLOOKUP(D213,Barem!$B$12:$C$21,2,1)))</f>
        <v>2</v>
      </c>
      <c r="I213" s="16">
        <f>IF(H213=0,0,IF(B213="F",VLOOKUP(G213,Barem!$G$2:$H$11,2,1),VLOOKUP(G213,Barem!$G$12:$H$21,2,1)))</f>
        <v>1</v>
      </c>
      <c r="J213" s="75">
        <v>3.5</v>
      </c>
      <c r="K213" s="82" t="str">
        <f>VLOOKUP($C213,Barem!$L$2:$R$13,7,0)</f>
        <v>V</v>
      </c>
      <c r="L213" s="17">
        <f t="shared" si="57"/>
        <v>0.25</v>
      </c>
      <c r="M213" s="17">
        <f t="shared" si="57"/>
        <v>0.5</v>
      </c>
      <c r="N213" s="17">
        <f t="shared" si="57"/>
        <v>0.25</v>
      </c>
      <c r="O213" s="81">
        <f t="shared" si="54"/>
        <v>0</v>
      </c>
      <c r="P213" s="36">
        <f>IF(D213&gt;21,VLOOKUP(D213,Barem!$T$1:$U$39,2,1),0)</f>
        <v>0</v>
      </c>
      <c r="Q213" s="32">
        <f>IF(D213&lt;1.609,0,IF(B213="F",VLOOKUP(G213,Barem!$X$2:$Z$13,2,1),VLOOKUP(G213,Barem!$X$14:$Z$25,2,1)))</f>
        <v>0</v>
      </c>
      <c r="R213" s="36">
        <f>VLOOKUP(A213,Participanti!A:C,3,0)</f>
        <v>0.75</v>
      </c>
      <c r="S213" s="29">
        <f t="shared" si="55"/>
        <v>2.625</v>
      </c>
      <c r="T213" s="79">
        <v>44020</v>
      </c>
      <c r="U213" s="16">
        <f>COUNTIFS(A:A,A213,C:C,C213)</f>
        <v>1</v>
      </c>
      <c r="V213" s="34">
        <f t="shared" si="56"/>
        <v>0.32771535580524347</v>
      </c>
      <c r="W213" s="3" t="str">
        <f>VLOOKUP(A213,Data_echipe!A:O,15,0)</f>
        <v>Tenchei</v>
      </c>
      <c r="X213" s="3">
        <f t="shared" si="58"/>
        <v>1</v>
      </c>
    </row>
    <row r="214" spans="1:24" s="110" customFormat="1" ht="12.75" thickBot="1">
      <c r="A214" s="94" t="s">
        <v>170</v>
      </c>
      <c r="B214" s="95" t="str">
        <f>VLOOKUP(A214,Participanti!A:B,2,0)</f>
        <v>M</v>
      </c>
      <c r="C214" s="96">
        <v>6</v>
      </c>
      <c r="D214" s="97">
        <v>7.11</v>
      </c>
      <c r="E214" s="98">
        <v>2.4131944444444445E-2</v>
      </c>
      <c r="F214" s="99">
        <v>8</v>
      </c>
      <c r="G214" s="100">
        <f t="shared" si="53"/>
        <v>3.3940850132833256E-3</v>
      </c>
      <c r="H214" s="101">
        <f>IF(B214="F",IF(G214&gt;Barem!$AC$2,0,IF(B214="F",VLOOKUP(D214,Barem!$B$2:$C$11,2,1))),IF(G214&gt;Barem!$AC$3,0,VLOOKUP(D214,Barem!$B$12:$C$21,2,1)))</f>
        <v>2</v>
      </c>
      <c r="I214" s="101">
        <f>IF(H214=0,0,IF(B214="F",VLOOKUP(G214,Barem!$G$2:$H$11,2,1),VLOOKUP(G214,Barem!$G$12:$H$21,2,1)))</f>
        <v>3</v>
      </c>
      <c r="J214" s="96">
        <v>1</v>
      </c>
      <c r="K214" s="102" t="str">
        <f>VLOOKUP($C214,Barem!$L$2:$R$13,7,0)</f>
        <v>V</v>
      </c>
      <c r="L214" s="103">
        <f t="shared" si="57"/>
        <v>0.25</v>
      </c>
      <c r="M214" s="103">
        <f t="shared" si="57"/>
        <v>0.5</v>
      </c>
      <c r="N214" s="103">
        <f t="shared" si="57"/>
        <v>0.25</v>
      </c>
      <c r="O214" s="104">
        <f t="shared" si="54"/>
        <v>0</v>
      </c>
      <c r="P214" s="105">
        <f>IF(D214&gt;21,VLOOKUP(D214,Barem!$T$1:$U$39,2,1),0)</f>
        <v>0</v>
      </c>
      <c r="Q214" s="106">
        <f>IF(D214&lt;1.609,0,IF(B214="F",VLOOKUP(G214,Barem!$X$2:$Z$13,2,1),VLOOKUP(G214,Barem!$X$14:$Z$25,2,1)))</f>
        <v>0</v>
      </c>
      <c r="R214" s="105">
        <f>VLOOKUP(A214,Participanti!A:C,3,0)</f>
        <v>0</v>
      </c>
      <c r="S214" s="107">
        <f t="shared" si="55"/>
        <v>2.25</v>
      </c>
      <c r="T214" s="108">
        <v>44021</v>
      </c>
      <c r="U214" s="101">
        <f>COUNTIFS(A:A,A214,C:C,C214)</f>
        <v>1</v>
      </c>
      <c r="V214" s="109">
        <f t="shared" si="56"/>
        <v>0.31645569620253161</v>
      </c>
      <c r="W214" s="110" t="str">
        <f>VLOOKUP(A214,Data_echipe!A:O,15,0)</f>
        <v>Tenchei</v>
      </c>
      <c r="X214" s="3">
        <f t="shared" si="58"/>
        <v>1</v>
      </c>
    </row>
    <row r="215" spans="1:24">
      <c r="A215" s="74" t="s">
        <v>6</v>
      </c>
      <c r="B215" s="24" t="str">
        <f>VLOOKUP(A215,Participanti!A:B,2,0)</f>
        <v>F</v>
      </c>
      <c r="C215" s="75">
        <v>7</v>
      </c>
      <c r="D215" s="76">
        <v>12.01</v>
      </c>
      <c r="E215" s="77">
        <v>3.8877314814814816E-2</v>
      </c>
      <c r="F215" s="78">
        <v>10</v>
      </c>
      <c r="G215" s="20">
        <f t="shared" si="53"/>
        <v>3.2370786690103927E-3</v>
      </c>
      <c r="H215" s="16">
        <f>IF(B215="F",IF(G215&gt;Barem!$AC$2,0,IF(B215="F",VLOOKUP(D215,Barem!$B$2:$C$11,2,1))),IF(G215&gt;Barem!$AC$3,0,VLOOKUP(D215,Barem!$B$12:$C$21,2,1)))</f>
        <v>3</v>
      </c>
      <c r="I215" s="16">
        <f>IF(H215=0,0,IF(B215="F",VLOOKUP(G215,Barem!$G$2:$H$11,2,1),VLOOKUP(G215,Barem!$G$12:$H$21,2,1)))</f>
        <v>4.5</v>
      </c>
      <c r="J215" s="75">
        <v>4</v>
      </c>
      <c r="K215" s="83" t="s">
        <v>183</v>
      </c>
      <c r="L215" s="17">
        <f t="shared" ref="L215:N238" si="62">IF($K215=L$1,50%,25%)</f>
        <v>0.25</v>
      </c>
      <c r="M215" s="17">
        <f t="shared" si="62"/>
        <v>0.5</v>
      </c>
      <c r="N215" s="17">
        <f t="shared" si="62"/>
        <v>0.25</v>
      </c>
      <c r="O215" s="81">
        <f t="shared" si="54"/>
        <v>0</v>
      </c>
      <c r="P215" s="36">
        <f>IF(D215&gt;21,VLOOKUP(D215,Barem!$T$1:$U$39,2,1),0)</f>
        <v>0</v>
      </c>
      <c r="Q215" s="32">
        <f>IF(D215&lt;1.609,0,IF(B215="F",VLOOKUP(G215,Barem!$X$2:$Z$13,2,1),VLOOKUP(G215,Barem!$X$14:$Z$25,2,1)))</f>
        <v>0</v>
      </c>
      <c r="R215" s="36">
        <f>VLOOKUP(A215,Participanti!A:C,3,0)</f>
        <v>0</v>
      </c>
      <c r="S215" s="29">
        <f t="shared" si="55"/>
        <v>4</v>
      </c>
      <c r="T215" s="79">
        <v>44029</v>
      </c>
      <c r="U215" s="16">
        <f>COUNTIFS(A:A,A215,C:C,C215)</f>
        <v>1</v>
      </c>
      <c r="V215" s="34">
        <f t="shared" si="56"/>
        <v>0.33305578684429643</v>
      </c>
      <c r="W215" s="3" t="str">
        <f>VLOOKUP(A215,Data_echipe!A:O,15,0)</f>
        <v>Unicornii</v>
      </c>
      <c r="X215" s="3">
        <f t="shared" si="58"/>
        <v>1</v>
      </c>
    </row>
    <row r="216" spans="1:24">
      <c r="A216" s="74" t="s">
        <v>82</v>
      </c>
      <c r="B216" s="24" t="str">
        <f>VLOOKUP(A216,Participanti!A:B,2,0)</f>
        <v>M</v>
      </c>
      <c r="C216" s="75">
        <v>7</v>
      </c>
      <c r="D216" s="76">
        <v>34.799999999999997</v>
      </c>
      <c r="E216" s="77">
        <v>0.25423611111111111</v>
      </c>
      <c r="F216" s="78">
        <v>2102</v>
      </c>
      <c r="G216" s="20">
        <f t="shared" si="53"/>
        <v>7.3056353767560669E-3</v>
      </c>
      <c r="H216" s="16">
        <f>IF(B216="F",IF(G216&gt;Barem!$AC$2,0,IF(B216="F",VLOOKUP(D216,Barem!$B$2:$C$11,2,1))),IF(G216&gt;Barem!$AC$3,0,VLOOKUP(D216,Barem!$B$12:$C$21,2,1)))</f>
        <v>5</v>
      </c>
      <c r="I216" s="16">
        <f>IF(H216=0,0,IF(B216="F",VLOOKUP(G216,Barem!$G$2:$H$11,2,1),VLOOKUP(G216,Barem!$G$12:$H$21,2,1)))</f>
        <v>0</v>
      </c>
      <c r="J216" s="75">
        <v>4.5</v>
      </c>
      <c r="K216" s="82" t="str">
        <f>VLOOKUP($C216,Barem!$L$2:$R$13,7,0)</f>
        <v>P</v>
      </c>
      <c r="L216" s="17">
        <f t="shared" si="62"/>
        <v>0.25</v>
      </c>
      <c r="M216" s="17">
        <f t="shared" si="62"/>
        <v>0.25</v>
      </c>
      <c r="N216" s="17">
        <f t="shared" si="62"/>
        <v>0.5</v>
      </c>
      <c r="O216" s="81">
        <f t="shared" si="54"/>
        <v>1.4013333333333333</v>
      </c>
      <c r="P216" s="36">
        <f>IF(D216&gt;21,VLOOKUP(D216,Barem!$T$1:$U$39,2,1),0)</f>
        <v>0.2</v>
      </c>
      <c r="Q216" s="32">
        <f>IF(D216&lt;1.609,0,IF(B216="F",VLOOKUP(G216,Barem!$X$2:$Z$13,2,1),VLOOKUP(G216,Barem!$X$14:$Z$25,2,1)))</f>
        <v>0</v>
      </c>
      <c r="R216" s="36">
        <f>VLOOKUP(A216,Participanti!A:C,3,0)</f>
        <v>0</v>
      </c>
      <c r="S216" s="29">
        <f t="shared" si="55"/>
        <v>5.1013333333333337</v>
      </c>
      <c r="T216" s="79">
        <v>44027</v>
      </c>
      <c r="U216" s="16">
        <f>COUNTIFS(A:A,A216,C:C,C216)</f>
        <v>1</v>
      </c>
      <c r="V216" s="34">
        <f t="shared" si="56"/>
        <v>0.14659003831417627</v>
      </c>
      <c r="W216" s="3" t="str">
        <f>VLOOKUP(A216,Data_echipe!A:O,15,0)</f>
        <v xml:space="preserve"> Let it run</v>
      </c>
      <c r="X216" s="3">
        <f t="shared" si="58"/>
        <v>0</v>
      </c>
    </row>
    <row r="217" spans="1:24">
      <c r="A217" s="74" t="s">
        <v>64</v>
      </c>
      <c r="B217" s="24" t="str">
        <f>VLOOKUP(A217,Participanti!A:B,2,0)</f>
        <v>M</v>
      </c>
      <c r="C217" s="75">
        <v>7</v>
      </c>
      <c r="D217" s="76">
        <v>10.050000000000001</v>
      </c>
      <c r="E217" s="77">
        <v>4.370370370370371E-2</v>
      </c>
      <c r="F217" s="78">
        <v>0</v>
      </c>
      <c r="G217" s="20">
        <f t="shared" si="53"/>
        <v>4.3486272341993742E-3</v>
      </c>
      <c r="H217" s="16">
        <f>IF(B217="F",IF(G217&gt;Barem!$AC$2,0,IF(B217="F",VLOOKUP(D217,Barem!$B$2:$C$11,2,1))),IF(G217&gt;Barem!$AC$3,0,VLOOKUP(D217,Barem!$B$12:$C$21,2,1)))</f>
        <v>2.5</v>
      </c>
      <c r="I217" s="16">
        <f>IF(H217=0,0,IF(B217="F",VLOOKUP(G217,Barem!$G$2:$H$11,2,1),VLOOKUP(G217,Barem!$G$12:$H$21,2,1)))</f>
        <v>1</v>
      </c>
      <c r="J217" s="75">
        <v>3.5</v>
      </c>
      <c r="K217" s="82" t="str">
        <f>VLOOKUP($C217,Barem!$L$2:$R$13,7,0)</f>
        <v>P</v>
      </c>
      <c r="L217" s="17">
        <f t="shared" si="62"/>
        <v>0.25</v>
      </c>
      <c r="M217" s="17">
        <f t="shared" si="62"/>
        <v>0.25</v>
      </c>
      <c r="N217" s="17">
        <f t="shared" si="62"/>
        <v>0.5</v>
      </c>
      <c r="O217" s="81">
        <f t="shared" si="54"/>
        <v>0</v>
      </c>
      <c r="P217" s="36">
        <f>IF(D217&gt;21,VLOOKUP(D217,Barem!$T$1:$U$39,2,1),0)</f>
        <v>0</v>
      </c>
      <c r="Q217" s="32">
        <f>IF(D217&lt;1.609,0,IF(B217="F",VLOOKUP(G217,Barem!$X$2:$Z$13,2,1),VLOOKUP(G217,Barem!$X$14:$Z$25,2,1)))</f>
        <v>0</v>
      </c>
      <c r="R217" s="36">
        <f>VLOOKUP(A217,Participanti!A:C,3,0)</f>
        <v>0</v>
      </c>
      <c r="S217" s="29">
        <f t="shared" si="55"/>
        <v>2.625</v>
      </c>
      <c r="T217" s="79">
        <v>44026</v>
      </c>
      <c r="U217" s="16">
        <f>COUNTIFS(A:A,A217,C:C,C217)</f>
        <v>1</v>
      </c>
      <c r="V217" s="34">
        <f t="shared" si="56"/>
        <v>0.26119402985074625</v>
      </c>
      <c r="W217" s="3" t="str">
        <f>VLOOKUP(A217,Data_echipe!A:O,15,0)</f>
        <v xml:space="preserve"> Let it run</v>
      </c>
      <c r="X217" s="3">
        <f t="shared" si="58"/>
        <v>1</v>
      </c>
    </row>
    <row r="218" spans="1:24">
      <c r="A218" s="74" t="s">
        <v>115</v>
      </c>
      <c r="B218" s="24" t="str">
        <f>VLOOKUP(A218,Participanti!A:B,2,0)</f>
        <v>M</v>
      </c>
      <c r="C218" s="75">
        <v>7</v>
      </c>
      <c r="D218" s="76">
        <v>14.11</v>
      </c>
      <c r="E218" s="77">
        <v>6.9884259259259257E-2</v>
      </c>
      <c r="F218" s="78">
        <v>35</v>
      </c>
      <c r="G218" s="20">
        <f t="shared" ref="G218:G252" si="63">E218/D218</f>
        <v>4.9528178071764177E-3</v>
      </c>
      <c r="H218" s="16">
        <f>IF(B218="F",IF(G218&gt;Barem!$AC$2,0,IF(B218="F",VLOOKUP(D218,Barem!$B$2:$C$11,2,1))),IF(G218&gt;Barem!$AC$3,0,VLOOKUP(D218,Barem!$B$12:$C$21,2,1)))</f>
        <v>3</v>
      </c>
      <c r="I218" s="16">
        <f>IF(H218=0,0,IF(B218="F",VLOOKUP(G218,Barem!$G$2:$H$11,2,1),VLOOKUP(G218,Barem!$G$12:$H$21,2,1)))</f>
        <v>1</v>
      </c>
      <c r="J218" s="75">
        <v>3.5</v>
      </c>
      <c r="K218" s="83" t="s">
        <v>183</v>
      </c>
      <c r="L218" s="17">
        <f t="shared" si="62"/>
        <v>0.25</v>
      </c>
      <c r="M218" s="17">
        <f t="shared" si="62"/>
        <v>0.5</v>
      </c>
      <c r="N218" s="17">
        <f t="shared" si="62"/>
        <v>0.25</v>
      </c>
      <c r="O218" s="81">
        <f t="shared" ref="O218:O252" si="64">IF(F218&lt;-49,F218/1500,IF(F218&gt;99,F218/1500,0))</f>
        <v>0</v>
      </c>
      <c r="P218" s="36">
        <f>IF(D218&gt;21,VLOOKUP(D218,Barem!$T$1:$U$39,2,1),0)</f>
        <v>0</v>
      </c>
      <c r="Q218" s="32">
        <f>IF(D218&lt;1.609,0,IF(B218="F",VLOOKUP(G218,Barem!$X$2:$Z$13,2,1),VLOOKUP(G218,Barem!$X$14:$Z$25,2,1)))</f>
        <v>0</v>
      </c>
      <c r="R218" s="36">
        <f>VLOOKUP(A218,Participanti!A:C,3,0)</f>
        <v>0.5</v>
      </c>
      <c r="S218" s="29">
        <f t="shared" ref="S218:S242" si="65">H218*L218+I218*M218+J218*N218+O218+P218+Q218+R218</f>
        <v>2.625</v>
      </c>
      <c r="T218" s="79">
        <v>44030</v>
      </c>
      <c r="U218" s="16">
        <f>COUNTIFS(A:A,A218,C:C,C218)</f>
        <v>1</v>
      </c>
      <c r="V218" s="34">
        <f t="shared" ref="V218:V240" si="66">S218/D218</f>
        <v>0.18603827072997875</v>
      </c>
      <c r="W218" s="3" t="str">
        <f>VLOOKUP(A218,Data_echipe!A:O,15,0)</f>
        <v xml:space="preserve"> Let it run</v>
      </c>
      <c r="X218" s="3">
        <f t="shared" si="58"/>
        <v>1</v>
      </c>
    </row>
    <row r="219" spans="1:24">
      <c r="A219" s="74" t="s">
        <v>8</v>
      </c>
      <c r="B219" s="24" t="str">
        <f>VLOOKUP(A219,Participanti!A:B,2,0)</f>
        <v>M</v>
      </c>
      <c r="C219" s="75">
        <v>7</v>
      </c>
      <c r="D219" s="76">
        <v>10.55</v>
      </c>
      <c r="E219" s="77">
        <v>3.9583333333333331E-2</v>
      </c>
      <c r="F219" s="78">
        <v>10</v>
      </c>
      <c r="G219" s="20">
        <f t="shared" si="63"/>
        <v>3.7519747235387041E-3</v>
      </c>
      <c r="H219" s="16">
        <f>IF(B219="F",IF(G219&gt;Barem!$AC$2,0,IF(B219="F",VLOOKUP(D219,Barem!$B$2:$C$11,2,1))),IF(G219&gt;Barem!$AC$3,0,VLOOKUP(D219,Barem!$B$12:$C$21,2,1)))</f>
        <v>2.5</v>
      </c>
      <c r="I219" s="16">
        <f>IF(H219=0,0,IF(B219="F",VLOOKUP(G219,Barem!$G$2:$H$11,2,1),VLOOKUP(G219,Barem!$G$12:$H$21,2,1)))</f>
        <v>2</v>
      </c>
      <c r="J219" s="75">
        <v>3</v>
      </c>
      <c r="K219" s="83" t="s">
        <v>182</v>
      </c>
      <c r="L219" s="17">
        <f t="shared" si="62"/>
        <v>0.5</v>
      </c>
      <c r="M219" s="17">
        <f t="shared" si="62"/>
        <v>0.25</v>
      </c>
      <c r="N219" s="17">
        <f t="shared" si="62"/>
        <v>0.25</v>
      </c>
      <c r="O219" s="81">
        <f t="shared" si="64"/>
        <v>0</v>
      </c>
      <c r="P219" s="36">
        <f>IF(D219&gt;21,VLOOKUP(D219,Barem!$T$1:$U$39,2,1),0)</f>
        <v>0</v>
      </c>
      <c r="Q219" s="32">
        <f>IF(D219&lt;1.609,0,IF(B219="F",VLOOKUP(G219,Barem!$X$2:$Z$13,2,1),VLOOKUP(G219,Barem!$X$14:$Z$25,2,1)))</f>
        <v>0</v>
      </c>
      <c r="R219" s="36">
        <f>VLOOKUP(A219,Participanti!A:C,3,0)</f>
        <v>0</v>
      </c>
      <c r="S219" s="29">
        <f t="shared" si="65"/>
        <v>2.5</v>
      </c>
      <c r="T219" s="79">
        <v>44031</v>
      </c>
      <c r="U219" s="16">
        <f>COUNTIFS(A:A,A219,C:C,C219)</f>
        <v>1</v>
      </c>
      <c r="V219" s="34">
        <f t="shared" si="66"/>
        <v>0.23696682464454974</v>
      </c>
      <c r="W219" s="3" t="str">
        <f>VLOOKUP(A219,Data_echipe!A:O,15,0)</f>
        <v xml:space="preserve"> Let it run</v>
      </c>
      <c r="X219" s="3">
        <f t="shared" si="58"/>
        <v>1</v>
      </c>
    </row>
    <row r="220" spans="1:24">
      <c r="A220" s="74" t="s">
        <v>131</v>
      </c>
      <c r="B220" s="24" t="str">
        <f>VLOOKUP(A220,Participanti!A:B,2,0)</f>
        <v>M</v>
      </c>
      <c r="C220" s="75">
        <v>7</v>
      </c>
      <c r="D220" s="76">
        <v>10.01</v>
      </c>
      <c r="E220" s="77">
        <v>3.784722222222222E-2</v>
      </c>
      <c r="F220" s="78">
        <v>0</v>
      </c>
      <c r="G220" s="20">
        <f t="shared" si="63"/>
        <v>3.7809412809412806E-3</v>
      </c>
      <c r="H220" s="16">
        <f>IF(B220="F",IF(G220&gt;Barem!$AC$2,0,IF(B220="F",VLOOKUP(D220,Barem!$B$2:$C$11,2,1))),IF(G220&gt;Barem!$AC$3,0,VLOOKUP(D220,Barem!$B$12:$C$21,2,1)))</f>
        <v>2.5</v>
      </c>
      <c r="I220" s="16">
        <f>IF(H220=0,0,IF(B220="F",VLOOKUP(G220,Barem!$G$2:$H$11,2,1),VLOOKUP(G220,Barem!$G$12:$H$21,2,1)))</f>
        <v>2</v>
      </c>
      <c r="J220" s="75">
        <v>2.5</v>
      </c>
      <c r="K220" s="83" t="s">
        <v>183</v>
      </c>
      <c r="L220" s="17">
        <f t="shared" si="62"/>
        <v>0.25</v>
      </c>
      <c r="M220" s="17">
        <f t="shared" si="62"/>
        <v>0.5</v>
      </c>
      <c r="N220" s="17">
        <f t="shared" si="62"/>
        <v>0.25</v>
      </c>
      <c r="O220" s="81">
        <f t="shared" si="64"/>
        <v>0</v>
      </c>
      <c r="P220" s="36">
        <f>IF(D220&gt;21,VLOOKUP(D220,Barem!$T$1:$U$39,2,1),0)</f>
        <v>0</v>
      </c>
      <c r="Q220" s="32">
        <f>IF(D220&lt;1.609,0,IF(B220="F",VLOOKUP(G220,Barem!$X$2:$Z$13,2,1),VLOOKUP(G220,Barem!$X$14:$Z$25,2,1)))</f>
        <v>0</v>
      </c>
      <c r="R220" s="36">
        <f>VLOOKUP(A220,Participanti!A:C,3,0)</f>
        <v>0</v>
      </c>
      <c r="S220" s="29">
        <f t="shared" si="65"/>
        <v>2.25</v>
      </c>
      <c r="T220" s="79">
        <v>44025</v>
      </c>
      <c r="U220" s="16">
        <f>COUNTIFS(A:A,A220,C:C,C220)</f>
        <v>1</v>
      </c>
      <c r="V220" s="34">
        <f t="shared" si="66"/>
        <v>0.22477522477522477</v>
      </c>
      <c r="W220" s="3" t="str">
        <f>VLOOKUP(A220,Data_echipe!A:O,15,0)</f>
        <v xml:space="preserve"> Let it run</v>
      </c>
      <c r="X220" s="3">
        <f t="shared" si="58"/>
        <v>1</v>
      </c>
    </row>
    <row r="221" spans="1:24">
      <c r="A221" s="74" t="s">
        <v>206</v>
      </c>
      <c r="B221" s="24" t="str">
        <f>VLOOKUP(A221,Participanti!A:B,2,0)</f>
        <v>M</v>
      </c>
      <c r="C221" s="75">
        <v>7</v>
      </c>
      <c r="D221" s="76">
        <v>7</v>
      </c>
      <c r="E221" s="77">
        <v>3.290509259259259E-2</v>
      </c>
      <c r="F221" s="78"/>
      <c r="G221" s="20">
        <f t="shared" si="63"/>
        <v>4.7007275132275126E-3</v>
      </c>
      <c r="H221" s="16">
        <f>IF(B221="F",IF(G221&gt;Barem!$AC$2,0,IF(B221="F",VLOOKUP(D221,Barem!$B$2:$C$11,2,1))),IF(G221&gt;Barem!$AC$3,0,VLOOKUP(D221,Barem!$B$12:$C$21,2,1)))</f>
        <v>2</v>
      </c>
      <c r="I221" s="16">
        <f>IF(H221=0,0,IF(B221="F",VLOOKUP(G221,Barem!$G$2:$H$11,2,1),VLOOKUP(G221,Barem!$G$12:$H$21,2,1)))</f>
        <v>1</v>
      </c>
      <c r="J221" s="75">
        <v>4.5</v>
      </c>
      <c r="K221" s="82" t="str">
        <f>VLOOKUP($C221,Barem!$L$2:$R$13,7,0)</f>
        <v>P</v>
      </c>
      <c r="L221" s="17">
        <f t="shared" si="62"/>
        <v>0.25</v>
      </c>
      <c r="M221" s="17">
        <f t="shared" si="62"/>
        <v>0.25</v>
      </c>
      <c r="N221" s="17">
        <f t="shared" si="62"/>
        <v>0.5</v>
      </c>
      <c r="O221" s="81">
        <f t="shared" si="64"/>
        <v>0</v>
      </c>
      <c r="P221" s="36">
        <f>IF(D221&gt;21,VLOOKUP(D221,Barem!$T$1:$U$39,2,1),0)</f>
        <v>0</v>
      </c>
      <c r="Q221" s="32">
        <f>IF(D221&lt;1.609,0,IF(B221="F",VLOOKUP(G221,Barem!$X$2:$Z$13,2,1),VLOOKUP(G221,Barem!$X$14:$Z$25,2,1)))</f>
        <v>0</v>
      </c>
      <c r="R221" s="36">
        <f>VLOOKUP(A221,Participanti!A:C,3,0)</f>
        <v>0</v>
      </c>
      <c r="S221" s="29">
        <f t="shared" si="65"/>
        <v>3</v>
      </c>
      <c r="T221" s="79">
        <v>44026</v>
      </c>
      <c r="U221" s="16">
        <f>COUNTIFS(A:A,A221,C:C,C221)</f>
        <v>1</v>
      </c>
      <c r="V221" s="34">
        <f t="shared" si="66"/>
        <v>0.42857142857142855</v>
      </c>
      <c r="W221" s="3" t="str">
        <f>VLOOKUP(A221,Data_echipe!A:O,15,0)</f>
        <v>Unicornii</v>
      </c>
      <c r="X221" s="3">
        <f t="shared" si="58"/>
        <v>1</v>
      </c>
    </row>
    <row r="222" spans="1:24">
      <c r="A222" s="74" t="s">
        <v>50</v>
      </c>
      <c r="B222" s="24" t="str">
        <f>VLOOKUP(A222,Participanti!A:B,2,0)</f>
        <v>F</v>
      </c>
      <c r="C222" s="75">
        <v>7</v>
      </c>
      <c r="D222" s="76">
        <v>13.03</v>
      </c>
      <c r="E222" s="77">
        <v>5.6435185185185179E-2</v>
      </c>
      <c r="F222" s="78">
        <v>77</v>
      </c>
      <c r="G222" s="20">
        <f t="shared" si="63"/>
        <v>4.3311730763764527E-3</v>
      </c>
      <c r="H222" s="16">
        <f>IF(B222="F",IF(G222&gt;Barem!$AC$2,0,IF(B222="F",VLOOKUP(D222,Barem!$B$2:$C$11,2,1))),IF(G222&gt;Barem!$AC$3,0,VLOOKUP(D222,Barem!$B$12:$C$21,2,1)))</f>
        <v>3</v>
      </c>
      <c r="I222" s="16">
        <f>IF(H222=0,0,IF(B222="F",VLOOKUP(G222,Barem!$G$2:$H$11,2,1),VLOOKUP(G222,Barem!$G$12:$H$21,2,1)))</f>
        <v>1.5</v>
      </c>
      <c r="J222" s="75">
        <v>3</v>
      </c>
      <c r="K222" s="83" t="s">
        <v>182</v>
      </c>
      <c r="L222" s="17">
        <f t="shared" si="62"/>
        <v>0.5</v>
      </c>
      <c r="M222" s="17">
        <f t="shared" si="62"/>
        <v>0.25</v>
      </c>
      <c r="N222" s="17">
        <f t="shared" si="62"/>
        <v>0.25</v>
      </c>
      <c r="O222" s="81">
        <f t="shared" si="64"/>
        <v>0</v>
      </c>
      <c r="P222" s="36">
        <f>IF(D222&gt;21,VLOOKUP(D222,Barem!$T$1:$U$39,2,1),0)</f>
        <v>0</v>
      </c>
      <c r="Q222" s="32">
        <f>IF(D222&lt;1.609,0,IF(B222="F",VLOOKUP(G222,Barem!$X$2:$Z$13,2,1),VLOOKUP(G222,Barem!$X$14:$Z$25,2,1)))</f>
        <v>0</v>
      </c>
      <c r="R222" s="36">
        <f>VLOOKUP(A222,Participanti!A:C,3,0)</f>
        <v>0</v>
      </c>
      <c r="S222" s="29">
        <f t="shared" si="65"/>
        <v>2.625</v>
      </c>
      <c r="T222" s="79">
        <v>44028</v>
      </c>
      <c r="U222" s="16">
        <f>COUNTIFS(A:A,A222,C:C,C222)</f>
        <v>1</v>
      </c>
      <c r="V222" s="34">
        <f t="shared" si="66"/>
        <v>0.20145817344589409</v>
      </c>
      <c r="W222" s="3" t="str">
        <f>VLOOKUP(A222,Data_echipe!A:O,15,0)</f>
        <v>Serioranistii</v>
      </c>
      <c r="X222" s="3">
        <f t="shared" si="58"/>
        <v>1</v>
      </c>
    </row>
    <row r="223" spans="1:24">
      <c r="A223" s="74" t="s">
        <v>209</v>
      </c>
      <c r="B223" s="24" t="str">
        <f>VLOOKUP(A223,Participanti!A:B,2,0)</f>
        <v>M</v>
      </c>
      <c r="C223" s="75">
        <v>7</v>
      </c>
      <c r="D223" s="76">
        <v>24.34</v>
      </c>
      <c r="E223" s="77">
        <v>7.6851851851851852E-2</v>
      </c>
      <c r="F223" s="78">
        <v>31</v>
      </c>
      <c r="G223" s="20">
        <f t="shared" si="63"/>
        <v>3.1574302322042668E-3</v>
      </c>
      <c r="H223" s="16">
        <f>IF(B223="F",IF(G223&gt;Barem!$AC$2,0,IF(B223="F",VLOOKUP(D223,Barem!$B$2:$C$11,2,1))),IF(G223&gt;Barem!$AC$3,0,VLOOKUP(D223,Barem!$B$12:$C$21,2,1)))</f>
        <v>5</v>
      </c>
      <c r="I223" s="16">
        <f>IF(H223=0,0,IF(B223="F",VLOOKUP(G223,Barem!$G$2:$H$11,2,1),VLOOKUP(G223,Barem!$G$12:$H$21,2,1)))</f>
        <v>3.5</v>
      </c>
      <c r="J223" s="75">
        <v>2</v>
      </c>
      <c r="K223" s="83" t="s">
        <v>183</v>
      </c>
      <c r="L223" s="17">
        <f t="shared" si="62"/>
        <v>0.25</v>
      </c>
      <c r="M223" s="17">
        <f t="shared" si="62"/>
        <v>0.5</v>
      </c>
      <c r="N223" s="17">
        <f t="shared" si="62"/>
        <v>0.25</v>
      </c>
      <c r="O223" s="81">
        <f t="shared" si="64"/>
        <v>0</v>
      </c>
      <c r="P223" s="36">
        <f>IF(D223&gt;21,VLOOKUP(D223,Barem!$T$1:$U$39,2,1),0)</f>
        <v>0</v>
      </c>
      <c r="Q223" s="32">
        <f>IF(D223&lt;1.609,0,IF(B223="F",VLOOKUP(G223,Barem!$X$2:$Z$13,2,1),VLOOKUP(G223,Barem!$X$14:$Z$25,2,1)))</f>
        <v>0</v>
      </c>
      <c r="R223" s="36">
        <f>VLOOKUP(A223,Participanti!A:C,3,0)</f>
        <v>0</v>
      </c>
      <c r="S223" s="29">
        <f t="shared" si="65"/>
        <v>3.5</v>
      </c>
      <c r="T223" s="79">
        <v>44031</v>
      </c>
      <c r="U223" s="16">
        <f>COUNTIFS(A:A,A223,C:C,C223)</f>
        <v>1</v>
      </c>
      <c r="V223" s="34">
        <f t="shared" si="66"/>
        <v>0.14379622021364011</v>
      </c>
      <c r="W223" s="3" t="str">
        <f>VLOOKUP(A223,Data_echipe!A:O,15,0)</f>
        <v>Serioranistii</v>
      </c>
      <c r="X223" s="3">
        <f t="shared" si="58"/>
        <v>1</v>
      </c>
    </row>
    <row r="224" spans="1:24">
      <c r="A224" s="74" t="s">
        <v>210</v>
      </c>
      <c r="B224" s="24" t="str">
        <f>VLOOKUP(A224,Participanti!A:B,2,0)</f>
        <v>F</v>
      </c>
      <c r="C224" s="75">
        <v>7</v>
      </c>
      <c r="D224" s="76">
        <v>5.65</v>
      </c>
      <c r="E224" s="77">
        <v>2.3298611111111107E-2</v>
      </c>
      <c r="F224" s="78">
        <v>9</v>
      </c>
      <c r="G224" s="20">
        <f t="shared" si="63"/>
        <v>4.1236479842674525E-3</v>
      </c>
      <c r="H224" s="16">
        <f>IF(B224="F",IF(G224&gt;Barem!$AC$2,0,IF(B224="F",VLOOKUP(D224,Barem!$B$2:$C$11,2,1))),IF(G224&gt;Barem!$AC$3,0,VLOOKUP(D224,Barem!$B$12:$C$21,2,1)))</f>
        <v>1.5</v>
      </c>
      <c r="I224" s="16">
        <f>IF(H224=0,0,IF(B224="F",VLOOKUP(G224,Barem!$G$2:$H$11,2,1),VLOOKUP(G224,Barem!$G$12:$H$21,2,1)))</f>
        <v>2</v>
      </c>
      <c r="J224" s="75">
        <v>3.5</v>
      </c>
      <c r="K224" s="83" t="s">
        <v>183</v>
      </c>
      <c r="L224" s="17">
        <f t="shared" si="62"/>
        <v>0.25</v>
      </c>
      <c r="M224" s="17">
        <f t="shared" si="62"/>
        <v>0.5</v>
      </c>
      <c r="N224" s="17">
        <f t="shared" si="62"/>
        <v>0.25</v>
      </c>
      <c r="O224" s="81">
        <f t="shared" si="64"/>
        <v>0</v>
      </c>
      <c r="P224" s="36">
        <f>IF(D224&gt;21,VLOOKUP(D224,Barem!$T$1:$U$39,2,1),0)</f>
        <v>0</v>
      </c>
      <c r="Q224" s="32">
        <f>IF(D224&lt;1.609,0,IF(B224="F",VLOOKUP(G224,Barem!$X$2:$Z$13,2,1),VLOOKUP(G224,Barem!$X$14:$Z$25,2,1)))</f>
        <v>0</v>
      </c>
      <c r="R224" s="36">
        <f>VLOOKUP(A224,Participanti!A:C,3,0)</f>
        <v>0</v>
      </c>
      <c r="S224" s="29">
        <f t="shared" si="65"/>
        <v>2.25</v>
      </c>
      <c r="T224" s="79">
        <v>44031</v>
      </c>
      <c r="U224" s="16">
        <f>COUNTIFS(A:A,A224,C:C,C224)</f>
        <v>1</v>
      </c>
      <c r="V224" s="34">
        <f t="shared" si="66"/>
        <v>0.39823008849557517</v>
      </c>
      <c r="W224" s="3" t="str">
        <f>VLOOKUP(A224,Data_echipe!A:O,15,0)</f>
        <v>X Æ A-12</v>
      </c>
      <c r="X224" s="3">
        <f t="shared" si="58"/>
        <v>1</v>
      </c>
    </row>
    <row r="225" spans="1:24">
      <c r="A225" s="74" t="s">
        <v>66</v>
      </c>
      <c r="B225" s="24" t="str">
        <f>VLOOKUP(A225,Participanti!A:B,2,0)</f>
        <v>M</v>
      </c>
      <c r="C225" s="75">
        <v>7</v>
      </c>
      <c r="D225" s="76">
        <v>16.100000000000001</v>
      </c>
      <c r="E225" s="77">
        <v>6.913194444444444E-2</v>
      </c>
      <c r="F225" s="78">
        <v>31</v>
      </c>
      <c r="G225" s="20">
        <f t="shared" si="63"/>
        <v>4.2939095928226359E-3</v>
      </c>
      <c r="H225" s="16">
        <f>IF(B225="F",IF(G225&gt;Barem!$AC$2,0,IF(B225="F",VLOOKUP(D225,Barem!$B$2:$C$11,2,1))),IF(G225&gt;Barem!$AC$3,0,VLOOKUP(D225,Barem!$B$12:$C$21,2,1)))</f>
        <v>3.5</v>
      </c>
      <c r="I225" s="16">
        <f>IF(H225=0,0,IF(B225="F",VLOOKUP(G225,Barem!$G$2:$H$11,2,1),VLOOKUP(G225,Barem!$G$12:$H$21,2,1)))</f>
        <v>1</v>
      </c>
      <c r="J225" s="75">
        <v>2</v>
      </c>
      <c r="K225" s="82" t="str">
        <f>VLOOKUP($C225,Barem!$L$2:$R$13,7,0)</f>
        <v>P</v>
      </c>
      <c r="L225" s="17">
        <f t="shared" si="62"/>
        <v>0.25</v>
      </c>
      <c r="M225" s="17">
        <f t="shared" si="62"/>
        <v>0.25</v>
      </c>
      <c r="N225" s="17">
        <f t="shared" si="62"/>
        <v>0.5</v>
      </c>
      <c r="O225" s="81">
        <f t="shared" si="64"/>
        <v>0</v>
      </c>
      <c r="P225" s="36">
        <f>IF(D225&gt;21,VLOOKUP(D225,Barem!$T$1:$U$39,2,1),0)</f>
        <v>0</v>
      </c>
      <c r="Q225" s="32">
        <f>IF(D225&lt;1.609,0,IF(B225="F",VLOOKUP(G225,Barem!$X$2:$Z$13,2,1),VLOOKUP(G225,Barem!$X$14:$Z$25,2,1)))</f>
        <v>0</v>
      </c>
      <c r="R225" s="36">
        <f>VLOOKUP(A225,Participanti!A:C,3,0)</f>
        <v>0</v>
      </c>
      <c r="S225" s="29">
        <f t="shared" si="65"/>
        <v>2.125</v>
      </c>
      <c r="T225" s="79">
        <v>44030</v>
      </c>
      <c r="U225" s="16">
        <f>COUNTIFS(A:A,A225,C:C,C225)</f>
        <v>1</v>
      </c>
      <c r="V225" s="34">
        <f t="shared" si="66"/>
        <v>0.13198757763975155</v>
      </c>
      <c r="W225" s="3" t="str">
        <f>VLOOKUP(A225,Data_echipe!A:O,15,0)</f>
        <v>X Æ A-12</v>
      </c>
      <c r="X225" s="3">
        <f t="shared" si="58"/>
        <v>1</v>
      </c>
    </row>
    <row r="226" spans="1:24">
      <c r="A226" s="74" t="s">
        <v>208</v>
      </c>
      <c r="B226" s="24" t="str">
        <f>VLOOKUP(A226,Participanti!A:B,2,0)</f>
        <v>M</v>
      </c>
      <c r="C226" s="75">
        <v>7</v>
      </c>
      <c r="D226" s="76">
        <v>13</v>
      </c>
      <c r="E226" s="77">
        <v>4.0925925925925928E-2</v>
      </c>
      <c r="F226" s="78">
        <v>59</v>
      </c>
      <c r="G226" s="20">
        <f t="shared" si="63"/>
        <v>3.1481481481481482E-3</v>
      </c>
      <c r="H226" s="16">
        <f>IF(B226="F",IF(G226&gt;Barem!$AC$2,0,IF(B226="F",VLOOKUP(D226,Barem!$B$2:$C$11,2,1))),IF(G226&gt;Barem!$AC$3,0,VLOOKUP(D226,Barem!$B$12:$C$21,2,1)))</f>
        <v>3</v>
      </c>
      <c r="I226" s="16">
        <f>IF(H226=0,0,IF(B226="F",VLOOKUP(G226,Barem!$G$2:$H$11,2,1),VLOOKUP(G226,Barem!$G$12:$H$21,2,1)))</f>
        <v>3.5</v>
      </c>
      <c r="J226" s="75">
        <v>2</v>
      </c>
      <c r="K226" s="83" t="s">
        <v>183</v>
      </c>
      <c r="L226" s="17">
        <f t="shared" si="62"/>
        <v>0.25</v>
      </c>
      <c r="M226" s="17">
        <f t="shared" si="62"/>
        <v>0.5</v>
      </c>
      <c r="N226" s="17">
        <f t="shared" si="62"/>
        <v>0.25</v>
      </c>
      <c r="O226" s="81">
        <f t="shared" si="64"/>
        <v>0</v>
      </c>
      <c r="P226" s="36">
        <f>IF(D226&gt;21,VLOOKUP(D226,Barem!$T$1:$U$39,2,1),0)</f>
        <v>0</v>
      </c>
      <c r="Q226" s="32">
        <f>IF(D226&lt;1.609,0,IF(B226="F",VLOOKUP(G226,Barem!$X$2:$Z$13,2,1),VLOOKUP(G226,Barem!$X$14:$Z$25,2,1)))</f>
        <v>0</v>
      </c>
      <c r="R226" s="36">
        <f>VLOOKUP(A226,Participanti!A:C,3,0)</f>
        <v>0</v>
      </c>
      <c r="S226" s="29">
        <f t="shared" si="65"/>
        <v>3</v>
      </c>
      <c r="T226" s="79">
        <v>44026</v>
      </c>
      <c r="U226" s="16">
        <f>COUNTIFS(A:A,A226,C:C,C226)</f>
        <v>1</v>
      </c>
      <c r="V226" s="34">
        <f t="shared" si="66"/>
        <v>0.23076923076923078</v>
      </c>
      <c r="W226" s="3" t="str">
        <f>VLOOKUP(A226,Data_echipe!A:O,15,0)</f>
        <v xml:space="preserve"> Let it run</v>
      </c>
      <c r="X226" s="3">
        <f t="shared" si="58"/>
        <v>1</v>
      </c>
    </row>
    <row r="227" spans="1:24">
      <c r="A227" s="74" t="s">
        <v>169</v>
      </c>
      <c r="B227" s="24" t="str">
        <f>VLOOKUP(A227,Participanti!A:B,2,0)</f>
        <v>F</v>
      </c>
      <c r="C227" s="75">
        <v>7</v>
      </c>
      <c r="D227" s="76">
        <v>7.05</v>
      </c>
      <c r="E227" s="77">
        <v>4.1747685185185186E-2</v>
      </c>
      <c r="F227" s="78">
        <v>21</v>
      </c>
      <c r="G227" s="20">
        <f t="shared" si="63"/>
        <v>5.921657473075913E-3</v>
      </c>
      <c r="H227" s="16">
        <f>IF(B227="F",IF(G227&gt;Barem!$AC$2,0,IF(B227="F",VLOOKUP(D227,Barem!$B$2:$C$11,2,1))),IF(G227&gt;Barem!$AC$3,0,VLOOKUP(D227,Barem!$B$12:$C$21,2,1)))</f>
        <v>2</v>
      </c>
      <c r="I227" s="16">
        <f>IF(H227=0,0,IF(B227="F",VLOOKUP(G227,Barem!$G$2:$H$11,2,1),VLOOKUP(G227,Barem!$G$12:$H$21,2,1)))</f>
        <v>1</v>
      </c>
      <c r="J227" s="75">
        <v>2.5</v>
      </c>
      <c r="K227" s="82" t="str">
        <f>VLOOKUP($C227,Barem!$L$2:$R$13,7,0)</f>
        <v>P</v>
      </c>
      <c r="L227" s="17">
        <f t="shared" si="62"/>
        <v>0.25</v>
      </c>
      <c r="M227" s="17">
        <f t="shared" si="62"/>
        <v>0.25</v>
      </c>
      <c r="N227" s="17">
        <f t="shared" si="62"/>
        <v>0.5</v>
      </c>
      <c r="O227" s="81">
        <f t="shared" si="64"/>
        <v>0</v>
      </c>
      <c r="P227" s="36">
        <f>IF(D227&gt;21,VLOOKUP(D227,Barem!$T$1:$U$39,2,1),0)</f>
        <v>0</v>
      </c>
      <c r="Q227" s="32">
        <f>IF(D227&lt;1.609,0,IF(B227="F",VLOOKUP(G227,Barem!$X$2:$Z$13,2,1),VLOOKUP(G227,Barem!$X$14:$Z$25,2,1)))</f>
        <v>0</v>
      </c>
      <c r="R227" s="36">
        <f>VLOOKUP(A227,Participanti!A:C,3,0)</f>
        <v>0.5</v>
      </c>
      <c r="S227" s="29">
        <f t="shared" si="65"/>
        <v>2.5</v>
      </c>
      <c r="T227" s="79">
        <v>44029</v>
      </c>
      <c r="U227" s="16">
        <f>COUNTIFS(A:A,A227,C:C,C227)</f>
        <v>1</v>
      </c>
      <c r="V227" s="34">
        <f t="shared" si="66"/>
        <v>0.3546099290780142</v>
      </c>
      <c r="W227" s="3" t="str">
        <f>VLOOKUP(A227,Data_echipe!A:O,15,0)</f>
        <v>Serioranistii</v>
      </c>
      <c r="X227" s="3">
        <f t="shared" si="58"/>
        <v>1</v>
      </c>
    </row>
    <row r="228" spans="1:24">
      <c r="A228" s="74" t="s">
        <v>53</v>
      </c>
      <c r="B228" s="24" t="str">
        <f>VLOOKUP(A228,Participanti!A:B,2,0)</f>
        <v>M</v>
      </c>
      <c r="C228" s="75">
        <v>7</v>
      </c>
      <c r="D228" s="76">
        <v>14.01</v>
      </c>
      <c r="E228" s="77">
        <v>4.6296296296296301E-2</v>
      </c>
      <c r="F228" s="78">
        <v>147</v>
      </c>
      <c r="G228" s="20">
        <f t="shared" si="63"/>
        <v>3.3045179369233621E-3</v>
      </c>
      <c r="H228" s="16">
        <f>IF(B228="F",IF(G228&gt;Barem!$AC$2,0,IF(B228="F",VLOOKUP(D228,Barem!$B$2:$C$11,2,1))),IF(G228&gt;Barem!$AC$3,0,VLOOKUP(D228,Barem!$B$12:$C$21,2,1)))</f>
        <v>3</v>
      </c>
      <c r="I228" s="16">
        <f>IF(H228=0,0,IF(B228="F",VLOOKUP(G228,Barem!$G$2:$H$11,2,1),VLOOKUP(G228,Barem!$G$12:$H$21,2,1)))</f>
        <v>3.5</v>
      </c>
      <c r="J228" s="75">
        <v>1</v>
      </c>
      <c r="K228" s="83" t="s">
        <v>183</v>
      </c>
      <c r="L228" s="17">
        <f t="shared" si="62"/>
        <v>0.25</v>
      </c>
      <c r="M228" s="17">
        <f t="shared" si="62"/>
        <v>0.5</v>
      </c>
      <c r="N228" s="17">
        <f t="shared" si="62"/>
        <v>0.25</v>
      </c>
      <c r="O228" s="81">
        <f t="shared" si="64"/>
        <v>9.8000000000000004E-2</v>
      </c>
      <c r="P228" s="36">
        <f>IF(D228&gt;21,VLOOKUP(D228,Barem!$T$1:$U$39,2,1),0)</f>
        <v>0</v>
      </c>
      <c r="Q228" s="32">
        <f>IF(D228&lt;1.609,0,IF(B228="F",VLOOKUP(G228,Barem!$X$2:$Z$13,2,1),VLOOKUP(G228,Barem!$X$14:$Z$25,2,1)))</f>
        <v>0</v>
      </c>
      <c r="R228" s="36">
        <f>VLOOKUP(A228,Participanti!A:C,3,0)</f>
        <v>0</v>
      </c>
      <c r="S228" s="29">
        <f t="shared" si="65"/>
        <v>2.8479999999999999</v>
      </c>
      <c r="T228" s="79">
        <v>44028</v>
      </c>
      <c r="U228" s="16">
        <f>COUNTIFS(A:A,A228,C:C,C228)</f>
        <v>1</v>
      </c>
      <c r="V228" s="34">
        <f t="shared" si="66"/>
        <v>0.20328336902212704</v>
      </c>
      <c r="W228" s="3" t="str">
        <f>VLOOKUP(A228,Data_echipe!A:O,15,0)</f>
        <v>Tenchei</v>
      </c>
      <c r="X228" s="3">
        <f t="shared" si="58"/>
        <v>1</v>
      </c>
    </row>
    <row r="229" spans="1:24">
      <c r="A229" s="74" t="s">
        <v>62</v>
      </c>
      <c r="B229" s="24" t="str">
        <f>VLOOKUP(A229,Participanti!A:B,2,0)</f>
        <v>M</v>
      </c>
      <c r="C229" s="75">
        <v>7</v>
      </c>
      <c r="D229" s="76">
        <v>6.28</v>
      </c>
      <c r="E229" s="77">
        <v>2.736111111111111E-2</v>
      </c>
      <c r="F229" s="78">
        <v>153</v>
      </c>
      <c r="G229" s="20">
        <f t="shared" si="63"/>
        <v>4.3568648266100489E-3</v>
      </c>
      <c r="H229" s="16">
        <f>IF(B229="F",IF(G229&gt;Barem!$AC$2,0,IF(B229="F",VLOOKUP(D229,Barem!$B$2:$C$11,2,1))),IF(G229&gt;Barem!$AC$3,0,VLOOKUP(D229,Barem!$B$12:$C$21,2,1)))</f>
        <v>1.5</v>
      </c>
      <c r="I229" s="16">
        <f>IF(H229=0,0,IF(B229="F",VLOOKUP(G229,Barem!$G$2:$H$11,2,1),VLOOKUP(G229,Barem!$G$12:$H$21,2,1)))</f>
        <v>1</v>
      </c>
      <c r="J229" s="75">
        <v>3.5</v>
      </c>
      <c r="K229" s="82" t="str">
        <f>VLOOKUP($C229,Barem!$L$2:$R$13,7,0)</f>
        <v>P</v>
      </c>
      <c r="L229" s="17">
        <f t="shared" si="62"/>
        <v>0.25</v>
      </c>
      <c r="M229" s="17">
        <f t="shared" si="62"/>
        <v>0.25</v>
      </c>
      <c r="N229" s="17">
        <f t="shared" si="62"/>
        <v>0.5</v>
      </c>
      <c r="O229" s="81">
        <f t="shared" si="64"/>
        <v>0.10199999999999999</v>
      </c>
      <c r="P229" s="36">
        <f>IF(D229&gt;21,VLOOKUP(D229,Barem!$T$1:$U$39,2,1),0)</f>
        <v>0</v>
      </c>
      <c r="Q229" s="32">
        <f>IF(D229&lt;1.609,0,IF(B229="F",VLOOKUP(G229,Barem!$X$2:$Z$13,2,1),VLOOKUP(G229,Barem!$X$14:$Z$25,2,1)))</f>
        <v>0</v>
      </c>
      <c r="R229" s="36">
        <f>VLOOKUP(A229,Participanti!A:C,3,0)</f>
        <v>0</v>
      </c>
      <c r="S229" s="29">
        <f t="shared" si="65"/>
        <v>2.4769999999999999</v>
      </c>
      <c r="T229" s="79">
        <v>44027</v>
      </c>
      <c r="U229" s="16">
        <f>COUNTIFS(A:A,A229,C:C,C229)</f>
        <v>1</v>
      </c>
      <c r="V229" s="34">
        <f t="shared" si="66"/>
        <v>0.39442675159235663</v>
      </c>
      <c r="W229" s="3" t="str">
        <f>VLOOKUP(A229,Data_echipe!A:O,15,0)</f>
        <v>Serioranistii</v>
      </c>
      <c r="X229" s="3">
        <f t="shared" si="58"/>
        <v>1</v>
      </c>
    </row>
    <row r="230" spans="1:24">
      <c r="A230" s="74" t="s">
        <v>52</v>
      </c>
      <c r="B230" s="24" t="str">
        <f>VLOOKUP(A230,Participanti!A:B,2,0)</f>
        <v>M</v>
      </c>
      <c r="C230" s="75">
        <v>7</v>
      </c>
      <c r="D230" s="76">
        <v>13.62</v>
      </c>
      <c r="E230" s="77">
        <v>4.1678240740740745E-2</v>
      </c>
      <c r="F230" s="78">
        <v>0</v>
      </c>
      <c r="G230" s="20">
        <f t="shared" si="63"/>
        <v>3.0600764126828741E-3</v>
      </c>
      <c r="H230" s="16">
        <f>IF(B230="F",IF(G230&gt;Barem!$AC$2,0,IF(B230="F",VLOOKUP(D230,Barem!$B$2:$C$11,2,1))),IF(G230&gt;Barem!$AC$3,0,VLOOKUP(D230,Barem!$B$12:$C$21,2,1)))</f>
        <v>3</v>
      </c>
      <c r="I230" s="16">
        <f>IF(H230=0,0,IF(B230="F",VLOOKUP(G230,Barem!$G$2:$H$11,2,1),VLOOKUP(G230,Barem!$G$12:$H$21,2,1)))</f>
        <v>4</v>
      </c>
      <c r="J230" s="75">
        <v>2</v>
      </c>
      <c r="K230" s="82" t="str">
        <f>VLOOKUP($C230,Barem!$L$2:$R$13,7,0)</f>
        <v>P</v>
      </c>
      <c r="L230" s="17">
        <f t="shared" si="62"/>
        <v>0.25</v>
      </c>
      <c r="M230" s="17">
        <f t="shared" si="62"/>
        <v>0.25</v>
      </c>
      <c r="N230" s="17">
        <f t="shared" si="62"/>
        <v>0.5</v>
      </c>
      <c r="O230" s="81">
        <f t="shared" si="64"/>
        <v>0</v>
      </c>
      <c r="P230" s="36">
        <f>IF(D230&gt;21,VLOOKUP(D230,Barem!$T$1:$U$39,2,1),0)</f>
        <v>0</v>
      </c>
      <c r="Q230" s="32">
        <f>IF(D230&lt;1.609,0,IF(B230="F",VLOOKUP(G230,Barem!$X$2:$Z$13,2,1),VLOOKUP(G230,Barem!$X$14:$Z$25,2,1)))</f>
        <v>0</v>
      </c>
      <c r="R230" s="36">
        <f>VLOOKUP(A230,Participanti!A:C,3,0)</f>
        <v>0</v>
      </c>
      <c r="S230" s="29">
        <f t="shared" si="65"/>
        <v>2.75</v>
      </c>
      <c r="T230" s="79">
        <v>44030</v>
      </c>
      <c r="U230" s="16">
        <f>COUNTIFS(A:A,A230,C:C,C230)</f>
        <v>1</v>
      </c>
      <c r="V230" s="34">
        <f t="shared" si="66"/>
        <v>0.20190895741556536</v>
      </c>
      <c r="W230" s="3" t="str">
        <f>VLOOKUP(A230,Data_echipe!A:O,15,0)</f>
        <v xml:space="preserve"> Let it run</v>
      </c>
      <c r="X230" s="3">
        <f t="shared" si="58"/>
        <v>1</v>
      </c>
    </row>
    <row r="231" spans="1:24">
      <c r="A231" s="74" t="s">
        <v>114</v>
      </c>
      <c r="B231" s="24" t="str">
        <f>VLOOKUP(A231,Participanti!A:B,2,0)</f>
        <v>M</v>
      </c>
      <c r="C231" s="75">
        <v>7</v>
      </c>
      <c r="D231" s="76">
        <v>18</v>
      </c>
      <c r="E231" s="77">
        <v>6.4282407407407413E-2</v>
      </c>
      <c r="F231" s="78">
        <v>294</v>
      </c>
      <c r="G231" s="20">
        <f t="shared" si="63"/>
        <v>3.5712448559670784E-3</v>
      </c>
      <c r="H231" s="16">
        <f>IF(B231="F",IF(G231&gt;Barem!$AC$2,0,IF(B231="F",VLOOKUP(D231,Barem!$B$2:$C$11,2,1))),IF(G231&gt;Barem!$AC$3,0,VLOOKUP(D231,Barem!$B$12:$C$21,2,1)))</f>
        <v>4</v>
      </c>
      <c r="I231" s="16">
        <f>IF(H231=0,0,IF(B231="F",VLOOKUP(G231,Barem!$G$2:$H$11,2,1),VLOOKUP(G231,Barem!$G$12:$H$21,2,1)))</f>
        <v>2.5</v>
      </c>
      <c r="J231" s="75">
        <v>2</v>
      </c>
      <c r="K231" s="82" t="str">
        <f>VLOOKUP($C231,Barem!$L$2:$R$13,7,0)</f>
        <v>P</v>
      </c>
      <c r="L231" s="17">
        <f t="shared" si="62"/>
        <v>0.25</v>
      </c>
      <c r="M231" s="17">
        <f t="shared" si="62"/>
        <v>0.25</v>
      </c>
      <c r="N231" s="17">
        <f t="shared" si="62"/>
        <v>0.5</v>
      </c>
      <c r="O231" s="81">
        <f t="shared" si="64"/>
        <v>0.19600000000000001</v>
      </c>
      <c r="P231" s="36">
        <f>IF(D231&gt;21,VLOOKUP(D231,Barem!$T$1:$U$39,2,1),0)</f>
        <v>0</v>
      </c>
      <c r="Q231" s="32">
        <f>IF(D231&lt;1.609,0,IF(B231="F",VLOOKUP(G231,Barem!$X$2:$Z$13,2,1),VLOOKUP(G231,Barem!$X$14:$Z$25,2,1)))</f>
        <v>0</v>
      </c>
      <c r="R231" s="36">
        <f>VLOOKUP(A231,Participanti!A:C,3,0)</f>
        <v>0</v>
      </c>
      <c r="S231" s="29">
        <f t="shared" si="65"/>
        <v>2.8210000000000002</v>
      </c>
      <c r="T231" s="79">
        <v>44026</v>
      </c>
      <c r="U231" s="16">
        <f>COUNTIFS(A:A,A231,C:C,C231)</f>
        <v>1</v>
      </c>
      <c r="V231" s="34">
        <f t="shared" si="66"/>
        <v>0.15672222222222223</v>
      </c>
      <c r="W231" s="3" t="str">
        <f>VLOOKUP(A231,Data_echipe!A:O,15,0)</f>
        <v>Serioranistii</v>
      </c>
      <c r="X231" s="3">
        <f t="shared" si="58"/>
        <v>1</v>
      </c>
    </row>
    <row r="232" spans="1:24">
      <c r="A232" s="74" t="s">
        <v>68</v>
      </c>
      <c r="B232" s="24" t="str">
        <f>VLOOKUP(A232,Participanti!A:B,2,0)</f>
        <v>M</v>
      </c>
      <c r="C232" s="75">
        <v>7</v>
      </c>
      <c r="D232" s="76">
        <v>35.409999999999997</v>
      </c>
      <c r="E232" s="77">
        <v>0.28584490740740742</v>
      </c>
      <c r="F232" s="78">
        <v>2079</v>
      </c>
      <c r="G232" s="20">
        <f t="shared" si="63"/>
        <v>8.0724345497714609E-3</v>
      </c>
      <c r="H232" s="16">
        <f>IF(B232="F",IF(G232&gt;Barem!$AC$2,0,IF(B232="F",VLOOKUP(D232,Barem!$B$2:$C$11,2,1))),IF(G232&gt;Barem!$AC$3,0,VLOOKUP(D232,Barem!$B$12:$C$21,2,1)))</f>
        <v>0</v>
      </c>
      <c r="I232" s="16">
        <f>IF(H232=0,0,IF(B232="F",VLOOKUP(G232,Barem!$G$2:$H$11,2,1),VLOOKUP(G232,Barem!$G$12:$H$21,2,1)))</f>
        <v>0</v>
      </c>
      <c r="J232" s="75">
        <v>5</v>
      </c>
      <c r="K232" s="82" t="str">
        <f>VLOOKUP($C232,Barem!$L$2:$R$13,7,0)</f>
        <v>P</v>
      </c>
      <c r="L232" s="17">
        <f t="shared" si="62"/>
        <v>0.25</v>
      </c>
      <c r="M232" s="17">
        <f t="shared" si="62"/>
        <v>0.25</v>
      </c>
      <c r="N232" s="17">
        <f t="shared" si="62"/>
        <v>0.5</v>
      </c>
      <c r="O232" s="81">
        <f t="shared" si="64"/>
        <v>1.3859999999999999</v>
      </c>
      <c r="P232" s="36">
        <f>IF(D232&gt;21,VLOOKUP(D232,Barem!$T$1:$U$39,2,1),0)</f>
        <v>0.2</v>
      </c>
      <c r="Q232" s="32">
        <f>IF(D232&lt;1.609,0,IF(B232="F",VLOOKUP(G232,Barem!$X$2:$Z$13,2,1),VLOOKUP(G232,Barem!$X$14:$Z$25,2,1)))</f>
        <v>0</v>
      </c>
      <c r="R232" s="36">
        <f>VLOOKUP(A232,Participanti!A:C,3,0)</f>
        <v>0</v>
      </c>
      <c r="S232" s="29">
        <f t="shared" si="65"/>
        <v>4.0860000000000003</v>
      </c>
      <c r="T232" s="79">
        <v>44027</v>
      </c>
      <c r="U232" s="16">
        <f>COUNTIFS(A:A,A232,C:C,C232)</f>
        <v>1</v>
      </c>
      <c r="V232" s="34">
        <f t="shared" si="66"/>
        <v>0.1153911324484609</v>
      </c>
      <c r="W232" s="3" t="str">
        <f>VLOOKUP(A232,Data_echipe!A:O,15,0)</f>
        <v>Unicornii</v>
      </c>
      <c r="X232" s="3">
        <f t="shared" si="58"/>
        <v>0</v>
      </c>
    </row>
    <row r="233" spans="1:24">
      <c r="A233" s="74" t="s">
        <v>86</v>
      </c>
      <c r="B233" s="24" t="str">
        <f>VLOOKUP(A233,Participanti!A:B,2,0)</f>
        <v>M</v>
      </c>
      <c r="C233" s="75">
        <v>7</v>
      </c>
      <c r="D233" s="76">
        <v>27</v>
      </c>
      <c r="E233" s="77">
        <v>0.10934027777777777</v>
      </c>
      <c r="F233" s="78">
        <v>0</v>
      </c>
      <c r="G233" s="20">
        <f t="shared" si="63"/>
        <v>4.0496399176954733E-3</v>
      </c>
      <c r="H233" s="16">
        <f>IF(B233="F",IF(G233&gt;Barem!$AC$2,0,IF(B233="F",VLOOKUP(D233,Barem!$B$2:$C$11,2,1))),IF(G233&gt;Barem!$AC$3,0,VLOOKUP(D233,Barem!$B$12:$C$21,2,1)))</f>
        <v>5</v>
      </c>
      <c r="I233" s="16">
        <f>IF(H233=0,0,IF(B233="F",VLOOKUP(G233,Barem!$G$2:$H$11,2,1),VLOOKUP(G233,Barem!$G$12:$H$21,2,1)))</f>
        <v>1.5</v>
      </c>
      <c r="J233" s="75">
        <v>4</v>
      </c>
      <c r="K233" s="83" t="s">
        <v>182</v>
      </c>
      <c r="L233" s="17">
        <f t="shared" si="62"/>
        <v>0.5</v>
      </c>
      <c r="M233" s="17">
        <f t="shared" si="62"/>
        <v>0.25</v>
      </c>
      <c r="N233" s="17">
        <f t="shared" si="62"/>
        <v>0.25</v>
      </c>
      <c r="O233" s="81">
        <f t="shared" si="64"/>
        <v>0</v>
      </c>
      <c r="P233" s="36">
        <f>IF(D233&gt;21,VLOOKUP(D233,Barem!$T$1:$U$39,2,1),0)</f>
        <v>0.1</v>
      </c>
      <c r="Q233" s="32">
        <f>IF(D233&lt;1.609,0,IF(B233="F",VLOOKUP(G233,Barem!$X$2:$Z$13,2,1),VLOOKUP(G233,Barem!$X$14:$Z$25,2,1)))</f>
        <v>0</v>
      </c>
      <c r="R233" s="36">
        <f>VLOOKUP(A233,Participanti!A:C,3,0)</f>
        <v>0</v>
      </c>
      <c r="S233" s="29">
        <f t="shared" si="65"/>
        <v>3.9750000000000001</v>
      </c>
      <c r="T233" s="79">
        <v>44031</v>
      </c>
      <c r="U233" s="16">
        <f>COUNTIFS(A:A,A233,C:C,C233)</f>
        <v>1</v>
      </c>
      <c r="V233" s="34">
        <f t="shared" si="66"/>
        <v>0.14722222222222223</v>
      </c>
      <c r="W233" s="3" t="str">
        <f>VLOOKUP(A233,Data_echipe!A:O,15,0)</f>
        <v>Unicornii</v>
      </c>
      <c r="X233" s="3">
        <f t="shared" si="58"/>
        <v>1</v>
      </c>
    </row>
    <row r="234" spans="1:24">
      <c r="A234" s="74" t="s">
        <v>172</v>
      </c>
      <c r="B234" s="24" t="str">
        <f>VLOOKUP(A234,Participanti!A:B,2,0)</f>
        <v>F</v>
      </c>
      <c r="C234" s="75">
        <v>7</v>
      </c>
      <c r="D234" s="76">
        <v>42.01</v>
      </c>
      <c r="E234" s="77">
        <v>0.1728587962962963</v>
      </c>
      <c r="F234" s="78">
        <v>2</v>
      </c>
      <c r="G234" s="20">
        <f t="shared" si="63"/>
        <v>4.1147059342131944E-3</v>
      </c>
      <c r="H234" s="16">
        <f>IF(B234="F",IF(G234&gt;Barem!$AC$2,0,IF(B234="F",VLOOKUP(D234,Barem!$B$2:$C$11,2,1))),IF(G234&gt;Barem!$AC$3,0,VLOOKUP(D234,Barem!$B$12:$C$21,2,1)))</f>
        <v>5</v>
      </c>
      <c r="I234" s="16">
        <f>IF(H234=0,0,IF(B234="F",VLOOKUP(G234,Barem!$G$2:$H$11,2,1),VLOOKUP(G234,Barem!$G$12:$H$21,2,1)))</f>
        <v>2</v>
      </c>
      <c r="J234" s="75">
        <v>3</v>
      </c>
      <c r="K234" s="83" t="s">
        <v>182</v>
      </c>
      <c r="L234" s="17">
        <f t="shared" si="62"/>
        <v>0.5</v>
      </c>
      <c r="M234" s="17">
        <f t="shared" si="62"/>
        <v>0.25</v>
      </c>
      <c r="N234" s="17">
        <f t="shared" si="62"/>
        <v>0.25</v>
      </c>
      <c r="O234" s="81">
        <f t="shared" si="64"/>
        <v>0</v>
      </c>
      <c r="P234" s="36">
        <f>IF(D234&gt;21,VLOOKUP(D234,Barem!$T$1:$U$39,2,1),0)</f>
        <v>0.4</v>
      </c>
      <c r="Q234" s="32">
        <f>IF(D234&lt;1.609,0,IF(B234="F",VLOOKUP(G234,Barem!$X$2:$Z$13,2,1),VLOOKUP(G234,Barem!$X$14:$Z$25,2,1)))</f>
        <v>0</v>
      </c>
      <c r="R234" s="36">
        <f>VLOOKUP(A234,Participanti!A:C,3,0)</f>
        <v>0</v>
      </c>
      <c r="S234" s="29">
        <f t="shared" si="65"/>
        <v>4.1500000000000004</v>
      </c>
      <c r="T234" s="79">
        <v>44031</v>
      </c>
      <c r="U234" s="16">
        <f>COUNTIFS(A:A,A234,C:C,C234)</f>
        <v>1</v>
      </c>
      <c r="V234" s="34">
        <f t="shared" si="66"/>
        <v>9.8786003332539882E-2</v>
      </c>
      <c r="W234" s="3" t="str">
        <f>VLOOKUP(A234,Data_echipe!A:O,15,0)</f>
        <v>Unicornii</v>
      </c>
      <c r="X234" s="3">
        <f t="shared" si="58"/>
        <v>1</v>
      </c>
    </row>
    <row r="235" spans="1:24">
      <c r="A235" s="74" t="s">
        <v>54</v>
      </c>
      <c r="B235" s="24" t="str">
        <f>VLOOKUP(A235,Participanti!A:B,2,0)</f>
        <v>M</v>
      </c>
      <c r="C235" s="75">
        <v>7</v>
      </c>
      <c r="D235" s="76">
        <v>21.67</v>
      </c>
      <c r="E235" s="77">
        <v>9.7141203703703702E-2</v>
      </c>
      <c r="F235" s="78">
        <v>536</v>
      </c>
      <c r="G235" s="20">
        <f t="shared" si="63"/>
        <v>4.4827505170144761E-3</v>
      </c>
      <c r="H235" s="16">
        <f>IF(B235="F",IF(G235&gt;Barem!$AC$2,0,IF(B235="F",VLOOKUP(D235,Barem!$B$2:$C$11,2,1))),IF(G235&gt;Barem!$AC$3,0,VLOOKUP(D235,Barem!$B$12:$C$21,2,1)))</f>
        <v>5</v>
      </c>
      <c r="I235" s="16">
        <f>IF(H235=0,0,IF(B235="F",VLOOKUP(G235,Barem!$G$2:$H$11,2,1),VLOOKUP(G235,Barem!$G$12:$H$21,2,1)))</f>
        <v>1</v>
      </c>
      <c r="J235" s="75">
        <v>2.5</v>
      </c>
      <c r="K235" s="83" t="s">
        <v>182</v>
      </c>
      <c r="L235" s="17">
        <f t="shared" si="62"/>
        <v>0.5</v>
      </c>
      <c r="M235" s="17">
        <f t="shared" si="62"/>
        <v>0.25</v>
      </c>
      <c r="N235" s="17">
        <f t="shared" si="62"/>
        <v>0.25</v>
      </c>
      <c r="O235" s="81">
        <f t="shared" si="64"/>
        <v>0.35733333333333334</v>
      </c>
      <c r="P235" s="36">
        <f>IF(D235&gt;21,VLOOKUP(D235,Barem!$T$1:$U$39,2,1),0)</f>
        <v>0</v>
      </c>
      <c r="Q235" s="32">
        <f>IF(D235&lt;1.609,0,IF(B235="F",VLOOKUP(G235,Barem!$X$2:$Z$13,2,1),VLOOKUP(G235,Barem!$X$14:$Z$25,2,1)))</f>
        <v>0</v>
      </c>
      <c r="R235" s="36">
        <f>VLOOKUP(A235,Participanti!A:C,3,0)</f>
        <v>0.5</v>
      </c>
      <c r="S235" s="29">
        <f t="shared" si="65"/>
        <v>4.2323333333333331</v>
      </c>
      <c r="T235" s="79">
        <v>44031</v>
      </c>
      <c r="U235" s="16">
        <f>COUNTIFS(A:A,A235,C:C,C235)</f>
        <v>1</v>
      </c>
      <c r="V235" s="34">
        <f t="shared" si="66"/>
        <v>0.19530841409013994</v>
      </c>
      <c r="W235" s="3" t="str">
        <f>VLOOKUP(A235,Data_echipe!A:O,15,0)</f>
        <v>Serioranistii</v>
      </c>
      <c r="X235" s="3">
        <f t="shared" si="58"/>
        <v>1</v>
      </c>
    </row>
    <row r="236" spans="1:24">
      <c r="A236" s="74" t="s">
        <v>201</v>
      </c>
      <c r="B236" s="24" t="str">
        <f>VLOOKUP(A236,Participanti!A:B,2,0)</f>
        <v>F</v>
      </c>
      <c r="C236" s="75">
        <v>7</v>
      </c>
      <c r="D236" s="76">
        <v>17.739999999999998</v>
      </c>
      <c r="E236" s="77">
        <v>0.16260416666666666</v>
      </c>
      <c r="F236" s="78">
        <v>1472</v>
      </c>
      <c r="G236" s="20">
        <f t="shared" si="63"/>
        <v>9.1659620443442311E-3</v>
      </c>
      <c r="H236" s="16">
        <f>IF(B236="F",IF(G236&gt;Barem!$AC$2,0,IF(B236="F",VLOOKUP(D236,Barem!$B$2:$C$11,2,1))),IF(G236&gt;Barem!$AC$3,0,VLOOKUP(D236,Barem!$B$12:$C$21,2,1)))</f>
        <v>0</v>
      </c>
      <c r="I236" s="16">
        <f>IF(H236=0,0,IF(B236="F",VLOOKUP(G236,Barem!$G$2:$H$11,2,1),VLOOKUP(G236,Barem!$G$12:$H$21,2,1)))</f>
        <v>0</v>
      </c>
      <c r="J236" s="75">
        <v>4.5</v>
      </c>
      <c r="K236" s="82" t="str">
        <f>VLOOKUP($C236,Barem!$L$2:$R$13,7,0)</f>
        <v>P</v>
      </c>
      <c r="L236" s="17">
        <f t="shared" si="62"/>
        <v>0.25</v>
      </c>
      <c r="M236" s="17">
        <f t="shared" si="62"/>
        <v>0.25</v>
      </c>
      <c r="N236" s="17">
        <f t="shared" si="62"/>
        <v>0.5</v>
      </c>
      <c r="O236" s="81">
        <f t="shared" si="64"/>
        <v>0.98133333333333328</v>
      </c>
      <c r="P236" s="36">
        <f>IF(D236&gt;21,VLOOKUP(D236,Barem!$T$1:$U$39,2,1),0)</f>
        <v>0</v>
      </c>
      <c r="Q236" s="32">
        <f>IF(D236&lt;1.609,0,IF(B236="F",VLOOKUP(G236,Barem!$X$2:$Z$13,2,1),VLOOKUP(G236,Barem!$X$14:$Z$25,2,1)))</f>
        <v>0</v>
      </c>
      <c r="R236" s="36">
        <f>VLOOKUP(A236,Participanti!A:C,3,0)</f>
        <v>0</v>
      </c>
      <c r="S236" s="29">
        <f t="shared" si="65"/>
        <v>3.2313333333333332</v>
      </c>
      <c r="T236" s="79">
        <v>44027</v>
      </c>
      <c r="U236" s="16">
        <f>COUNTIFS(A:A,A236,C:C,C236)</f>
        <v>1</v>
      </c>
      <c r="V236" s="34">
        <f t="shared" si="66"/>
        <v>0.18214956783164224</v>
      </c>
      <c r="W236" s="3" t="str">
        <f>VLOOKUP(A236,Data_echipe!A:O,15,0)</f>
        <v>X Æ A-12</v>
      </c>
      <c r="X236" s="3">
        <f t="shared" si="58"/>
        <v>0</v>
      </c>
    </row>
    <row r="237" spans="1:24">
      <c r="A237" s="74" t="s">
        <v>171</v>
      </c>
      <c r="B237" s="24" t="str">
        <f>VLOOKUP(A237,Participanti!A:B,2,0)</f>
        <v>M</v>
      </c>
      <c r="C237" s="75">
        <v>7</v>
      </c>
      <c r="D237" s="76">
        <v>16.03</v>
      </c>
      <c r="E237" s="77">
        <v>5.1701388888888887E-2</v>
      </c>
      <c r="F237" s="78">
        <v>0</v>
      </c>
      <c r="G237" s="20">
        <f t="shared" si="63"/>
        <v>3.2252893879531432E-3</v>
      </c>
      <c r="H237" s="16">
        <f>IF(B237="F",IF(G237&gt;Barem!$AC$2,0,IF(B237="F",VLOOKUP(D237,Barem!$B$2:$C$11,2,1))),IF(G237&gt;Barem!$AC$3,0,VLOOKUP(D237,Barem!$B$12:$C$21,2,1)))</f>
        <v>3.5</v>
      </c>
      <c r="I237" s="16">
        <f>IF(H237=0,0,IF(B237="F",VLOOKUP(G237,Barem!$G$2:$H$11,2,1),VLOOKUP(G237,Barem!$G$12:$H$21,2,1)))</f>
        <v>3.5</v>
      </c>
      <c r="J237" s="75">
        <v>4.5</v>
      </c>
      <c r="K237" s="82" t="str">
        <f>VLOOKUP($C237,Barem!$L$2:$R$13,7,0)</f>
        <v>P</v>
      </c>
      <c r="L237" s="17">
        <f t="shared" si="62"/>
        <v>0.25</v>
      </c>
      <c r="M237" s="17">
        <f t="shared" si="62"/>
        <v>0.25</v>
      </c>
      <c r="N237" s="17">
        <f t="shared" si="62"/>
        <v>0.5</v>
      </c>
      <c r="O237" s="81">
        <f t="shared" si="64"/>
        <v>0</v>
      </c>
      <c r="P237" s="36">
        <f>IF(D237&gt;21,VLOOKUP(D237,Barem!$T$1:$U$39,2,1),0)</f>
        <v>0</v>
      </c>
      <c r="Q237" s="32">
        <f>IF(D237&lt;1.609,0,IF(B237="F",VLOOKUP(G237,Barem!$X$2:$Z$13,2,1),VLOOKUP(G237,Barem!$X$14:$Z$25,2,1)))</f>
        <v>0</v>
      </c>
      <c r="R237" s="36">
        <f>VLOOKUP(A237,Participanti!A:C,3,0)</f>
        <v>0</v>
      </c>
      <c r="S237" s="29">
        <f t="shared" si="65"/>
        <v>4</v>
      </c>
      <c r="T237" s="79">
        <v>44027</v>
      </c>
      <c r="U237" s="16">
        <f>COUNTIFS(A:A,A237,C:C,C237)</f>
        <v>1</v>
      </c>
      <c r="V237" s="34">
        <f t="shared" si="66"/>
        <v>0.24953212726138488</v>
      </c>
      <c r="W237" s="3" t="str">
        <f>VLOOKUP(A237,Data_echipe!A:O,15,0)</f>
        <v>X Æ A-12</v>
      </c>
      <c r="X237" s="3">
        <f t="shared" si="58"/>
        <v>1</v>
      </c>
    </row>
    <row r="238" spans="1:24">
      <c r="A238" s="74" t="s">
        <v>60</v>
      </c>
      <c r="B238" s="24" t="str">
        <f>VLOOKUP(A238,Participanti!A:B,2,0)</f>
        <v>M</v>
      </c>
      <c r="C238" s="75">
        <v>7</v>
      </c>
      <c r="D238" s="76">
        <v>21.25</v>
      </c>
      <c r="E238" s="77">
        <v>7.9548611111111112E-2</v>
      </c>
      <c r="F238" s="78">
        <v>48</v>
      </c>
      <c r="G238" s="20">
        <f t="shared" si="63"/>
        <v>3.7434640522875815E-3</v>
      </c>
      <c r="H238" s="16">
        <f>IF(B238="F",IF(G238&gt;Barem!$AC$2,0,IF(B238="F",VLOOKUP(D238,Barem!$B$2:$C$11,2,1))),IF(G238&gt;Barem!$AC$3,0,VLOOKUP(D238,Barem!$B$12:$C$21,2,1)))</f>
        <v>5</v>
      </c>
      <c r="I238" s="16">
        <f>IF(H238=0,0,IF(B238="F",VLOOKUP(G238,Barem!$G$2:$H$11,2,1),VLOOKUP(G238,Barem!$G$12:$H$21,2,1)))</f>
        <v>2</v>
      </c>
      <c r="J238" s="75">
        <v>4.5</v>
      </c>
      <c r="K238" s="82" t="str">
        <f>VLOOKUP($C238,Barem!$L$2:$R$13,7,0)</f>
        <v>P</v>
      </c>
      <c r="L238" s="17">
        <f t="shared" si="62"/>
        <v>0.25</v>
      </c>
      <c r="M238" s="17">
        <f t="shared" si="62"/>
        <v>0.25</v>
      </c>
      <c r="N238" s="17">
        <f t="shared" si="62"/>
        <v>0.5</v>
      </c>
      <c r="O238" s="81">
        <f t="shared" si="64"/>
        <v>0</v>
      </c>
      <c r="P238" s="36">
        <f>IF(D238&gt;21,VLOOKUP(D238,Barem!$T$1:$U$39,2,1),0)</f>
        <v>0</v>
      </c>
      <c r="Q238" s="32">
        <f>IF(D238&lt;1.609,0,IF(B238="F",VLOOKUP(G238,Barem!$X$2:$Z$13,2,1),VLOOKUP(G238,Barem!$X$14:$Z$25,2,1)))</f>
        <v>0</v>
      </c>
      <c r="R238" s="36">
        <f>VLOOKUP(A238,Participanti!A:C,3,0)</f>
        <v>0</v>
      </c>
      <c r="S238" s="29">
        <f t="shared" si="65"/>
        <v>4</v>
      </c>
      <c r="T238" s="79">
        <v>44029</v>
      </c>
      <c r="U238" s="16">
        <f>COUNTIFS(A:A,A238,C:C,C238)</f>
        <v>1</v>
      </c>
      <c r="V238" s="34">
        <f t="shared" si="66"/>
        <v>0.18823529411764706</v>
      </c>
      <c r="W238" s="3" t="str">
        <f>VLOOKUP(A238,Data_echipe!A:O,15,0)</f>
        <v>Tenchei</v>
      </c>
      <c r="X238" s="3">
        <f t="shared" si="58"/>
        <v>1</v>
      </c>
    </row>
    <row r="239" spans="1:24">
      <c r="A239" s="74" t="s">
        <v>200</v>
      </c>
      <c r="B239" s="24" t="str">
        <f>VLOOKUP(A239,Participanti!A:B,2,0)</f>
        <v>M</v>
      </c>
      <c r="C239" s="75">
        <v>7</v>
      </c>
      <c r="D239" s="76">
        <v>15.02</v>
      </c>
      <c r="E239" s="77">
        <v>5.1631944444444446E-2</v>
      </c>
      <c r="F239" s="78">
        <v>0</v>
      </c>
      <c r="G239" s="20">
        <f t="shared" si="63"/>
        <v>3.4375462346500963E-3</v>
      </c>
      <c r="H239" s="16">
        <f>IF(B239="F",IF(G239&gt;Barem!$AC$2,0,IF(B239="F",VLOOKUP(D239,Barem!$B$2:$C$11,2,1))),IF(G239&gt;Barem!$AC$3,0,VLOOKUP(D239,Barem!$B$12:$C$21,2,1)))</f>
        <v>3.5</v>
      </c>
      <c r="I239" s="16">
        <f>IF(H239=0,0,IF(B239="F",VLOOKUP(G239,Barem!$G$2:$H$11,2,1),VLOOKUP(G239,Barem!$G$12:$H$21,2,1)))</f>
        <v>3</v>
      </c>
      <c r="J239" s="75">
        <v>4.5</v>
      </c>
      <c r="K239" s="82" t="str">
        <f>VLOOKUP($C239,Barem!$L$2:$R$13,7,0)</f>
        <v>P</v>
      </c>
      <c r="L239" s="17">
        <f t="shared" ref="L239:N254" si="67">IF($K239=L$1,50%,25%)</f>
        <v>0.25</v>
      </c>
      <c r="M239" s="17">
        <f t="shared" si="67"/>
        <v>0.25</v>
      </c>
      <c r="N239" s="17">
        <f t="shared" si="67"/>
        <v>0.5</v>
      </c>
      <c r="O239" s="81">
        <f t="shared" si="64"/>
        <v>0</v>
      </c>
      <c r="P239" s="36">
        <f>IF(D239&gt;21,VLOOKUP(D239,Barem!$T$1:$U$39,2,1),0)</f>
        <v>0</v>
      </c>
      <c r="Q239" s="32">
        <f>IF(D239&lt;1.609,0,IF(B239="F",VLOOKUP(G239,Barem!$X$2:$Z$13,2,1),VLOOKUP(G239,Barem!$X$14:$Z$25,2,1)))</f>
        <v>0</v>
      </c>
      <c r="R239" s="36">
        <f>VLOOKUP(A239,Participanti!A:C,3,0)</f>
        <v>0</v>
      </c>
      <c r="S239" s="29">
        <f t="shared" si="65"/>
        <v>3.875</v>
      </c>
      <c r="T239" s="79">
        <v>44028</v>
      </c>
      <c r="U239" s="16">
        <f>COUNTIFS(A:A,A239,C:C,C239)</f>
        <v>1</v>
      </c>
      <c r="V239" s="34">
        <f t="shared" si="66"/>
        <v>0.25798934753661784</v>
      </c>
      <c r="W239" s="3" t="str">
        <f>VLOOKUP(A239,Data_echipe!A:O,15,0)</f>
        <v xml:space="preserve"> Let it run</v>
      </c>
      <c r="X239" s="3">
        <f t="shared" si="58"/>
        <v>1</v>
      </c>
    </row>
    <row r="240" spans="1:24">
      <c r="A240" s="74" t="s">
        <v>47</v>
      </c>
      <c r="B240" s="24" t="str">
        <f>VLOOKUP(A240,Participanti!A:B,2,0)</f>
        <v>M</v>
      </c>
      <c r="C240" s="75">
        <v>7</v>
      </c>
      <c r="D240" s="76">
        <v>23.03</v>
      </c>
      <c r="E240" s="77">
        <v>8.6458333333333345E-2</v>
      </c>
      <c r="F240" s="78">
        <v>53</v>
      </c>
      <c r="G240" s="20">
        <f t="shared" si="63"/>
        <v>3.7541612389636711E-3</v>
      </c>
      <c r="H240" s="16">
        <f>IF(B240="F",IF(G240&gt;Barem!$AC$2,0,IF(B240="F",VLOOKUP(D240,Barem!$B$2:$C$11,2,1))),IF(G240&gt;Barem!$AC$3,0,VLOOKUP(D240,Barem!$B$12:$C$21,2,1)))</f>
        <v>5</v>
      </c>
      <c r="I240" s="16">
        <f>IF(H240=0,0,IF(B240="F",VLOOKUP(G240,Barem!$G$2:$H$11,2,1),VLOOKUP(G240,Barem!$G$12:$H$21,2,1)))</f>
        <v>2</v>
      </c>
      <c r="J240" s="75">
        <v>4.5</v>
      </c>
      <c r="K240" s="82" t="str">
        <f>VLOOKUP($C240,Barem!$L$2:$R$13,7,0)</f>
        <v>P</v>
      </c>
      <c r="L240" s="17">
        <f t="shared" si="67"/>
        <v>0.25</v>
      </c>
      <c r="M240" s="17">
        <f t="shared" si="67"/>
        <v>0.25</v>
      </c>
      <c r="N240" s="17">
        <f t="shared" si="67"/>
        <v>0.5</v>
      </c>
      <c r="O240" s="81">
        <f t="shared" si="64"/>
        <v>0</v>
      </c>
      <c r="P240" s="36">
        <f>IF(D240&gt;21,VLOOKUP(D240,Barem!$T$1:$U$39,2,1),0)</f>
        <v>0</v>
      </c>
      <c r="Q240" s="32">
        <f>IF(D240&lt;1.609,0,IF(B240="F",VLOOKUP(G240,Barem!$X$2:$Z$13,2,1),VLOOKUP(G240,Barem!$X$14:$Z$25,2,1)))</f>
        <v>0</v>
      </c>
      <c r="R240" s="36">
        <f>VLOOKUP(A240,Participanti!A:C,3,0)</f>
        <v>0</v>
      </c>
      <c r="S240" s="29">
        <f t="shared" si="65"/>
        <v>4</v>
      </c>
      <c r="T240" s="79">
        <v>44026</v>
      </c>
      <c r="U240" s="16">
        <f>COUNTIFS(A:A,A240,C:C,C240)</f>
        <v>1</v>
      </c>
      <c r="V240" s="34">
        <f t="shared" si="66"/>
        <v>0.17368649587494572</v>
      </c>
      <c r="W240" s="3" t="str">
        <f>VLOOKUP(A240,Data_echipe!A:O,15,0)</f>
        <v>X Æ A-12</v>
      </c>
      <c r="X240" s="3">
        <f t="shared" si="58"/>
        <v>1</v>
      </c>
    </row>
    <row r="241" spans="1:24">
      <c r="A241" s="74" t="s">
        <v>59</v>
      </c>
      <c r="B241" s="24" t="str">
        <f>VLOOKUP(A241,Participanti!A:B,2,0)</f>
        <v>M</v>
      </c>
      <c r="C241" s="75">
        <v>7</v>
      </c>
      <c r="D241" s="76">
        <v>25.51</v>
      </c>
      <c r="E241" s="77">
        <v>0.10349537037037038</v>
      </c>
      <c r="F241" s="78">
        <v>159</v>
      </c>
      <c r="G241" s="20">
        <f t="shared" ref="G241" si="68">E241/D241</f>
        <v>4.057050974926318E-3</v>
      </c>
      <c r="H241" s="16">
        <f>IF(B241="F",IF(G241&gt;Barem!$AC$2,0,IF(B241="F",VLOOKUP(D241,Barem!$B$2:$C$11,2,1))),IF(G241&gt;Barem!$AC$3,0,VLOOKUP(D241,Barem!$B$12:$C$21,2,1)))</f>
        <v>5</v>
      </c>
      <c r="I241" s="16">
        <f>IF(H241=0,0,IF(B241="F",VLOOKUP(G241,Barem!$G$2:$H$11,2,1),VLOOKUP(G241,Barem!$G$12:$H$21,2,1)))</f>
        <v>1.5</v>
      </c>
      <c r="J241" s="75">
        <v>2.5</v>
      </c>
      <c r="K241" s="82" t="str">
        <f>VLOOKUP($C241,Barem!$L$2:$R$13,7,0)</f>
        <v>P</v>
      </c>
      <c r="L241" s="17">
        <f t="shared" si="67"/>
        <v>0.25</v>
      </c>
      <c r="M241" s="17">
        <f t="shared" si="67"/>
        <v>0.25</v>
      </c>
      <c r="N241" s="17">
        <f t="shared" si="67"/>
        <v>0.5</v>
      </c>
      <c r="O241" s="81">
        <f t="shared" ref="O241" si="69">IF(F241&lt;-49,F241/1500,IF(F241&gt;99,F241/1500,0))</f>
        <v>0.106</v>
      </c>
      <c r="P241" s="36">
        <f>IF(D241&gt;21,VLOOKUP(D241,Barem!$T$1:$U$39,2,1),0)</f>
        <v>0</v>
      </c>
      <c r="Q241" s="32">
        <f>IF(D241&lt;1.609,0,IF(B241="F",VLOOKUP(G241,Barem!$X$2:$Z$13,2,1),VLOOKUP(G241,Barem!$X$14:$Z$25,2,1)))</f>
        <v>0</v>
      </c>
      <c r="R241" s="36">
        <f>VLOOKUP(A241,Participanti!A:C,3,0)</f>
        <v>0</v>
      </c>
      <c r="S241" s="29">
        <f t="shared" ref="S241" si="70">H241*L241+I241*M241+J241*N241+O241+P241+Q241+R241</f>
        <v>2.9809999999999999</v>
      </c>
      <c r="T241" s="79">
        <v>44031</v>
      </c>
      <c r="U241" s="16">
        <f>COUNTIFS(A:A,A241,C:C,C241)</f>
        <v>1</v>
      </c>
      <c r="V241" s="34">
        <f t="shared" ref="V241" si="71">S241/D241</f>
        <v>0.11685613484907878</v>
      </c>
      <c r="W241" s="3" t="str">
        <f>VLOOKUP(A241,Data_echipe!A:O,15,0)</f>
        <v>Tenchei</v>
      </c>
      <c r="X241" s="3">
        <f t="shared" si="58"/>
        <v>1</v>
      </c>
    </row>
    <row r="242" spans="1:24">
      <c r="A242" s="74" t="s">
        <v>203</v>
      </c>
      <c r="B242" s="24" t="str">
        <f>VLOOKUP(A242,Participanti!A:B,2,0)</f>
        <v>M</v>
      </c>
      <c r="C242" s="75">
        <v>7</v>
      </c>
      <c r="D242" s="76">
        <v>15</v>
      </c>
      <c r="E242" s="77">
        <v>4.8506944444444443E-2</v>
      </c>
      <c r="F242" s="78">
        <v>27</v>
      </c>
      <c r="G242" s="20">
        <f t="shared" si="63"/>
        <v>3.2337962962962962E-3</v>
      </c>
      <c r="H242" s="16">
        <f>IF(B242="F",IF(G242&gt;Barem!$AC$2,0,IF(B242="F",VLOOKUP(D242,Barem!$B$2:$C$11,2,1))),IF(G242&gt;Barem!$AC$3,0,VLOOKUP(D242,Barem!$B$12:$C$21,2,1)))</f>
        <v>3.5</v>
      </c>
      <c r="I242" s="16">
        <f>IF(H242=0,0,IF(B242="F",VLOOKUP(G242,Barem!$G$2:$H$11,2,1),VLOOKUP(G242,Barem!$G$12:$H$21,2,1)))</f>
        <v>3.5</v>
      </c>
      <c r="J242" s="75">
        <v>2.5</v>
      </c>
      <c r="K242" s="83" t="s">
        <v>183</v>
      </c>
      <c r="L242" s="17">
        <f t="shared" si="67"/>
        <v>0.25</v>
      </c>
      <c r="M242" s="17">
        <f t="shared" si="67"/>
        <v>0.5</v>
      </c>
      <c r="N242" s="17">
        <f t="shared" si="67"/>
        <v>0.25</v>
      </c>
      <c r="O242" s="81">
        <f t="shared" si="64"/>
        <v>0</v>
      </c>
      <c r="P242" s="36">
        <f>IF(D242&gt;21,VLOOKUP(D242,Barem!$T$1:$U$39,2,1),0)</f>
        <v>0</v>
      </c>
      <c r="Q242" s="32">
        <f>IF(D242&lt;1.609,0,IF(B242="F",VLOOKUP(G242,Barem!$X$2:$Z$13,2,1),VLOOKUP(G242,Barem!$X$14:$Z$25,2,1)))</f>
        <v>0</v>
      </c>
      <c r="R242" s="36">
        <f>VLOOKUP(A242,Participanti!A:C,3,0)</f>
        <v>0</v>
      </c>
      <c r="S242" s="29">
        <f t="shared" si="65"/>
        <v>3.25</v>
      </c>
      <c r="T242" s="79">
        <v>44029</v>
      </c>
      <c r="U242" s="16">
        <f>COUNTIFS(A:A,A242,C:C,C242)</f>
        <v>1</v>
      </c>
      <c r="V242" s="34">
        <f t="shared" ref="V242:V273" si="72">S242/D242</f>
        <v>0.21666666666666667</v>
      </c>
      <c r="W242" s="3" t="str">
        <f>VLOOKUP(A242,Data_echipe!A:O,15,0)</f>
        <v>Tenchei</v>
      </c>
      <c r="X242" s="3">
        <f t="shared" si="58"/>
        <v>1</v>
      </c>
    </row>
    <row r="243" spans="1:24">
      <c r="A243" s="74" t="s">
        <v>57</v>
      </c>
      <c r="B243" s="24" t="str">
        <f>VLOOKUP(A243,Participanti!A:B,2,0)</f>
        <v>M</v>
      </c>
      <c r="C243" s="75">
        <v>7</v>
      </c>
      <c r="D243" s="76">
        <v>21.11</v>
      </c>
      <c r="E243" s="77">
        <v>7.0219907407407411E-2</v>
      </c>
      <c r="F243" s="78">
        <v>295</v>
      </c>
      <c r="G243" s="20">
        <f t="shared" si="63"/>
        <v>3.3263812130463009E-3</v>
      </c>
      <c r="H243" s="16">
        <f>IF(B243="F",IF(G243&gt;Barem!$AC$2,0,IF(B243="F",VLOOKUP(D243,Barem!$B$2:$C$11,2,1))),IF(G243&gt;Barem!$AC$3,0,VLOOKUP(D243,Barem!$B$12:$C$21,2,1)))</f>
        <v>5</v>
      </c>
      <c r="I243" s="16">
        <f>IF(H243=0,0,IF(B243="F",VLOOKUP(G243,Barem!$G$2:$H$11,2,1),VLOOKUP(G243,Barem!$G$12:$H$21,2,1)))</f>
        <v>3</v>
      </c>
      <c r="J243" s="75">
        <v>4.5</v>
      </c>
      <c r="K243" s="82" t="str">
        <f>VLOOKUP($C243,Barem!$L$2:$R$13,7,0)</f>
        <v>P</v>
      </c>
      <c r="L243" s="17">
        <f t="shared" si="67"/>
        <v>0.25</v>
      </c>
      <c r="M243" s="17">
        <f t="shared" si="67"/>
        <v>0.25</v>
      </c>
      <c r="N243" s="17">
        <f t="shared" si="67"/>
        <v>0.5</v>
      </c>
      <c r="O243" s="81">
        <f t="shared" si="64"/>
        <v>0.19666666666666666</v>
      </c>
      <c r="P243" s="36">
        <f>IF(D243&gt;21,VLOOKUP(D243,Barem!$T$1:$U$39,2,1),0)</f>
        <v>0</v>
      </c>
      <c r="Q243" s="32">
        <f>IF(D243&lt;1.609,0,IF(B243="F",VLOOKUP(G243,Barem!$X$2:$Z$13,2,1),VLOOKUP(G243,Barem!$X$14:$Z$25,2,1)))</f>
        <v>0</v>
      </c>
      <c r="R243" s="36">
        <f>VLOOKUP(A243,Participanti!A:C,3,0)</f>
        <v>0</v>
      </c>
      <c r="S243" s="29">
        <f t="shared" ref="S243:S273" si="73">H243*L243+I243*M243+J243*N243+O243+P243+Q243+R243</f>
        <v>4.4466666666666663</v>
      </c>
      <c r="T243" s="79">
        <v>44030</v>
      </c>
      <c r="U243" s="16">
        <f>COUNTIFS(A:A,A243,C:C,C243)</f>
        <v>1</v>
      </c>
      <c r="V243" s="34">
        <f t="shared" si="72"/>
        <v>0.21064266540344229</v>
      </c>
      <c r="W243" s="3" t="str">
        <f>VLOOKUP(A243,Data_echipe!A:O,15,0)</f>
        <v>Tenchei</v>
      </c>
      <c r="X243" s="3">
        <f t="shared" si="58"/>
        <v>1</v>
      </c>
    </row>
    <row r="244" spans="1:24">
      <c r="A244" s="74" t="s">
        <v>55</v>
      </c>
      <c r="B244" s="24" t="str">
        <f>VLOOKUP(A244,Participanti!A:B,2,0)</f>
        <v>M</v>
      </c>
      <c r="C244" s="75">
        <v>7</v>
      </c>
      <c r="D244" s="76">
        <v>12.01</v>
      </c>
      <c r="E244" s="77">
        <v>6.1504629629629631E-2</v>
      </c>
      <c r="F244" s="78">
        <v>525</v>
      </c>
      <c r="G244" s="20">
        <f t="shared" si="63"/>
        <v>5.1211182039658312E-3</v>
      </c>
      <c r="H244" s="16">
        <f>IF(B244="F",IF(G244&gt;Barem!$AC$2,0,IF(B244="F",VLOOKUP(D244,Barem!$B$2:$C$11,2,1))),IF(G244&gt;Barem!$AC$3,0,VLOOKUP(D244,Barem!$B$12:$C$21,2,1)))</f>
        <v>3</v>
      </c>
      <c r="I244" s="16">
        <f>IF(H244=0,0,IF(B244="F",VLOOKUP(G244,Barem!$G$2:$H$11,2,1),VLOOKUP(G244,Barem!$G$12:$H$21,2,1)))</f>
        <v>1</v>
      </c>
      <c r="J244" s="75">
        <v>4.5</v>
      </c>
      <c r="K244" s="82" t="str">
        <f>VLOOKUP($C244,Barem!$L$2:$R$13,7,0)</f>
        <v>P</v>
      </c>
      <c r="L244" s="17">
        <f t="shared" si="67"/>
        <v>0.25</v>
      </c>
      <c r="M244" s="17">
        <f t="shared" si="67"/>
        <v>0.25</v>
      </c>
      <c r="N244" s="17">
        <f t="shared" si="67"/>
        <v>0.5</v>
      </c>
      <c r="O244" s="81">
        <f t="shared" si="64"/>
        <v>0.35</v>
      </c>
      <c r="P244" s="36">
        <f>IF(D244&gt;21,VLOOKUP(D244,Barem!$T$1:$U$39,2,1),0)</f>
        <v>0</v>
      </c>
      <c r="Q244" s="32">
        <f>IF(D244&lt;1.609,0,IF(B244="F",VLOOKUP(G244,Barem!$X$2:$Z$13,2,1),VLOOKUP(G244,Barem!$X$14:$Z$25,2,1)))</f>
        <v>0</v>
      </c>
      <c r="R244" s="36">
        <f>VLOOKUP(A244,Participanti!A:C,3,0)</f>
        <v>0</v>
      </c>
      <c r="S244" s="29">
        <f t="shared" si="73"/>
        <v>3.6</v>
      </c>
      <c r="T244" s="79">
        <v>44029</v>
      </c>
      <c r="U244" s="16">
        <f>COUNTIFS(A:A,A244,C:C,C244)</f>
        <v>1</v>
      </c>
      <c r="V244" s="34">
        <f t="shared" si="72"/>
        <v>0.2997502081598668</v>
      </c>
      <c r="W244" s="3" t="str">
        <f>VLOOKUP(A244,Data_echipe!A:O,15,0)</f>
        <v>Serioranistii</v>
      </c>
      <c r="X244" s="3">
        <f t="shared" si="58"/>
        <v>1</v>
      </c>
    </row>
    <row r="245" spans="1:24">
      <c r="A245" s="74" t="s">
        <v>204</v>
      </c>
      <c r="B245" s="24" t="str">
        <f>VLOOKUP(A245,Participanti!A:B,2,0)</f>
        <v>M</v>
      </c>
      <c r="C245" s="75">
        <v>7</v>
      </c>
      <c r="D245" s="76">
        <v>30.01</v>
      </c>
      <c r="E245" s="77">
        <v>8.2928240740740733E-2</v>
      </c>
      <c r="F245" s="78">
        <v>50</v>
      </c>
      <c r="G245" s="20">
        <f t="shared" si="63"/>
        <v>2.763353573500191E-3</v>
      </c>
      <c r="H245" s="16">
        <f>IF(B245="F",IF(G245&gt;Barem!$AC$2,0,IF(B245="F",VLOOKUP(D245,Barem!$B$2:$C$11,2,1))),IF(G245&gt;Barem!$AC$3,0,VLOOKUP(D245,Barem!$B$12:$C$21,2,1)))</f>
        <v>5</v>
      </c>
      <c r="I245" s="16">
        <f>IF(H245=0,0,IF(B245="F",VLOOKUP(G245,Barem!$G$2:$H$11,2,1),VLOOKUP(G245,Barem!$G$12:$H$21,2,1)))</f>
        <v>5</v>
      </c>
      <c r="J245" s="75">
        <v>3.5</v>
      </c>
      <c r="K245" s="83" t="s">
        <v>183</v>
      </c>
      <c r="L245" s="17">
        <f t="shared" si="67"/>
        <v>0.25</v>
      </c>
      <c r="M245" s="17">
        <f t="shared" si="67"/>
        <v>0.5</v>
      </c>
      <c r="N245" s="17">
        <f t="shared" si="67"/>
        <v>0.25</v>
      </c>
      <c r="O245" s="81">
        <f t="shared" si="64"/>
        <v>0</v>
      </c>
      <c r="P245" s="36">
        <f>IF(D245&gt;21,VLOOKUP(D245,Barem!$T$1:$U$39,2,1),0)</f>
        <v>0.1</v>
      </c>
      <c r="Q245" s="32">
        <f>IF(D245&lt;1.609,0,IF(B245="F",VLOOKUP(G245,Barem!$X$2:$Z$13,2,1),VLOOKUP(G245,Barem!$X$14:$Z$25,2,1)))</f>
        <v>0.1</v>
      </c>
      <c r="R245" s="36">
        <f>VLOOKUP(A245,Participanti!A:C,3,0)</f>
        <v>0</v>
      </c>
      <c r="S245" s="29">
        <f t="shared" si="73"/>
        <v>4.8249999999999993</v>
      </c>
      <c r="T245" s="79">
        <v>44026</v>
      </c>
      <c r="U245" s="16">
        <f>COUNTIFS(A:A,A245,C:C,C245)</f>
        <v>1</v>
      </c>
      <c r="V245" s="34">
        <f t="shared" si="72"/>
        <v>0.16077974008663776</v>
      </c>
      <c r="W245" s="3" t="str">
        <f>VLOOKUP(A245,Data_echipe!A:O,15,0)</f>
        <v>Unicornii</v>
      </c>
      <c r="X245" s="3">
        <f t="shared" si="58"/>
        <v>1</v>
      </c>
    </row>
    <row r="246" spans="1:24">
      <c r="A246" s="74" t="s">
        <v>202</v>
      </c>
      <c r="B246" s="24" t="str">
        <f>VLOOKUP(A246,Participanti!A:B,2,0)</f>
        <v>M</v>
      </c>
      <c r="C246" s="75">
        <v>7</v>
      </c>
      <c r="D246" s="76">
        <v>33.479999999999997</v>
      </c>
      <c r="E246" s="77">
        <v>0.34311342592592592</v>
      </c>
      <c r="F246" s="78">
        <v>1438</v>
      </c>
      <c r="G246" s="20">
        <f t="shared" ref="G246" si="74">E246/D246</f>
        <v>1.0248310212841278E-2</v>
      </c>
      <c r="H246" s="16">
        <f>IF(B246="F",IF(G246&gt;Barem!$AC$2,0,IF(B246="F",VLOOKUP(D246,Barem!$B$2:$C$11,2,1))),IF(G246&gt;Barem!$AC$3,0,VLOOKUP(D246,Barem!$B$12:$C$21,2,1)))</f>
        <v>0</v>
      </c>
      <c r="I246" s="16">
        <f>IF(H246=0,0,IF(B246="F",VLOOKUP(G246,Barem!$G$2:$H$11,2,1),VLOOKUP(G246,Barem!$G$12:$H$21,2,1)))</f>
        <v>0</v>
      </c>
      <c r="J246" s="75">
        <v>4</v>
      </c>
      <c r="K246" s="82" t="str">
        <f>VLOOKUP($C246,Barem!$L$2:$R$13,7,0)</f>
        <v>P</v>
      </c>
      <c r="L246" s="17">
        <f t="shared" si="67"/>
        <v>0.25</v>
      </c>
      <c r="M246" s="17">
        <f t="shared" si="67"/>
        <v>0.25</v>
      </c>
      <c r="N246" s="17">
        <f t="shared" si="67"/>
        <v>0.5</v>
      </c>
      <c r="O246" s="81">
        <f t="shared" ref="O246" si="75">IF(F246&lt;-49,F246/1500,IF(F246&gt;99,F246/1500,0))</f>
        <v>0.95866666666666667</v>
      </c>
      <c r="P246" s="36">
        <f>IF(D246&gt;21,VLOOKUP(D246,Barem!$T$1:$U$39,2,1),0)</f>
        <v>0.2</v>
      </c>
      <c r="Q246" s="32">
        <f>IF(D246&lt;1.609,0,IF(B246="F",VLOOKUP(G246,Barem!$X$2:$Z$13,2,1),VLOOKUP(G246,Barem!$X$14:$Z$25,2,1)))</f>
        <v>0</v>
      </c>
      <c r="R246" s="36">
        <f>VLOOKUP(A246,Participanti!A:C,3,0)</f>
        <v>0</v>
      </c>
      <c r="S246" s="29">
        <f t="shared" ref="S246" si="76">H246*L246+I246*M246+J246*N246+O246+P246+Q246+R246</f>
        <v>3.158666666666667</v>
      </c>
      <c r="T246" s="79">
        <v>44026</v>
      </c>
      <c r="U246" s="16">
        <f>COUNTIFS(A:A,A246,C:C,C246)</f>
        <v>1</v>
      </c>
      <c r="V246" s="34">
        <f t="shared" ref="V246" si="77">S246/D246</f>
        <v>9.4344882516925549E-2</v>
      </c>
      <c r="W246" s="3" t="str">
        <f>VLOOKUP(A246,Data_echipe!A:O,15,0)</f>
        <v>X Æ A-12</v>
      </c>
      <c r="X246" s="3">
        <f t="shared" si="58"/>
        <v>0</v>
      </c>
    </row>
    <row r="247" spans="1:24">
      <c r="A247" s="74" t="s">
        <v>65</v>
      </c>
      <c r="B247" s="24" t="str">
        <f>VLOOKUP(A247,Participanti!A:B,2,0)</f>
        <v>M</v>
      </c>
      <c r="C247" s="75">
        <v>7</v>
      </c>
      <c r="D247" s="76">
        <v>21.13</v>
      </c>
      <c r="E247" s="77">
        <v>7.6655092592592594E-2</v>
      </c>
      <c r="F247" s="78">
        <v>43</v>
      </c>
      <c r="G247" s="20">
        <f t="shared" si="63"/>
        <v>3.6277847890483954E-3</v>
      </c>
      <c r="H247" s="16">
        <f>IF(B247="F",IF(G247&gt;Barem!$AC$2,0,IF(B247="F",VLOOKUP(D247,Barem!$B$2:$C$11,2,1))),IF(G247&gt;Barem!$AC$3,0,VLOOKUP(D247,Barem!$B$12:$C$21,2,1)))</f>
        <v>5</v>
      </c>
      <c r="I247" s="16">
        <f>IF(H247=0,0,IF(B247="F",VLOOKUP(G247,Barem!$G$2:$H$11,2,1),VLOOKUP(G247,Barem!$G$12:$H$21,2,1)))</f>
        <v>2.5</v>
      </c>
      <c r="J247" s="75">
        <v>2</v>
      </c>
      <c r="K247" s="82" t="str">
        <f>VLOOKUP($C247,Barem!$L$2:$R$13,7,0)</f>
        <v>P</v>
      </c>
      <c r="L247" s="17">
        <f t="shared" si="67"/>
        <v>0.25</v>
      </c>
      <c r="M247" s="17">
        <f t="shared" si="67"/>
        <v>0.25</v>
      </c>
      <c r="N247" s="17">
        <f t="shared" si="67"/>
        <v>0.5</v>
      </c>
      <c r="O247" s="81">
        <f t="shared" si="64"/>
        <v>0</v>
      </c>
      <c r="P247" s="36">
        <f>IF(D247&gt;21,VLOOKUP(D247,Barem!$T$1:$U$39,2,1),0)</f>
        <v>0</v>
      </c>
      <c r="Q247" s="32">
        <f>IF(D247&lt;1.609,0,IF(B247="F",VLOOKUP(G247,Barem!$X$2:$Z$13,2,1),VLOOKUP(G247,Barem!$X$14:$Z$25,2,1)))</f>
        <v>0</v>
      </c>
      <c r="R247" s="36">
        <f>VLOOKUP(A247,Participanti!A:C,3,0)</f>
        <v>0</v>
      </c>
      <c r="S247" s="29">
        <f t="shared" si="73"/>
        <v>2.875</v>
      </c>
      <c r="T247" s="79">
        <v>44030</v>
      </c>
      <c r="U247" s="16">
        <f>COUNTIFS(A:A,A247,C:C,C247)</f>
        <v>1</v>
      </c>
      <c r="V247" s="34">
        <f t="shared" si="72"/>
        <v>0.13606247042120209</v>
      </c>
      <c r="W247" s="3" t="str">
        <f>VLOOKUP(A247,Data_echipe!A:O,15,0)</f>
        <v>X Æ A-12</v>
      </c>
      <c r="X247" s="3">
        <f t="shared" si="58"/>
        <v>1</v>
      </c>
    </row>
    <row r="248" spans="1:24">
      <c r="A248" s="74" t="s">
        <v>83</v>
      </c>
      <c r="B248" s="24" t="str">
        <f>VLOOKUP(A248,Participanti!A:B,2,0)</f>
        <v>F</v>
      </c>
      <c r="C248" s="75">
        <v>7</v>
      </c>
      <c r="D248" s="76">
        <v>8.1300000000000008</v>
      </c>
      <c r="E248" s="77">
        <v>3.9456018518518522E-2</v>
      </c>
      <c r="F248" s="78">
        <v>15</v>
      </c>
      <c r="G248" s="20">
        <f t="shared" si="63"/>
        <v>4.8531388091658696E-3</v>
      </c>
      <c r="H248" s="16">
        <f>IF(B248="F",IF(G248&gt;Barem!$AC$2,0,IF(B248="F",VLOOKUP(D248,Barem!$B$2:$C$11,2,1))),IF(G248&gt;Barem!$AC$3,0,VLOOKUP(D248,Barem!$B$12:$C$21,2,1)))</f>
        <v>2</v>
      </c>
      <c r="I248" s="16">
        <f>IF(H248=0,0,IF(B248="F",VLOOKUP(G248,Barem!$G$2:$H$11,2,1),VLOOKUP(G248,Barem!$G$12:$H$21,2,1)))</f>
        <v>1</v>
      </c>
      <c r="J248" s="75">
        <v>2.5</v>
      </c>
      <c r="K248" s="82" t="str">
        <f>VLOOKUP($C248,Barem!$L$2:$R$13,7,0)</f>
        <v>P</v>
      </c>
      <c r="L248" s="17">
        <f t="shared" si="67"/>
        <v>0.25</v>
      </c>
      <c r="M248" s="17">
        <f t="shared" si="67"/>
        <v>0.25</v>
      </c>
      <c r="N248" s="17">
        <f t="shared" si="67"/>
        <v>0.5</v>
      </c>
      <c r="O248" s="81">
        <f t="shared" si="64"/>
        <v>0</v>
      </c>
      <c r="P248" s="36">
        <f>IF(D248&gt;21,VLOOKUP(D248,Barem!$T$1:$U$39,2,1),0)</f>
        <v>0</v>
      </c>
      <c r="Q248" s="32">
        <f>IF(D248&lt;1.609,0,IF(B248="F",VLOOKUP(G248,Barem!$X$2:$Z$13,2,1),VLOOKUP(G248,Barem!$X$14:$Z$25,2,1)))</f>
        <v>0</v>
      </c>
      <c r="R248" s="36">
        <f>VLOOKUP(A248,Participanti!A:C,3,0)</f>
        <v>0.75</v>
      </c>
      <c r="S248" s="29">
        <f t="shared" si="73"/>
        <v>2.75</v>
      </c>
      <c r="T248" s="79">
        <v>44025</v>
      </c>
      <c r="U248" s="16">
        <f>COUNTIFS(A:A,A248,C:C,C248)</f>
        <v>1</v>
      </c>
      <c r="V248" s="34">
        <f t="shared" si="72"/>
        <v>0.33825338253382531</v>
      </c>
      <c r="W248" s="3" t="str">
        <f>VLOOKUP(A248,Data_echipe!A:O,15,0)</f>
        <v>Tenchei</v>
      </c>
      <c r="X248" s="3">
        <f t="shared" si="58"/>
        <v>1</v>
      </c>
    </row>
    <row r="249" spans="1:24" ht="12.75" thickBot="1">
      <c r="A249" s="94" t="s">
        <v>170</v>
      </c>
      <c r="B249" s="95" t="str">
        <f>VLOOKUP(A249,Participanti!A:B,2,0)</f>
        <v>M</v>
      </c>
      <c r="C249" s="96">
        <v>7</v>
      </c>
      <c r="D249" s="97">
        <v>6.79</v>
      </c>
      <c r="E249" s="98">
        <v>2.2893518518518521E-2</v>
      </c>
      <c r="F249" s="99">
        <v>3</v>
      </c>
      <c r="G249" s="100">
        <f t="shared" si="63"/>
        <v>3.3716522118583977E-3</v>
      </c>
      <c r="H249" s="101">
        <f>IF(B249="F",IF(G249&gt;Barem!$AC$2,0,IF(B249="F",VLOOKUP(D249,Barem!$B$2:$C$11,2,1))),IF(G249&gt;Barem!$AC$3,0,VLOOKUP(D249,Barem!$B$12:$C$21,2,1)))</f>
        <v>1.5</v>
      </c>
      <c r="I249" s="101">
        <f>IF(H249=0,0,IF(B249="F",VLOOKUP(G249,Barem!$G$2:$H$11,2,1),VLOOKUP(G249,Barem!$G$12:$H$21,2,1)))</f>
        <v>3</v>
      </c>
      <c r="J249" s="96">
        <v>1</v>
      </c>
      <c r="K249" s="102" t="str">
        <f>VLOOKUP($C249,Barem!$L$2:$R$13,7,0)</f>
        <v>P</v>
      </c>
      <c r="L249" s="103">
        <f t="shared" si="67"/>
        <v>0.25</v>
      </c>
      <c r="M249" s="103">
        <f t="shared" si="67"/>
        <v>0.25</v>
      </c>
      <c r="N249" s="103">
        <f t="shared" si="67"/>
        <v>0.5</v>
      </c>
      <c r="O249" s="104">
        <f t="shared" si="64"/>
        <v>0</v>
      </c>
      <c r="P249" s="105">
        <f>IF(D249&gt;21,VLOOKUP(D249,Barem!$T$1:$U$39,2,1),0)</f>
        <v>0</v>
      </c>
      <c r="Q249" s="106">
        <f>IF(D249&lt;1.609,0,IF(B249="F",VLOOKUP(G249,Barem!$X$2:$Z$13,2,1),VLOOKUP(G249,Barem!$X$14:$Z$25,2,1)))</f>
        <v>0</v>
      </c>
      <c r="R249" s="105">
        <f>VLOOKUP(A249,Participanti!A:C,3,0)</f>
        <v>0</v>
      </c>
      <c r="S249" s="107">
        <f t="shared" si="73"/>
        <v>1.625</v>
      </c>
      <c r="T249" s="108">
        <v>44027</v>
      </c>
      <c r="U249" s="101">
        <f>COUNTIFS(A:A,A249,C:C,C249)</f>
        <v>1</v>
      </c>
      <c r="V249" s="109">
        <f t="shared" si="72"/>
        <v>0.23932253313696614</v>
      </c>
      <c r="W249" s="110" t="str">
        <f>VLOOKUP(A249,Data_echipe!A:O,15,0)</f>
        <v>Tenchei</v>
      </c>
      <c r="X249" s="3">
        <f t="shared" si="58"/>
        <v>1</v>
      </c>
    </row>
    <row r="250" spans="1:24">
      <c r="A250" s="74" t="s">
        <v>6</v>
      </c>
      <c r="B250" s="24" t="str">
        <f>VLOOKUP(A250,Participanti!A:B,2,0)</f>
        <v>F</v>
      </c>
      <c r="C250" s="75">
        <v>8</v>
      </c>
      <c r="D250" s="76">
        <v>21.31</v>
      </c>
      <c r="E250" s="77">
        <v>9.4803240740740743E-2</v>
      </c>
      <c r="F250" s="78">
        <v>780</v>
      </c>
      <c r="G250" s="20">
        <f t="shared" si="63"/>
        <v>4.4487677494481816E-3</v>
      </c>
      <c r="H250" s="16">
        <f>IF(B250="F",IF(G250&gt;Barem!$AC$2,0,IF(B250="F",VLOOKUP(D250,Barem!$B$2:$C$11,2,1))),IF(G250&gt;Barem!$AC$3,0,VLOOKUP(D250,Barem!$B$12:$C$21,2,1)))</f>
        <v>5</v>
      </c>
      <c r="I250" s="16">
        <f>IF(H250=0,0,IF(B250="F",VLOOKUP(G250,Barem!$G$2:$H$11,2,1),VLOOKUP(G250,Barem!$G$12:$H$21,2,1)))</f>
        <v>1.5</v>
      </c>
      <c r="J250" s="75">
        <v>4</v>
      </c>
      <c r="K250" s="83" t="s">
        <v>184</v>
      </c>
      <c r="L250" s="17">
        <f t="shared" si="67"/>
        <v>0.25</v>
      </c>
      <c r="M250" s="17">
        <f t="shared" si="67"/>
        <v>0.25</v>
      </c>
      <c r="N250" s="17">
        <f t="shared" si="67"/>
        <v>0.5</v>
      </c>
      <c r="O250" s="81">
        <f t="shared" si="64"/>
        <v>0.52</v>
      </c>
      <c r="P250" s="36">
        <f>IF(D250&gt;21,VLOOKUP(D250,Barem!$T$1:$U$39,2,1),0)</f>
        <v>0</v>
      </c>
      <c r="Q250" s="32">
        <f>IF(D250&lt;1.609,0,IF(B250="F",VLOOKUP(G250,Barem!$X$2:$Z$13,2,1),VLOOKUP(G250,Barem!$X$14:$Z$25,2,1)))</f>
        <v>0</v>
      </c>
      <c r="R250" s="36">
        <f>VLOOKUP(A250,Participanti!A:C,3,0)</f>
        <v>0</v>
      </c>
      <c r="S250" s="29">
        <f t="shared" si="73"/>
        <v>4.1449999999999996</v>
      </c>
      <c r="T250" s="79">
        <v>44037</v>
      </c>
      <c r="U250" s="16">
        <f>COUNTIFS(A:A,A250,C:C,C250)</f>
        <v>1</v>
      </c>
      <c r="V250" s="34">
        <f t="shared" si="72"/>
        <v>0.19450961989676208</v>
      </c>
      <c r="W250" s="3" t="str">
        <f>VLOOKUP(A250,Data_echipe!A:O,15,0)</f>
        <v>Unicornii</v>
      </c>
      <c r="X250" s="3">
        <f t="shared" si="58"/>
        <v>1</v>
      </c>
    </row>
    <row r="251" spans="1:24">
      <c r="A251" s="74" t="s">
        <v>82</v>
      </c>
      <c r="B251" s="24" t="str">
        <f>VLOOKUP(A251,Participanti!A:B,2,0)</f>
        <v>M</v>
      </c>
      <c r="C251" s="75">
        <v>8</v>
      </c>
      <c r="D251" s="76">
        <v>36.630000000000003</v>
      </c>
      <c r="E251" s="77">
        <v>0.16293981481481482</v>
      </c>
      <c r="F251" s="78">
        <v>636</v>
      </c>
      <c r="G251" s="20">
        <f t="shared" si="63"/>
        <v>4.4482613927058368E-3</v>
      </c>
      <c r="H251" s="16">
        <f>IF(B251="F",IF(G251&gt;Barem!$AC$2,0,IF(B251="F",VLOOKUP(D251,Barem!$B$2:$C$11,2,1))),IF(G251&gt;Barem!$AC$3,0,VLOOKUP(D251,Barem!$B$12:$C$21,2,1)))</f>
        <v>5</v>
      </c>
      <c r="I251" s="16">
        <f>IF(H251=0,0,IF(B251="F",VLOOKUP(G251,Barem!$G$2:$H$11,2,1),VLOOKUP(G251,Barem!$G$12:$H$21,2,1)))</f>
        <v>1</v>
      </c>
      <c r="J251" s="75">
        <v>4.5</v>
      </c>
      <c r="K251" s="83" t="s">
        <v>184</v>
      </c>
      <c r="L251" s="17">
        <f t="shared" si="67"/>
        <v>0.25</v>
      </c>
      <c r="M251" s="17">
        <f t="shared" si="67"/>
        <v>0.25</v>
      </c>
      <c r="N251" s="17">
        <f t="shared" si="67"/>
        <v>0.5</v>
      </c>
      <c r="O251" s="81">
        <f t="shared" si="64"/>
        <v>0.42399999999999999</v>
      </c>
      <c r="P251" s="36">
        <f>IF(D251&gt;21,VLOOKUP(D251,Barem!$T$1:$U$39,2,1),0)</f>
        <v>0.3</v>
      </c>
      <c r="Q251" s="32">
        <f>IF(D251&lt;1.609,0,IF(B251="F",VLOOKUP(G251,Barem!$X$2:$Z$13,2,1),VLOOKUP(G251,Barem!$X$14:$Z$25,2,1)))</f>
        <v>0</v>
      </c>
      <c r="R251" s="36">
        <f>VLOOKUP(A251,Participanti!A:C,3,0)</f>
        <v>0</v>
      </c>
      <c r="S251" s="29">
        <f t="shared" si="73"/>
        <v>4.4740000000000002</v>
      </c>
      <c r="T251" s="79">
        <v>44035</v>
      </c>
      <c r="U251" s="16">
        <v>0</v>
      </c>
      <c r="V251" s="34">
        <f t="shared" si="72"/>
        <v>0.12214032214032214</v>
      </c>
      <c r="W251" s="3" t="str">
        <f>VLOOKUP(A251,Data_echipe!A:O,15,0)</f>
        <v xml:space="preserve"> Let it run</v>
      </c>
      <c r="X251" s="3">
        <f t="shared" si="58"/>
        <v>1</v>
      </c>
    </row>
    <row r="252" spans="1:24">
      <c r="A252" s="74" t="s">
        <v>64</v>
      </c>
      <c r="B252" s="24" t="str">
        <f>VLOOKUP(A252,Participanti!A:B,2,0)</f>
        <v>M</v>
      </c>
      <c r="C252" s="75">
        <v>8</v>
      </c>
      <c r="D252" s="76">
        <v>10.09</v>
      </c>
      <c r="E252" s="77">
        <v>4.6921296296296294E-2</v>
      </c>
      <c r="F252" s="78">
        <v>6</v>
      </c>
      <c r="G252" s="20">
        <f t="shared" si="63"/>
        <v>4.6502771354109311E-3</v>
      </c>
      <c r="H252" s="16">
        <f>IF(B252="F",IF(G252&gt;Barem!$AC$2,0,IF(B252="F",VLOOKUP(D252,Barem!$B$2:$C$11,2,1))),IF(G252&gt;Barem!$AC$3,0,VLOOKUP(D252,Barem!$B$12:$C$21,2,1)))</f>
        <v>2.5</v>
      </c>
      <c r="I252" s="16">
        <f>IF(H252=0,0,IF(B252="F",VLOOKUP(G252,Barem!$G$2:$H$11,2,1),VLOOKUP(G252,Barem!$G$12:$H$21,2,1)))</f>
        <v>1</v>
      </c>
      <c r="J252" s="75">
        <v>3</v>
      </c>
      <c r="K252" s="83" t="s">
        <v>184</v>
      </c>
      <c r="L252" s="17">
        <f t="shared" si="67"/>
        <v>0.25</v>
      </c>
      <c r="M252" s="17">
        <f t="shared" si="67"/>
        <v>0.25</v>
      </c>
      <c r="N252" s="17">
        <f t="shared" si="67"/>
        <v>0.5</v>
      </c>
      <c r="O252" s="81">
        <f t="shared" si="64"/>
        <v>0</v>
      </c>
      <c r="P252" s="36">
        <f>IF(D252&gt;21,VLOOKUP(D252,Barem!$T$1:$U$39,2,1),0)</f>
        <v>0</v>
      </c>
      <c r="Q252" s="32">
        <f>IF(D252&lt;1.609,0,IF(B252="F",VLOOKUP(G252,Barem!$X$2:$Z$13,2,1),VLOOKUP(G252,Barem!$X$14:$Z$25,2,1)))</f>
        <v>0</v>
      </c>
      <c r="R252" s="36">
        <f>VLOOKUP(A252,Participanti!A:C,3,0)</f>
        <v>0</v>
      </c>
      <c r="S252" s="29">
        <f t="shared" si="73"/>
        <v>2.375</v>
      </c>
      <c r="T252" s="79">
        <v>44036</v>
      </c>
      <c r="U252" s="16">
        <v>0</v>
      </c>
      <c r="V252" s="34">
        <f t="shared" si="72"/>
        <v>0.23538156590683845</v>
      </c>
      <c r="W252" s="3" t="str">
        <f>VLOOKUP(A252,Data_echipe!A:O,15,0)</f>
        <v xml:space="preserve"> Let it run</v>
      </c>
      <c r="X252" s="3">
        <f t="shared" si="58"/>
        <v>1</v>
      </c>
    </row>
    <row r="253" spans="1:24">
      <c r="A253" s="74" t="s">
        <v>115</v>
      </c>
      <c r="B253" s="24" t="str">
        <f>VLOOKUP(A253,Participanti!A:B,2,0)</f>
        <v>M</v>
      </c>
      <c r="C253" s="75">
        <v>8</v>
      </c>
      <c r="D253" s="76">
        <v>21.41</v>
      </c>
      <c r="E253" s="77">
        <v>0.11236111111111112</v>
      </c>
      <c r="F253" s="78">
        <v>68</v>
      </c>
      <c r="G253" s="20">
        <f t="shared" ref="G253:G282" si="78">E253/D253</f>
        <v>5.2480668431158862E-3</v>
      </c>
      <c r="H253" s="16">
        <f>IF(B253="F",IF(G253&gt;Barem!$AC$2,0,IF(B253="F",VLOOKUP(D253,Barem!$B$2:$C$11,2,1))),IF(G253&gt;Barem!$AC$3,0,VLOOKUP(D253,Barem!$B$12:$C$21,2,1)))</f>
        <v>5</v>
      </c>
      <c r="I253" s="16">
        <f>IF(H253=0,0,IF(B253="F",VLOOKUP(G253,Barem!$G$2:$H$11,2,1),VLOOKUP(G253,Barem!$G$12:$H$21,2,1)))</f>
        <v>1</v>
      </c>
      <c r="J253" s="75">
        <v>3.5</v>
      </c>
      <c r="K253" s="83" t="s">
        <v>183</v>
      </c>
      <c r="L253" s="17">
        <f t="shared" si="67"/>
        <v>0.25</v>
      </c>
      <c r="M253" s="17">
        <f t="shared" si="67"/>
        <v>0.5</v>
      </c>
      <c r="N253" s="17">
        <f t="shared" si="67"/>
        <v>0.25</v>
      </c>
      <c r="O253" s="81">
        <f t="shared" ref="O253:O282" si="79">IF(F253&lt;-49,F253/1500,IF(F253&gt;99,F253/1500,0))</f>
        <v>0</v>
      </c>
      <c r="P253" s="36">
        <f>IF(D253&gt;21,VLOOKUP(D253,Barem!$T$1:$U$39,2,1),0)</f>
        <v>0</v>
      </c>
      <c r="Q253" s="32">
        <f>IF(D253&lt;1.609,0,IF(B253="F",VLOOKUP(G253,Barem!$X$2:$Z$13,2,1),VLOOKUP(G253,Barem!$X$14:$Z$25,2,1)))</f>
        <v>0</v>
      </c>
      <c r="R253" s="36">
        <f>VLOOKUP(A253,Participanti!A:C,3,0)</f>
        <v>0.5</v>
      </c>
      <c r="S253" s="29">
        <f t="shared" si="73"/>
        <v>3.125</v>
      </c>
      <c r="T253" s="79">
        <v>44038</v>
      </c>
      <c r="U253" s="16">
        <v>1</v>
      </c>
      <c r="V253" s="34">
        <f t="shared" si="72"/>
        <v>0.14595983185427369</v>
      </c>
      <c r="W253" s="3" t="str">
        <f>VLOOKUP(A253,Data_echipe!A:O,15,0)</f>
        <v xml:space="preserve"> Let it run</v>
      </c>
      <c r="X253" s="3">
        <f t="shared" si="58"/>
        <v>1</v>
      </c>
    </row>
    <row r="254" spans="1:24">
      <c r="A254" s="74" t="s">
        <v>8</v>
      </c>
      <c r="B254" s="24" t="str">
        <f>VLOOKUP(A254,Participanti!A:B,2,0)</f>
        <v>M</v>
      </c>
      <c r="C254" s="75">
        <v>8</v>
      </c>
      <c r="D254" s="76">
        <v>3</v>
      </c>
      <c r="E254" s="77">
        <v>8.8888888888888889E-3</v>
      </c>
      <c r="F254" s="78">
        <v>0</v>
      </c>
      <c r="G254" s="20">
        <f t="shared" si="78"/>
        <v>2.9629629629629628E-3</v>
      </c>
      <c r="H254" s="16">
        <f>IF(B254="F",IF(G254&gt;Barem!$AC$2,0,IF(B254="F",VLOOKUP(D254,Barem!$B$2:$C$11,2,1))),IF(G254&gt;Barem!$AC$3,0,VLOOKUP(D254,Barem!$B$12:$C$21,2,1)))</f>
        <v>1</v>
      </c>
      <c r="I254" s="16">
        <f>IF(H254=0,0,IF(B254="F",VLOOKUP(G254,Barem!$G$2:$H$11,2,1),VLOOKUP(G254,Barem!$G$12:$H$21,2,1)))</f>
        <v>4</v>
      </c>
      <c r="J254" s="75">
        <v>3</v>
      </c>
      <c r="K254" s="83" t="s">
        <v>183</v>
      </c>
      <c r="L254" s="17">
        <f t="shared" si="67"/>
        <v>0.25</v>
      </c>
      <c r="M254" s="17">
        <f t="shared" si="67"/>
        <v>0.5</v>
      </c>
      <c r="N254" s="17">
        <f t="shared" si="67"/>
        <v>0.25</v>
      </c>
      <c r="O254" s="81">
        <f t="shared" si="79"/>
        <v>0</v>
      </c>
      <c r="P254" s="36">
        <f>IF(D254&gt;21,VLOOKUP(D254,Barem!$T$1:$U$39,2,1),0)</f>
        <v>0</v>
      </c>
      <c r="Q254" s="32">
        <f>IF(D254&lt;1.609,0,IF(B254="F",VLOOKUP(G254,Barem!$X$2:$Z$13,2,1),VLOOKUP(G254,Barem!$X$14:$Z$25,2,1)))</f>
        <v>0</v>
      </c>
      <c r="R254" s="36">
        <f>VLOOKUP(A254,Participanti!A:C,3,0)</f>
        <v>0</v>
      </c>
      <c r="S254" s="29">
        <f t="shared" si="73"/>
        <v>3</v>
      </c>
      <c r="T254" s="79">
        <v>44033</v>
      </c>
      <c r="U254" s="16">
        <f>COUNTIFS(A:A,A254,C:C,C254)</f>
        <v>1</v>
      </c>
      <c r="V254" s="34">
        <f t="shared" si="72"/>
        <v>1</v>
      </c>
      <c r="W254" s="3" t="str">
        <f>VLOOKUP(A254,Data_echipe!A:O,15,0)</f>
        <v xml:space="preserve"> Let it run</v>
      </c>
      <c r="X254" s="3">
        <f t="shared" si="58"/>
        <v>1</v>
      </c>
    </row>
    <row r="255" spans="1:24">
      <c r="A255" s="74" t="s">
        <v>131</v>
      </c>
      <c r="B255" s="24" t="str">
        <f>VLOOKUP(A255,Participanti!A:B,2,0)</f>
        <v>M</v>
      </c>
      <c r="C255" s="75">
        <v>8</v>
      </c>
      <c r="D255" s="76">
        <v>21.12</v>
      </c>
      <c r="E255" s="77">
        <v>9.1099537037037034E-2</v>
      </c>
      <c r="F255" s="78">
        <v>66</v>
      </c>
      <c r="G255" s="20">
        <f t="shared" si="78"/>
        <v>4.3134250491021322E-3</v>
      </c>
      <c r="H255" s="16">
        <f>IF(B255="F",IF(G255&gt;Barem!$AC$2,0,IF(B255="F",VLOOKUP(D255,Barem!$B$2:$C$11,2,1))),IF(G255&gt;Barem!$AC$3,0,VLOOKUP(D255,Barem!$B$12:$C$21,2,1)))</f>
        <v>5</v>
      </c>
      <c r="I255" s="16">
        <f>IF(H255=0,0,IF(B255="F",VLOOKUP(G255,Barem!$G$2:$H$11,2,1),VLOOKUP(G255,Barem!$G$12:$H$21,2,1)))</f>
        <v>1</v>
      </c>
      <c r="J255" s="75">
        <v>3</v>
      </c>
      <c r="K255" s="82" t="str">
        <f>VLOOKUP($C255,Barem!$L$2:$R$13,7,0)</f>
        <v>D</v>
      </c>
      <c r="L255" s="17">
        <f t="shared" ref="L255:N274" si="80">IF($K255=L$1,50%,25%)</f>
        <v>0.5</v>
      </c>
      <c r="M255" s="17">
        <f t="shared" si="80"/>
        <v>0.25</v>
      </c>
      <c r="N255" s="17">
        <f t="shared" si="80"/>
        <v>0.25</v>
      </c>
      <c r="O255" s="81">
        <f t="shared" si="79"/>
        <v>0</v>
      </c>
      <c r="P255" s="36">
        <f>IF(D255&gt;21,VLOOKUP(D255,Barem!$T$1:$U$39,2,1),0)</f>
        <v>0</v>
      </c>
      <c r="Q255" s="32">
        <f>IF(D255&lt;1.609,0,IF(B255="F",VLOOKUP(G255,Barem!$X$2:$Z$13,2,1),VLOOKUP(G255,Barem!$X$14:$Z$25,2,1)))</f>
        <v>0</v>
      </c>
      <c r="R255" s="36">
        <f>VLOOKUP(A255,Participanti!A:C,3,0)</f>
        <v>0</v>
      </c>
      <c r="S255" s="29">
        <f t="shared" si="73"/>
        <v>3.5</v>
      </c>
      <c r="T255" s="79">
        <v>44037</v>
      </c>
      <c r="U255" s="16">
        <f>COUNTIFS(A:A,A255,C:C,C255)</f>
        <v>1</v>
      </c>
      <c r="V255" s="34">
        <f t="shared" si="72"/>
        <v>0.16571969696969696</v>
      </c>
      <c r="W255" s="3" t="str">
        <f>VLOOKUP(A255,Data_echipe!A:O,15,0)</f>
        <v xml:space="preserve"> Let it run</v>
      </c>
      <c r="X255" s="3">
        <f t="shared" si="58"/>
        <v>1</v>
      </c>
    </row>
    <row r="256" spans="1:24">
      <c r="A256" s="74" t="s">
        <v>206</v>
      </c>
      <c r="B256" s="24" t="str">
        <f>VLOOKUP(A256,Participanti!A:B,2,0)</f>
        <v>M</v>
      </c>
      <c r="C256" s="75">
        <v>8</v>
      </c>
      <c r="D256" s="76">
        <v>12.16</v>
      </c>
      <c r="E256" s="77">
        <v>6.4039351851851847E-2</v>
      </c>
      <c r="F256" s="78">
        <v>457</v>
      </c>
      <c r="G256" s="20">
        <f t="shared" si="78"/>
        <v>5.2663940667641322E-3</v>
      </c>
      <c r="H256" s="16">
        <f>IF(B256="F",IF(G256&gt;Barem!$AC$2,0,IF(B256="F",VLOOKUP(D256,Barem!$B$2:$C$11,2,1))),IF(G256&gt;Barem!$AC$3,0,VLOOKUP(D256,Barem!$B$12:$C$21,2,1)))</f>
        <v>3</v>
      </c>
      <c r="I256" s="16">
        <f>IF(H256=0,0,IF(B256="F",VLOOKUP(G256,Barem!$G$2:$H$11,2,1),VLOOKUP(G256,Barem!$G$12:$H$21,2,1)))</f>
        <v>1</v>
      </c>
      <c r="J256" s="75">
        <v>4</v>
      </c>
      <c r="K256" s="82" t="str">
        <f>VLOOKUP($C256,Barem!$L$2:$R$13,7,0)</f>
        <v>D</v>
      </c>
      <c r="L256" s="17">
        <f t="shared" si="80"/>
        <v>0.5</v>
      </c>
      <c r="M256" s="17">
        <f t="shared" si="80"/>
        <v>0.25</v>
      </c>
      <c r="N256" s="17">
        <f t="shared" si="80"/>
        <v>0.25</v>
      </c>
      <c r="O256" s="81">
        <f t="shared" si="79"/>
        <v>0.30466666666666664</v>
      </c>
      <c r="P256" s="36">
        <f>IF(D256&gt;21,VLOOKUP(D256,Barem!$T$1:$U$39,2,1),0)</f>
        <v>0</v>
      </c>
      <c r="Q256" s="32">
        <f>IF(D256&lt;1.609,0,IF(B256="F",VLOOKUP(G256,Barem!$X$2:$Z$13,2,1),VLOOKUP(G256,Barem!$X$14:$Z$25,2,1)))</f>
        <v>0</v>
      </c>
      <c r="R256" s="36">
        <f>VLOOKUP(A256,Participanti!A:C,3,0)</f>
        <v>0</v>
      </c>
      <c r="S256" s="29">
        <f t="shared" si="73"/>
        <v>3.0546666666666669</v>
      </c>
      <c r="T256" s="79">
        <v>44037</v>
      </c>
      <c r="U256" s="16">
        <f>COUNTIFS(A:A,A256,C:C,C256)</f>
        <v>1</v>
      </c>
      <c r="V256" s="34">
        <f t="shared" si="72"/>
        <v>0.25120614035087718</v>
      </c>
      <c r="W256" s="3" t="str">
        <f>VLOOKUP(A256,Data_echipe!A:O,15,0)</f>
        <v>Unicornii</v>
      </c>
      <c r="X256" s="3">
        <f t="shared" si="58"/>
        <v>1</v>
      </c>
    </row>
    <row r="257" spans="1:24">
      <c r="A257" s="74" t="s">
        <v>50</v>
      </c>
      <c r="B257" s="24" t="str">
        <f>VLOOKUP(A257,Participanti!A:B,2,0)</f>
        <v>F</v>
      </c>
      <c r="C257" s="75">
        <v>8</v>
      </c>
      <c r="D257" s="76">
        <v>6.51</v>
      </c>
      <c r="E257" s="77">
        <v>2.6886574074074077E-2</v>
      </c>
      <c r="F257" s="78">
        <v>37</v>
      </c>
      <c r="G257" s="20">
        <f t="shared" si="78"/>
        <v>4.1300421004722082E-3</v>
      </c>
      <c r="H257" s="16">
        <f>IF(B257="F",IF(G257&gt;Barem!$AC$2,0,IF(B257="F",VLOOKUP(D257,Barem!$B$2:$C$11,2,1))),IF(G257&gt;Barem!$AC$3,0,VLOOKUP(D257,Barem!$B$12:$C$21,2,1)))</f>
        <v>2</v>
      </c>
      <c r="I257" s="16">
        <f>IF(H257=0,0,IF(B257="F",VLOOKUP(G257,Barem!$G$2:$H$11,2,1),VLOOKUP(G257,Barem!$G$12:$H$21,2,1)))</f>
        <v>2</v>
      </c>
      <c r="J257" s="75">
        <v>2.5</v>
      </c>
      <c r="K257" s="82" t="str">
        <f>VLOOKUP($C257,Barem!$L$2:$R$13,7,0)</f>
        <v>D</v>
      </c>
      <c r="L257" s="17">
        <f t="shared" si="80"/>
        <v>0.5</v>
      </c>
      <c r="M257" s="17">
        <f t="shared" si="80"/>
        <v>0.25</v>
      </c>
      <c r="N257" s="17">
        <f t="shared" si="80"/>
        <v>0.25</v>
      </c>
      <c r="O257" s="81">
        <f t="shared" si="79"/>
        <v>0</v>
      </c>
      <c r="P257" s="36">
        <f>IF(D257&gt;21,VLOOKUP(D257,Barem!$T$1:$U$39,2,1),0)</f>
        <v>0</v>
      </c>
      <c r="Q257" s="32">
        <f>IF(D257&lt;1.609,0,IF(B257="F",VLOOKUP(G257,Barem!$X$2:$Z$13,2,1),VLOOKUP(G257,Barem!$X$14:$Z$25,2,1)))</f>
        <v>0</v>
      </c>
      <c r="R257" s="36">
        <f>VLOOKUP(A257,Participanti!A:C,3,0)</f>
        <v>0</v>
      </c>
      <c r="S257" s="29">
        <f t="shared" si="73"/>
        <v>2.125</v>
      </c>
      <c r="T257" s="79">
        <v>44038</v>
      </c>
      <c r="U257" s="16">
        <f>COUNTIFS(A:A,A257,C:C,C257)</f>
        <v>1</v>
      </c>
      <c r="V257" s="34">
        <f t="shared" si="72"/>
        <v>0.32642089093701998</v>
      </c>
      <c r="W257" s="3" t="str">
        <f>VLOOKUP(A257,Data_echipe!A:O,15,0)</f>
        <v>Serioranistii</v>
      </c>
      <c r="X257" s="3">
        <f t="shared" si="58"/>
        <v>1</v>
      </c>
    </row>
    <row r="258" spans="1:24">
      <c r="A258" s="74" t="s">
        <v>209</v>
      </c>
      <c r="B258" s="24" t="str">
        <f>VLOOKUP(A258,Participanti!A:B,2,0)</f>
        <v>M</v>
      </c>
      <c r="C258" s="75">
        <v>8</v>
      </c>
      <c r="D258" s="76">
        <v>22.48</v>
      </c>
      <c r="E258" s="77">
        <v>7.0162037037037037E-2</v>
      </c>
      <c r="F258" s="78">
        <v>35</v>
      </c>
      <c r="G258" s="20">
        <f t="shared" si="78"/>
        <v>3.1210870568076973E-3</v>
      </c>
      <c r="H258" s="16">
        <f>IF(B258="F",IF(G258&gt;Barem!$AC$2,0,IF(B258="F",VLOOKUP(D258,Barem!$B$2:$C$11,2,1))),IF(G258&gt;Barem!$AC$3,0,VLOOKUP(D258,Barem!$B$12:$C$21,2,1)))</f>
        <v>5</v>
      </c>
      <c r="I258" s="16">
        <f>IF(H258=0,0,IF(B258="F",VLOOKUP(G258,Barem!$G$2:$H$11,2,1),VLOOKUP(G258,Barem!$G$12:$H$21,2,1)))</f>
        <v>4</v>
      </c>
      <c r="J258" s="75">
        <v>2.5</v>
      </c>
      <c r="K258" s="82" t="str">
        <f>VLOOKUP($C258,Barem!$L$2:$R$13,7,0)</f>
        <v>D</v>
      </c>
      <c r="L258" s="17">
        <f t="shared" si="80"/>
        <v>0.5</v>
      </c>
      <c r="M258" s="17">
        <f t="shared" si="80"/>
        <v>0.25</v>
      </c>
      <c r="N258" s="17">
        <f t="shared" si="80"/>
        <v>0.25</v>
      </c>
      <c r="O258" s="81">
        <f t="shared" si="79"/>
        <v>0</v>
      </c>
      <c r="P258" s="36">
        <f>IF(D258&gt;21,VLOOKUP(D258,Barem!$T$1:$U$39,2,1),0)</f>
        <v>0</v>
      </c>
      <c r="Q258" s="32">
        <f>IF(D258&lt;1.609,0,IF(B258="F",VLOOKUP(G258,Barem!$X$2:$Z$13,2,1),VLOOKUP(G258,Barem!$X$14:$Z$25,2,1)))</f>
        <v>0</v>
      </c>
      <c r="R258" s="36">
        <f>VLOOKUP(A258,Participanti!A:C,3,0)</f>
        <v>0</v>
      </c>
      <c r="S258" s="29">
        <f t="shared" si="73"/>
        <v>4.125</v>
      </c>
      <c r="T258" s="79">
        <v>44038</v>
      </c>
      <c r="U258" s="16">
        <f>COUNTIFS(A:A,A258,C:C,C258)</f>
        <v>1</v>
      </c>
      <c r="V258" s="34">
        <f t="shared" si="72"/>
        <v>0.18349644128113879</v>
      </c>
      <c r="W258" s="3" t="str">
        <f>VLOOKUP(A258,Data_echipe!A:O,15,0)</f>
        <v>Serioranistii</v>
      </c>
      <c r="X258" s="3">
        <f t="shared" si="58"/>
        <v>1</v>
      </c>
    </row>
    <row r="259" spans="1:24">
      <c r="A259" s="74" t="s">
        <v>210</v>
      </c>
      <c r="B259" s="24" t="str">
        <f>VLOOKUP(A259,Participanti!A:B,2,0)</f>
        <v>F</v>
      </c>
      <c r="C259" s="75">
        <v>8</v>
      </c>
      <c r="D259" s="76">
        <v>5</v>
      </c>
      <c r="E259" s="77">
        <v>2.0590277777777777E-2</v>
      </c>
      <c r="F259" s="78">
        <v>14</v>
      </c>
      <c r="G259" s="20">
        <f t="shared" si="78"/>
        <v>4.1180555555555554E-3</v>
      </c>
      <c r="H259" s="16">
        <f>IF(B259="F",IF(G259&gt;Barem!$AC$2,0,IF(B259="F",VLOOKUP(D259,Barem!$B$2:$C$11,2,1))),IF(G259&gt;Barem!$AC$3,0,VLOOKUP(D259,Barem!$B$12:$C$21,2,1)))</f>
        <v>1.5</v>
      </c>
      <c r="I259" s="16">
        <f>IF(H259=0,0,IF(B259="F",VLOOKUP(G259,Barem!$G$2:$H$11,2,1),VLOOKUP(G259,Barem!$G$12:$H$21,2,1)))</f>
        <v>2</v>
      </c>
      <c r="J259" s="75">
        <v>4</v>
      </c>
      <c r="K259" s="83" t="s">
        <v>184</v>
      </c>
      <c r="L259" s="17">
        <f t="shared" si="80"/>
        <v>0.25</v>
      </c>
      <c r="M259" s="17">
        <f t="shared" si="80"/>
        <v>0.25</v>
      </c>
      <c r="N259" s="17">
        <f t="shared" si="80"/>
        <v>0.5</v>
      </c>
      <c r="O259" s="81">
        <f t="shared" si="79"/>
        <v>0</v>
      </c>
      <c r="P259" s="36">
        <f>IF(D259&gt;21,VLOOKUP(D259,Barem!$T$1:$U$39,2,1),0)</f>
        <v>0</v>
      </c>
      <c r="Q259" s="32">
        <f>IF(D259&lt;1.609,0,IF(B259="F",VLOOKUP(G259,Barem!$X$2:$Z$13,2,1),VLOOKUP(G259,Barem!$X$14:$Z$25,2,1)))</f>
        <v>0</v>
      </c>
      <c r="R259" s="36">
        <f>VLOOKUP(A259,Participanti!A:C,3,0)</f>
        <v>0</v>
      </c>
      <c r="S259" s="29">
        <f t="shared" si="73"/>
        <v>2.875</v>
      </c>
      <c r="T259" s="79">
        <v>44036</v>
      </c>
      <c r="U259" s="16">
        <f>COUNTIFS(A:A,A259,C:C,C259)</f>
        <v>1</v>
      </c>
      <c r="V259" s="34">
        <f t="shared" si="72"/>
        <v>0.57499999999999996</v>
      </c>
      <c r="W259" s="3" t="str">
        <f>VLOOKUP(A259,Data_echipe!A:O,15,0)</f>
        <v>X Æ A-12</v>
      </c>
      <c r="X259" s="3">
        <f t="shared" ref="X259:X322" si="81">IF(I259&gt;0,1,0)</f>
        <v>1</v>
      </c>
    </row>
    <row r="260" spans="1:24">
      <c r="A260" s="74" t="s">
        <v>66</v>
      </c>
      <c r="B260" s="24" t="str">
        <f>VLOOKUP(A260,Participanti!A:B,2,0)</f>
        <v>M</v>
      </c>
      <c r="C260" s="75">
        <v>8</v>
      </c>
      <c r="D260" s="76">
        <v>20.93</v>
      </c>
      <c r="E260" s="77">
        <v>8.0555555555555561E-2</v>
      </c>
      <c r="F260" s="78">
        <v>40</v>
      </c>
      <c r="G260" s="20">
        <f t="shared" si="78"/>
        <v>3.8488081966342839E-3</v>
      </c>
      <c r="H260" s="16">
        <f>IF(B260="F",IF(G260&gt;Barem!$AC$2,0,IF(B260="F",VLOOKUP(D260,Barem!$B$2:$C$11,2,1))),IF(G260&gt;Barem!$AC$3,0,VLOOKUP(D260,Barem!$B$12:$C$21,2,1)))</f>
        <v>4.5</v>
      </c>
      <c r="I260" s="16">
        <f>IF(H260=0,0,IF(B260="F",VLOOKUP(G260,Barem!$G$2:$H$11,2,1),VLOOKUP(G260,Barem!$G$12:$H$21,2,1)))</f>
        <v>1.5</v>
      </c>
      <c r="J260" s="75">
        <v>1</v>
      </c>
      <c r="K260" s="82" t="str">
        <f>VLOOKUP($C260,Barem!$L$2:$R$13,7,0)</f>
        <v>D</v>
      </c>
      <c r="L260" s="17">
        <f t="shared" si="80"/>
        <v>0.5</v>
      </c>
      <c r="M260" s="17">
        <f t="shared" si="80"/>
        <v>0.25</v>
      </c>
      <c r="N260" s="17">
        <f t="shared" si="80"/>
        <v>0.25</v>
      </c>
      <c r="O260" s="81">
        <f t="shared" si="79"/>
        <v>0</v>
      </c>
      <c r="P260" s="36">
        <f>IF(D260&gt;21,VLOOKUP(D260,Barem!$T$1:$U$39,2,1),0)</f>
        <v>0</v>
      </c>
      <c r="Q260" s="32">
        <f>IF(D260&lt;1.609,0,IF(B260="F",VLOOKUP(G260,Barem!$X$2:$Z$13,2,1),VLOOKUP(G260,Barem!$X$14:$Z$25,2,1)))</f>
        <v>0</v>
      </c>
      <c r="R260" s="36">
        <f>VLOOKUP(A260,Participanti!A:C,3,0)</f>
        <v>0</v>
      </c>
      <c r="S260" s="29">
        <f t="shared" si="73"/>
        <v>2.875</v>
      </c>
      <c r="T260" s="79">
        <v>44037</v>
      </c>
      <c r="U260" s="16">
        <f>COUNTIFS(A:A,A260,C:C,C260)</f>
        <v>1</v>
      </c>
      <c r="V260" s="34">
        <f t="shared" si="72"/>
        <v>0.13736263736263737</v>
      </c>
      <c r="W260" s="3" t="str">
        <f>VLOOKUP(A260,Data_echipe!A:O,15,0)</f>
        <v>X Æ A-12</v>
      </c>
      <c r="X260" s="3">
        <f t="shared" si="81"/>
        <v>1</v>
      </c>
    </row>
    <row r="261" spans="1:24">
      <c r="A261" s="74" t="s">
        <v>208</v>
      </c>
      <c r="B261" s="24" t="str">
        <f>VLOOKUP(A261,Participanti!A:B,2,0)</f>
        <v>M</v>
      </c>
      <c r="C261" s="75">
        <v>8</v>
      </c>
      <c r="D261" s="76">
        <v>21.8</v>
      </c>
      <c r="E261" s="77">
        <v>7.5844907407407403E-2</v>
      </c>
      <c r="F261" s="78">
        <v>34</v>
      </c>
      <c r="G261" s="20">
        <f t="shared" si="78"/>
        <v>3.4791241930003393E-3</v>
      </c>
      <c r="H261" s="16">
        <f>IF(B261="F",IF(G261&gt;Barem!$AC$2,0,IF(B261="F",VLOOKUP(D261,Barem!$B$2:$C$11,2,1))),IF(G261&gt;Barem!$AC$3,0,VLOOKUP(D261,Barem!$B$12:$C$21,2,1)))</f>
        <v>5</v>
      </c>
      <c r="I261" s="16">
        <f>IF(H261=0,0,IF(B261="F",VLOOKUP(G261,Barem!$G$2:$H$11,2,1),VLOOKUP(G261,Barem!$G$12:$H$21,2,1)))</f>
        <v>3</v>
      </c>
      <c r="J261" s="75">
        <v>2.5</v>
      </c>
      <c r="K261" s="82" t="str">
        <f>VLOOKUP($C261,Barem!$L$2:$R$13,7,0)</f>
        <v>D</v>
      </c>
      <c r="L261" s="17">
        <f t="shared" si="80"/>
        <v>0.5</v>
      </c>
      <c r="M261" s="17">
        <f t="shared" si="80"/>
        <v>0.25</v>
      </c>
      <c r="N261" s="17">
        <f t="shared" si="80"/>
        <v>0.25</v>
      </c>
      <c r="O261" s="81">
        <f t="shared" si="79"/>
        <v>0</v>
      </c>
      <c r="P261" s="36">
        <f>IF(D261&gt;21,VLOOKUP(D261,Barem!$T$1:$U$39,2,1),0)</f>
        <v>0</v>
      </c>
      <c r="Q261" s="32">
        <f>IF(D261&lt;1.609,0,IF(B261="F",VLOOKUP(G261,Barem!$X$2:$Z$13,2,1),VLOOKUP(G261,Barem!$X$14:$Z$25,2,1)))</f>
        <v>0</v>
      </c>
      <c r="R261" s="36">
        <f>VLOOKUP(A261,Participanti!A:C,3,0)</f>
        <v>0</v>
      </c>
      <c r="S261" s="29">
        <f t="shared" si="73"/>
        <v>3.875</v>
      </c>
      <c r="T261" s="79">
        <v>44034</v>
      </c>
      <c r="U261" s="16">
        <f>COUNTIFS(A:A,A261,C:C,C261)</f>
        <v>1</v>
      </c>
      <c r="V261" s="34">
        <f t="shared" si="72"/>
        <v>0.17775229357798164</v>
      </c>
      <c r="W261" s="3" t="str">
        <f>VLOOKUP(A261,Data_echipe!A:O,15,0)</f>
        <v xml:space="preserve"> Let it run</v>
      </c>
      <c r="X261" s="3">
        <f t="shared" si="81"/>
        <v>1</v>
      </c>
    </row>
    <row r="262" spans="1:24">
      <c r="A262" s="74" t="s">
        <v>169</v>
      </c>
      <c r="B262" s="24" t="str">
        <f>VLOOKUP(A262,Participanti!A:B,2,0)</f>
        <v>F</v>
      </c>
      <c r="C262" s="75">
        <v>8</v>
      </c>
      <c r="D262" s="76">
        <v>14.51</v>
      </c>
      <c r="E262" s="77">
        <v>0.11875000000000001</v>
      </c>
      <c r="F262" s="78">
        <v>469</v>
      </c>
      <c r="G262" s="20">
        <f t="shared" si="78"/>
        <v>8.1840110268780152E-3</v>
      </c>
      <c r="H262" s="16">
        <f>IF(B262="F",IF(G262&gt;Barem!$AC$2,0,IF(B262="F",VLOOKUP(D262,Barem!$B$2:$C$11,2,1))),IF(G262&gt;Barem!$AC$3,0,VLOOKUP(D262,Barem!$B$12:$C$21,2,1)))</f>
        <v>3.5</v>
      </c>
      <c r="I262" s="16">
        <f>IF(H262=0,0,IF(B262="F",VLOOKUP(G262,Barem!$G$2:$H$11,2,1),VLOOKUP(G262,Barem!$G$12:$H$21,2,1)))</f>
        <v>0</v>
      </c>
      <c r="J262" s="75">
        <v>1</v>
      </c>
      <c r="K262" s="82" t="str">
        <f>VLOOKUP($C262,Barem!$L$2:$R$13,7,0)</f>
        <v>D</v>
      </c>
      <c r="L262" s="17">
        <f t="shared" si="80"/>
        <v>0.5</v>
      </c>
      <c r="M262" s="17">
        <f t="shared" si="80"/>
        <v>0.25</v>
      </c>
      <c r="N262" s="17">
        <f t="shared" si="80"/>
        <v>0.25</v>
      </c>
      <c r="O262" s="81">
        <f t="shared" si="79"/>
        <v>0.31266666666666665</v>
      </c>
      <c r="P262" s="36">
        <f>IF(D262&gt;21,VLOOKUP(D262,Barem!$T$1:$U$39,2,1),0)</f>
        <v>0</v>
      </c>
      <c r="Q262" s="32">
        <f>IF(D262&lt;1.609,0,IF(B262="F",VLOOKUP(G262,Barem!$X$2:$Z$13,2,1),VLOOKUP(G262,Barem!$X$14:$Z$25,2,1)))</f>
        <v>0</v>
      </c>
      <c r="R262" s="36">
        <f>VLOOKUP(A262,Participanti!A:C,3,0)</f>
        <v>0.5</v>
      </c>
      <c r="S262" s="29">
        <f t="shared" si="73"/>
        <v>2.8126666666666669</v>
      </c>
      <c r="T262" s="79">
        <v>44038</v>
      </c>
      <c r="U262" s="16">
        <f>COUNTIFS(A:A,A262,C:C,C262)</f>
        <v>1</v>
      </c>
      <c r="V262" s="34">
        <f t="shared" si="72"/>
        <v>0.1938433264415346</v>
      </c>
      <c r="W262" s="3" t="str">
        <f>VLOOKUP(A262,Data_echipe!A:O,15,0)</f>
        <v>Serioranistii</v>
      </c>
      <c r="X262" s="3">
        <f t="shared" si="81"/>
        <v>0</v>
      </c>
    </row>
    <row r="263" spans="1:24">
      <c r="A263" s="74" t="s">
        <v>53</v>
      </c>
      <c r="B263" s="24" t="str">
        <f>VLOOKUP(A263,Participanti!A:B,2,0)</f>
        <v>M</v>
      </c>
      <c r="C263" s="75">
        <v>8</v>
      </c>
      <c r="D263" s="76">
        <v>11.58</v>
      </c>
      <c r="E263" s="77">
        <v>3.8912037037037037E-2</v>
      </c>
      <c r="F263" s="78">
        <v>120</v>
      </c>
      <c r="G263" s="20">
        <f t="shared" si="78"/>
        <v>3.360279536877119E-3</v>
      </c>
      <c r="H263" s="16">
        <f>IF(B263="F",IF(G263&gt;Barem!$AC$2,0,IF(B263="F",VLOOKUP(D263,Barem!$B$2:$C$11,2,1))),IF(G263&gt;Barem!$AC$3,0,VLOOKUP(D263,Barem!$B$12:$C$21,2,1)))</f>
        <v>2.5</v>
      </c>
      <c r="I263" s="16">
        <f>IF(H263=0,0,IF(B263="F",VLOOKUP(G263,Barem!$G$2:$H$11,2,1),VLOOKUP(G263,Barem!$G$12:$H$21,2,1)))</f>
        <v>3</v>
      </c>
      <c r="J263" s="75">
        <v>1</v>
      </c>
      <c r="K263" s="83" t="s">
        <v>183</v>
      </c>
      <c r="L263" s="17">
        <f t="shared" si="80"/>
        <v>0.25</v>
      </c>
      <c r="M263" s="17">
        <f t="shared" si="80"/>
        <v>0.5</v>
      </c>
      <c r="N263" s="17">
        <f t="shared" si="80"/>
        <v>0.25</v>
      </c>
      <c r="O263" s="81">
        <f t="shared" si="79"/>
        <v>0.08</v>
      </c>
      <c r="P263" s="36">
        <f>IF(D263&gt;21,VLOOKUP(D263,Barem!$T$1:$U$39,2,1),0)</f>
        <v>0</v>
      </c>
      <c r="Q263" s="32">
        <f>IF(D263&lt;1.609,0,IF(B263="F",VLOOKUP(G263,Barem!$X$2:$Z$13,2,1),VLOOKUP(G263,Barem!$X$14:$Z$25,2,1)))</f>
        <v>0</v>
      </c>
      <c r="R263" s="36">
        <f>VLOOKUP(A263,Participanti!A:C,3,0)</f>
        <v>0</v>
      </c>
      <c r="S263" s="29">
        <f t="shared" si="73"/>
        <v>2.4550000000000001</v>
      </c>
      <c r="T263" s="79">
        <v>44036</v>
      </c>
      <c r="U263" s="16">
        <f>COUNTIFS(A:A,A263,C:C,C263)</f>
        <v>1</v>
      </c>
      <c r="V263" s="34">
        <f t="shared" si="72"/>
        <v>0.21200345423143352</v>
      </c>
      <c r="W263" s="3" t="str">
        <f>VLOOKUP(A263,Data_echipe!A:O,15,0)</f>
        <v>Tenchei</v>
      </c>
      <c r="X263" s="3">
        <f t="shared" si="81"/>
        <v>1</v>
      </c>
    </row>
    <row r="264" spans="1:24">
      <c r="A264" s="74" t="s">
        <v>62</v>
      </c>
      <c r="B264" s="24" t="str">
        <f>VLOOKUP(A264,Participanti!A:B,2,0)</f>
        <v>M</v>
      </c>
      <c r="C264" s="75">
        <v>8</v>
      </c>
      <c r="D264" s="76">
        <v>16.309999999999999</v>
      </c>
      <c r="E264" s="77">
        <v>0.1665625</v>
      </c>
      <c r="F264" s="78">
        <v>616</v>
      </c>
      <c r="G264" s="20">
        <f t="shared" si="78"/>
        <v>1.0212293071735132E-2</v>
      </c>
      <c r="H264" s="16">
        <f>IF(B264="F",IF(G264&gt;Barem!$AC$2,0,IF(B264="F",VLOOKUP(D264,Barem!$B$2:$C$11,2,1))),IF(G264&gt;Barem!$AC$3,0,VLOOKUP(D264,Barem!$B$12:$C$21,2,1)))</f>
        <v>0</v>
      </c>
      <c r="I264" s="16">
        <f>IF(H264=0,0,IF(B264="F",VLOOKUP(G264,Barem!$G$2:$H$11,2,1),VLOOKUP(G264,Barem!$G$12:$H$21,2,1)))</f>
        <v>0</v>
      </c>
      <c r="J264" s="75">
        <v>4.5</v>
      </c>
      <c r="K264" s="82" t="str">
        <f>VLOOKUP($C264,Barem!$L$2:$R$13,7,0)</f>
        <v>D</v>
      </c>
      <c r="L264" s="17">
        <f t="shared" si="80"/>
        <v>0.5</v>
      </c>
      <c r="M264" s="17">
        <f t="shared" si="80"/>
        <v>0.25</v>
      </c>
      <c r="N264" s="17">
        <f t="shared" si="80"/>
        <v>0.25</v>
      </c>
      <c r="O264" s="81">
        <f t="shared" si="79"/>
        <v>0.41066666666666668</v>
      </c>
      <c r="P264" s="36">
        <f>IF(D264&gt;21,VLOOKUP(D264,Barem!$T$1:$U$39,2,1),0)</f>
        <v>0</v>
      </c>
      <c r="Q264" s="32">
        <f>IF(D264&lt;1.609,0,IF(B264="F",VLOOKUP(G264,Barem!$X$2:$Z$13,2,1),VLOOKUP(G264,Barem!$X$14:$Z$25,2,1)))</f>
        <v>0</v>
      </c>
      <c r="R264" s="36">
        <f>VLOOKUP(A264,Participanti!A:C,3,0)</f>
        <v>0</v>
      </c>
      <c r="S264" s="29">
        <f t="shared" si="73"/>
        <v>1.5356666666666667</v>
      </c>
      <c r="T264" s="79">
        <v>44038</v>
      </c>
      <c r="U264" s="16">
        <f>COUNTIFS(A:A,A264,C:C,C264)</f>
        <v>1</v>
      </c>
      <c r="V264" s="34">
        <f t="shared" si="72"/>
        <v>9.415491518495811E-2</v>
      </c>
      <c r="W264" s="3" t="str">
        <f>VLOOKUP(A264,Data_echipe!A:O,15,0)</f>
        <v>Serioranistii</v>
      </c>
      <c r="X264" s="3">
        <f t="shared" si="81"/>
        <v>0</v>
      </c>
    </row>
    <row r="265" spans="1:24">
      <c r="A265" s="74" t="s">
        <v>52</v>
      </c>
      <c r="B265" s="24" t="str">
        <f>VLOOKUP(A265,Participanti!A:B,2,0)</f>
        <v>M</v>
      </c>
      <c r="C265" s="75">
        <v>8</v>
      </c>
      <c r="D265" s="76">
        <v>16.010000000000002</v>
      </c>
      <c r="E265" s="77">
        <v>5.4710648148148154E-2</v>
      </c>
      <c r="F265" s="78">
        <v>0</v>
      </c>
      <c r="G265" s="20">
        <f t="shared" si="78"/>
        <v>3.4172797094408586E-3</v>
      </c>
      <c r="H265" s="16">
        <f>IF(B265="F",IF(G265&gt;Barem!$AC$2,0,IF(B265="F",VLOOKUP(D265,Barem!$B$2:$C$11,2,1))),IF(G265&gt;Barem!$AC$3,0,VLOOKUP(D265,Barem!$B$12:$C$21,2,1)))</f>
        <v>3.5</v>
      </c>
      <c r="I265" s="16">
        <f>IF(H265=0,0,IF(B265="F",VLOOKUP(G265,Barem!$G$2:$H$11,2,1),VLOOKUP(G265,Barem!$G$12:$H$21,2,1)))</f>
        <v>3</v>
      </c>
      <c r="J265" s="75">
        <v>1.5</v>
      </c>
      <c r="K265" s="82" t="str">
        <f>VLOOKUP($C265,Barem!$L$2:$R$13,7,0)</f>
        <v>D</v>
      </c>
      <c r="L265" s="17">
        <f t="shared" si="80"/>
        <v>0.5</v>
      </c>
      <c r="M265" s="17">
        <f t="shared" si="80"/>
        <v>0.25</v>
      </c>
      <c r="N265" s="17">
        <f t="shared" si="80"/>
        <v>0.25</v>
      </c>
      <c r="O265" s="81">
        <f t="shared" si="79"/>
        <v>0</v>
      </c>
      <c r="P265" s="36">
        <f>IF(D265&gt;21,VLOOKUP(D265,Barem!$T$1:$U$39,2,1),0)</f>
        <v>0</v>
      </c>
      <c r="Q265" s="32">
        <f>IF(D265&lt;1.609,0,IF(B265="F",VLOOKUP(G265,Barem!$X$2:$Z$13,2,1),VLOOKUP(G265,Barem!$X$14:$Z$25,2,1)))</f>
        <v>0</v>
      </c>
      <c r="R265" s="36">
        <f>VLOOKUP(A265,Participanti!A:C,3,0)</f>
        <v>0</v>
      </c>
      <c r="S265" s="29">
        <f t="shared" si="73"/>
        <v>2.875</v>
      </c>
      <c r="T265" s="79">
        <v>44037</v>
      </c>
      <c r="U265" s="16">
        <f>COUNTIFS(A:A,A265,C:C,C265)</f>
        <v>1</v>
      </c>
      <c r="V265" s="34">
        <f t="shared" si="72"/>
        <v>0.17957526545908806</v>
      </c>
      <c r="W265" s="3" t="str">
        <f>VLOOKUP(A265,Data_echipe!A:O,15,0)</f>
        <v xml:space="preserve"> Let it run</v>
      </c>
      <c r="X265" s="3">
        <f t="shared" si="81"/>
        <v>1</v>
      </c>
    </row>
    <row r="266" spans="1:24">
      <c r="A266" s="74" t="s">
        <v>68</v>
      </c>
      <c r="B266" s="24" t="str">
        <f>VLOOKUP(A266,Participanti!A:B,2,0)</f>
        <v>M</v>
      </c>
      <c r="C266" s="75">
        <v>8</v>
      </c>
      <c r="D266" s="76">
        <v>10.93</v>
      </c>
      <c r="E266" s="77">
        <v>4.0393518518518516E-2</v>
      </c>
      <c r="F266" s="78">
        <v>108</v>
      </c>
      <c r="G266" s="20">
        <f t="shared" si="78"/>
        <v>3.6956558571380163E-3</v>
      </c>
      <c r="H266" s="16">
        <f>IF(B266="F",IF(G266&gt;Barem!$AC$2,0,IF(B266="F",VLOOKUP(D266,Barem!$B$2:$C$11,2,1))),IF(G266&gt;Barem!$AC$3,0,VLOOKUP(D266,Barem!$B$12:$C$21,2,1)))</f>
        <v>2.5</v>
      </c>
      <c r="I266" s="16">
        <f>IF(H266=0,0,IF(B266="F",VLOOKUP(G266,Barem!$G$2:$H$11,2,1),VLOOKUP(G266,Barem!$G$12:$H$21,2,1)))</f>
        <v>2</v>
      </c>
      <c r="J266" s="75">
        <v>3.5</v>
      </c>
      <c r="K266" s="83" t="s">
        <v>183</v>
      </c>
      <c r="L266" s="17">
        <f t="shared" si="80"/>
        <v>0.25</v>
      </c>
      <c r="M266" s="17">
        <f t="shared" si="80"/>
        <v>0.5</v>
      </c>
      <c r="N266" s="17">
        <f t="shared" si="80"/>
        <v>0.25</v>
      </c>
      <c r="O266" s="81">
        <f t="shared" si="79"/>
        <v>7.1999999999999995E-2</v>
      </c>
      <c r="P266" s="36">
        <f>IF(D266&gt;21,VLOOKUP(D266,Barem!$T$1:$U$39,2,1),0)</f>
        <v>0</v>
      </c>
      <c r="Q266" s="32">
        <f>IF(D266&lt;1.609,0,IF(B266="F",VLOOKUP(G266,Barem!$X$2:$Z$13,2,1),VLOOKUP(G266,Barem!$X$14:$Z$25,2,1)))</f>
        <v>0</v>
      </c>
      <c r="R266" s="36">
        <f>VLOOKUP(A266,Participanti!A:C,3,0)</f>
        <v>0</v>
      </c>
      <c r="S266" s="29">
        <f t="shared" si="73"/>
        <v>2.5720000000000001</v>
      </c>
      <c r="T266" s="79">
        <v>44034</v>
      </c>
      <c r="U266" s="16">
        <f>COUNTIFS(A:A,A266,C:C,C266)</f>
        <v>1</v>
      </c>
      <c r="V266" s="34">
        <f t="shared" si="72"/>
        <v>0.23531564501372371</v>
      </c>
      <c r="W266" s="3" t="str">
        <f>VLOOKUP(A266,Data_echipe!A:O,15,0)</f>
        <v>Unicornii</v>
      </c>
      <c r="X266" s="3">
        <f t="shared" si="81"/>
        <v>1</v>
      </c>
    </row>
    <row r="267" spans="1:24">
      <c r="A267" s="74" t="s">
        <v>86</v>
      </c>
      <c r="B267" s="24" t="str">
        <f>VLOOKUP(A267,Participanti!A:B,2,0)</f>
        <v>M</v>
      </c>
      <c r="C267" s="75">
        <v>8</v>
      </c>
      <c r="D267" s="76">
        <v>60.33</v>
      </c>
      <c r="E267" s="77">
        <v>0.35415509259259265</v>
      </c>
      <c r="F267" s="78">
        <v>1259</v>
      </c>
      <c r="G267" s="20">
        <f t="shared" si="78"/>
        <v>5.8702982362438694E-3</v>
      </c>
      <c r="H267" s="16">
        <f>IF(B267="F",IF(G267&gt;Barem!$AC$2,0,IF(B267="F",VLOOKUP(D267,Barem!$B$2:$C$11,2,1))),IF(G267&gt;Barem!$AC$3,0,VLOOKUP(D267,Barem!$B$12:$C$21,2,1)))</f>
        <v>5</v>
      </c>
      <c r="I267" s="16">
        <f>IF(H267=0,0,IF(B267="F",VLOOKUP(G267,Barem!$G$2:$H$11,2,1),VLOOKUP(G267,Barem!$G$12:$H$21,2,1)))</f>
        <v>0</v>
      </c>
      <c r="J267" s="75">
        <v>4</v>
      </c>
      <c r="K267" s="82" t="str">
        <f>VLOOKUP($C267,Barem!$L$2:$R$13,7,0)</f>
        <v>D</v>
      </c>
      <c r="L267" s="17">
        <f t="shared" si="80"/>
        <v>0.5</v>
      </c>
      <c r="M267" s="17">
        <f t="shared" si="80"/>
        <v>0.25</v>
      </c>
      <c r="N267" s="17">
        <f t="shared" si="80"/>
        <v>0.25</v>
      </c>
      <c r="O267" s="81">
        <f t="shared" si="79"/>
        <v>0.83933333333333338</v>
      </c>
      <c r="P267" s="36">
        <f>IF(D267&gt;21,VLOOKUP(D267,Barem!$T$1:$U$39,2,1),0)</f>
        <v>0.7</v>
      </c>
      <c r="Q267" s="32">
        <f>IF(D267&lt;1.609,0,IF(B267="F",VLOOKUP(G267,Barem!$X$2:$Z$13,2,1),VLOOKUP(G267,Barem!$X$14:$Z$25,2,1)))</f>
        <v>0</v>
      </c>
      <c r="R267" s="36">
        <f>VLOOKUP(A267,Participanti!A:C,3,0)</f>
        <v>0</v>
      </c>
      <c r="S267" s="29">
        <f t="shared" si="73"/>
        <v>5.0393333333333334</v>
      </c>
      <c r="T267" s="79">
        <v>44037</v>
      </c>
      <c r="U267" s="16">
        <f>COUNTIFS(A:A,A267,C:C,C267)</f>
        <v>1</v>
      </c>
      <c r="V267" s="34">
        <f t="shared" si="72"/>
        <v>8.3529476766672189E-2</v>
      </c>
      <c r="W267" s="3" t="str">
        <f>VLOOKUP(A267,Data_echipe!A:O,15,0)</f>
        <v>Unicornii</v>
      </c>
      <c r="X267" s="3">
        <f t="shared" si="81"/>
        <v>0</v>
      </c>
    </row>
    <row r="268" spans="1:24">
      <c r="A268" s="74" t="s">
        <v>172</v>
      </c>
      <c r="B268" s="24" t="str">
        <f>VLOOKUP(A268,Participanti!A:B,2,0)</f>
        <v>F</v>
      </c>
      <c r="C268" s="75">
        <v>8</v>
      </c>
      <c r="D268" s="76">
        <v>21.01</v>
      </c>
      <c r="E268" s="77">
        <v>8.3368055555555556E-2</v>
      </c>
      <c r="F268" s="78">
        <v>6</v>
      </c>
      <c r="G268" s="20">
        <f t="shared" si="78"/>
        <v>3.9680178750859376E-3</v>
      </c>
      <c r="H268" s="16">
        <f>IF(B268="F",IF(G268&gt;Barem!$AC$2,0,IF(B268="F",VLOOKUP(D268,Barem!$B$2:$C$11,2,1))),IF(G268&gt;Barem!$AC$3,0,VLOOKUP(D268,Barem!$B$12:$C$21,2,1)))</f>
        <v>5</v>
      </c>
      <c r="I268" s="16">
        <f>IF(H268=0,0,IF(B268="F",VLOOKUP(G268,Barem!$G$2:$H$11,2,1),VLOOKUP(G268,Barem!$G$12:$H$21,2,1)))</f>
        <v>2.5</v>
      </c>
      <c r="J268" s="75">
        <v>3</v>
      </c>
      <c r="K268" s="83" t="s">
        <v>183</v>
      </c>
      <c r="L268" s="17">
        <f t="shared" si="80"/>
        <v>0.25</v>
      </c>
      <c r="M268" s="17">
        <f t="shared" si="80"/>
        <v>0.5</v>
      </c>
      <c r="N268" s="17">
        <f t="shared" si="80"/>
        <v>0.25</v>
      </c>
      <c r="O268" s="81">
        <f t="shared" si="79"/>
        <v>0</v>
      </c>
      <c r="P268" s="36">
        <f>IF(D268&gt;21,VLOOKUP(D268,Barem!$T$1:$U$39,2,1),0)</f>
        <v>0</v>
      </c>
      <c r="Q268" s="32">
        <f>IF(D268&lt;1.609,0,IF(B268="F",VLOOKUP(G268,Barem!$X$2:$Z$13,2,1),VLOOKUP(G268,Barem!$X$14:$Z$25,2,1)))</f>
        <v>0</v>
      </c>
      <c r="R268" s="36">
        <f>VLOOKUP(A268,Participanti!A:C,3,0)</f>
        <v>0</v>
      </c>
      <c r="S268" s="29">
        <f t="shared" si="73"/>
        <v>3.25</v>
      </c>
      <c r="T268" s="79">
        <v>44038</v>
      </c>
      <c r="U268" s="16">
        <f>COUNTIFS(A:A,A268,C:C,C268)</f>
        <v>1</v>
      </c>
      <c r="V268" s="34">
        <f t="shared" si="72"/>
        <v>0.15468824369347928</v>
      </c>
      <c r="W268" s="3" t="str">
        <f>VLOOKUP(A268,Data_echipe!A:O,15,0)</f>
        <v>Unicornii</v>
      </c>
      <c r="X268" s="3">
        <f t="shared" si="81"/>
        <v>1</v>
      </c>
    </row>
    <row r="269" spans="1:24">
      <c r="A269" s="74" t="s">
        <v>201</v>
      </c>
      <c r="B269" s="24" t="str">
        <f>VLOOKUP(A269,Participanti!A:B,2,0)</f>
        <v>F</v>
      </c>
      <c r="C269" s="75">
        <v>8</v>
      </c>
      <c r="D269" s="76">
        <v>20</v>
      </c>
      <c r="E269" s="77">
        <v>9.8090277777777776E-2</v>
      </c>
      <c r="F269" s="78">
        <v>612</v>
      </c>
      <c r="G269" s="20">
        <f t="shared" si="78"/>
        <v>4.9045138888888888E-3</v>
      </c>
      <c r="H269" s="16">
        <f>IF(B269="F",IF(G269&gt;Barem!$AC$2,0,IF(B269="F",VLOOKUP(D269,Barem!$B$2:$C$11,2,1))),IF(G269&gt;Barem!$AC$3,0,VLOOKUP(D269,Barem!$B$12:$C$21,2,1)))</f>
        <v>5</v>
      </c>
      <c r="I269" s="16">
        <f>IF(H269=0,0,IF(B269="F",VLOOKUP(G269,Barem!$G$2:$H$11,2,1),VLOOKUP(G269,Barem!$G$12:$H$21,2,1)))</f>
        <v>1</v>
      </c>
      <c r="J269" s="75">
        <v>4</v>
      </c>
      <c r="K269" s="82" t="str">
        <f>VLOOKUP($C269,Barem!$L$2:$R$13,7,0)</f>
        <v>D</v>
      </c>
      <c r="L269" s="17">
        <f t="shared" si="80"/>
        <v>0.5</v>
      </c>
      <c r="M269" s="17">
        <f t="shared" si="80"/>
        <v>0.25</v>
      </c>
      <c r="N269" s="17">
        <f t="shared" si="80"/>
        <v>0.25</v>
      </c>
      <c r="O269" s="81">
        <f t="shared" si="79"/>
        <v>0.40799999999999997</v>
      </c>
      <c r="P269" s="36">
        <f>IF(D269&gt;21,VLOOKUP(D269,Barem!$T$1:$U$39,2,1),0)</f>
        <v>0</v>
      </c>
      <c r="Q269" s="32">
        <f>IF(D269&lt;1.609,0,IF(B269="F",VLOOKUP(G269,Barem!$X$2:$Z$13,2,1),VLOOKUP(G269,Barem!$X$14:$Z$25,2,1)))</f>
        <v>0</v>
      </c>
      <c r="R269" s="36">
        <f>VLOOKUP(A269,Participanti!A:C,3,0)</f>
        <v>0</v>
      </c>
      <c r="S269" s="29">
        <f t="shared" si="73"/>
        <v>4.1580000000000004</v>
      </c>
      <c r="T269" s="79">
        <v>44035</v>
      </c>
      <c r="U269" s="16">
        <f>COUNTIFS(A:A,A269,C:C,C269)</f>
        <v>1</v>
      </c>
      <c r="V269" s="34">
        <f t="shared" si="72"/>
        <v>0.20790000000000003</v>
      </c>
      <c r="W269" s="3" t="str">
        <f>VLOOKUP(A269,Data_echipe!A:O,15,0)</f>
        <v>X Æ A-12</v>
      </c>
      <c r="X269" s="3">
        <f t="shared" si="81"/>
        <v>1</v>
      </c>
    </row>
    <row r="270" spans="1:24">
      <c r="A270" s="74" t="s">
        <v>171</v>
      </c>
      <c r="B270" s="24" t="str">
        <f>VLOOKUP(A270,Participanti!A:B,2,0)</f>
        <v>M</v>
      </c>
      <c r="C270" s="75">
        <v>8</v>
      </c>
      <c r="D270" s="76">
        <v>21.16</v>
      </c>
      <c r="E270" s="77">
        <v>8.516203703703705E-2</v>
      </c>
      <c r="F270" s="78">
        <v>757</v>
      </c>
      <c r="G270" s="20">
        <f t="shared" si="78"/>
        <v>4.0246709374781213E-3</v>
      </c>
      <c r="H270" s="16">
        <f>IF(B270="F",IF(G270&gt;Barem!$AC$2,0,IF(B270="F",VLOOKUP(D270,Barem!$B$2:$C$11,2,1))),IF(G270&gt;Barem!$AC$3,0,VLOOKUP(D270,Barem!$B$12:$C$21,2,1)))</f>
        <v>5</v>
      </c>
      <c r="I270" s="16">
        <f>IF(H270=0,0,IF(B270="F",VLOOKUP(G270,Barem!$G$2:$H$11,2,1),VLOOKUP(G270,Barem!$G$12:$H$21,2,1)))</f>
        <v>1.5</v>
      </c>
      <c r="J270" s="75">
        <v>3.5</v>
      </c>
      <c r="K270" s="82" t="str">
        <f>VLOOKUP($C270,Barem!$L$2:$R$13,7,0)</f>
        <v>D</v>
      </c>
      <c r="L270" s="17">
        <f t="shared" si="80"/>
        <v>0.5</v>
      </c>
      <c r="M270" s="17">
        <f t="shared" si="80"/>
        <v>0.25</v>
      </c>
      <c r="N270" s="17">
        <f t="shared" si="80"/>
        <v>0.25</v>
      </c>
      <c r="O270" s="81">
        <f t="shared" si="79"/>
        <v>0.50466666666666671</v>
      </c>
      <c r="P270" s="36">
        <f>IF(D270&gt;21,VLOOKUP(D270,Barem!$T$1:$U$39,2,1),0)</f>
        <v>0</v>
      </c>
      <c r="Q270" s="32">
        <f>IF(D270&lt;1.609,0,IF(B270="F",VLOOKUP(G270,Barem!$X$2:$Z$13,2,1),VLOOKUP(G270,Barem!$X$14:$Z$25,2,1)))</f>
        <v>0</v>
      </c>
      <c r="R270" s="36">
        <f>VLOOKUP(A270,Participanti!A:C,3,0)</f>
        <v>0</v>
      </c>
      <c r="S270" s="29">
        <f t="shared" si="73"/>
        <v>4.254666666666667</v>
      </c>
      <c r="T270" s="79">
        <v>44037</v>
      </c>
      <c r="U270" s="16">
        <f>COUNTIFS(A:A,A270,C:C,C270)</f>
        <v>1</v>
      </c>
      <c r="V270" s="34">
        <f t="shared" si="72"/>
        <v>0.20107120352867047</v>
      </c>
      <c r="W270" s="3" t="str">
        <f>VLOOKUP(A270,Data_echipe!A:O,15,0)</f>
        <v>X Æ A-12</v>
      </c>
      <c r="X270" s="3">
        <f t="shared" si="81"/>
        <v>1</v>
      </c>
    </row>
    <row r="271" spans="1:24">
      <c r="A271" s="74" t="s">
        <v>60</v>
      </c>
      <c r="B271" s="24" t="str">
        <f>VLOOKUP(A271,Participanti!A:B,2,0)</f>
        <v>M</v>
      </c>
      <c r="C271" s="75">
        <v>8</v>
      </c>
      <c r="D271" s="76">
        <v>25.11</v>
      </c>
      <c r="E271" s="77">
        <v>9.3136574074074066E-2</v>
      </c>
      <c r="F271" s="78">
        <v>49</v>
      </c>
      <c r="G271" s="20">
        <f t="shared" si="78"/>
        <v>3.709142734929274E-3</v>
      </c>
      <c r="H271" s="16">
        <f>IF(B271="F",IF(G271&gt;Barem!$AC$2,0,IF(B271="F",VLOOKUP(D271,Barem!$B$2:$C$11,2,1))),IF(G271&gt;Barem!$AC$3,0,VLOOKUP(D271,Barem!$B$12:$C$21,2,1)))</f>
        <v>5</v>
      </c>
      <c r="I271" s="16">
        <f>IF(H271=0,0,IF(B271="F",VLOOKUP(G271,Barem!$G$2:$H$11,2,1),VLOOKUP(G271,Barem!$G$12:$H$21,2,1)))</f>
        <v>2</v>
      </c>
      <c r="J271" s="75">
        <v>3.5</v>
      </c>
      <c r="K271" s="82" t="str">
        <f>VLOOKUP($C271,Barem!$L$2:$R$13,7,0)</f>
        <v>D</v>
      </c>
      <c r="L271" s="17">
        <f t="shared" si="80"/>
        <v>0.5</v>
      </c>
      <c r="M271" s="17">
        <f t="shared" si="80"/>
        <v>0.25</v>
      </c>
      <c r="N271" s="17">
        <f t="shared" si="80"/>
        <v>0.25</v>
      </c>
      <c r="O271" s="81">
        <f t="shared" si="79"/>
        <v>0</v>
      </c>
      <c r="P271" s="36">
        <f>IF(D271&gt;21,VLOOKUP(D271,Barem!$T$1:$U$39,2,1),0)</f>
        <v>0</v>
      </c>
      <c r="Q271" s="32">
        <f>IF(D271&lt;1.609,0,IF(B271="F",VLOOKUP(G271,Barem!$X$2:$Z$13,2,1),VLOOKUP(G271,Barem!$X$14:$Z$25,2,1)))</f>
        <v>0</v>
      </c>
      <c r="R271" s="36">
        <f>VLOOKUP(A271,Participanti!A:C,3,0)</f>
        <v>0</v>
      </c>
      <c r="S271" s="29">
        <f t="shared" si="73"/>
        <v>3.875</v>
      </c>
      <c r="T271" s="79">
        <v>44033</v>
      </c>
      <c r="U271" s="16">
        <f>COUNTIFS(A:A,A271,C:C,C271)</f>
        <v>1</v>
      </c>
      <c r="V271" s="34">
        <f t="shared" si="72"/>
        <v>0.15432098765432098</v>
      </c>
      <c r="W271" s="3" t="str">
        <f>VLOOKUP(A271,Data_echipe!A:O,15,0)</f>
        <v>Tenchei</v>
      </c>
      <c r="X271" s="3">
        <f t="shared" si="81"/>
        <v>1</v>
      </c>
    </row>
    <row r="272" spans="1:24">
      <c r="A272" s="74" t="s">
        <v>200</v>
      </c>
      <c r="B272" s="24" t="str">
        <f>VLOOKUP(A272,Participanti!A:B,2,0)</f>
        <v>M</v>
      </c>
      <c r="C272" s="75">
        <v>8</v>
      </c>
      <c r="D272" s="76">
        <v>21.31</v>
      </c>
      <c r="E272" s="77">
        <v>9.6527777777777768E-2</v>
      </c>
      <c r="F272" s="78">
        <v>821</v>
      </c>
      <c r="G272" s="20">
        <f t="shared" si="78"/>
        <v>4.529693936075916E-3</v>
      </c>
      <c r="H272" s="16">
        <f>IF(B272="F",IF(G272&gt;Barem!$AC$2,0,IF(B272="F",VLOOKUP(D272,Barem!$B$2:$C$11,2,1))),IF(G272&gt;Barem!$AC$3,0,VLOOKUP(D272,Barem!$B$12:$C$21,2,1)))</f>
        <v>5</v>
      </c>
      <c r="I272" s="16">
        <f>IF(H272=0,0,IF(B272="F",VLOOKUP(G272,Barem!$G$2:$H$11,2,1),VLOOKUP(G272,Barem!$G$12:$H$21,2,1)))</f>
        <v>1</v>
      </c>
      <c r="J272" s="75">
        <v>3</v>
      </c>
      <c r="K272" s="82" t="str">
        <f>VLOOKUP($C272,Barem!$L$2:$R$13,7,0)</f>
        <v>D</v>
      </c>
      <c r="L272" s="17">
        <f t="shared" si="80"/>
        <v>0.5</v>
      </c>
      <c r="M272" s="17">
        <f t="shared" si="80"/>
        <v>0.25</v>
      </c>
      <c r="N272" s="17">
        <f t="shared" si="80"/>
        <v>0.25</v>
      </c>
      <c r="O272" s="81">
        <f t="shared" si="79"/>
        <v>0.54733333333333334</v>
      </c>
      <c r="P272" s="36">
        <f>IF(D272&gt;21,VLOOKUP(D272,Barem!$T$1:$U$39,2,1),0)</f>
        <v>0</v>
      </c>
      <c r="Q272" s="32">
        <f>IF(D272&lt;1.609,0,IF(B272="F",VLOOKUP(G272,Barem!$X$2:$Z$13,2,1),VLOOKUP(G272,Barem!$X$14:$Z$25,2,1)))</f>
        <v>0</v>
      </c>
      <c r="R272" s="36">
        <f>VLOOKUP(A272,Participanti!A:C,3,0)</f>
        <v>0</v>
      </c>
      <c r="S272" s="29">
        <f t="shared" si="73"/>
        <v>4.0473333333333334</v>
      </c>
      <c r="T272" s="79">
        <v>44037</v>
      </c>
      <c r="U272" s="16">
        <f>COUNTIFS(A:A,A272,C:C,C272)</f>
        <v>1</v>
      </c>
      <c r="V272" s="34">
        <f t="shared" si="72"/>
        <v>0.18992648208978571</v>
      </c>
      <c r="W272" s="3" t="str">
        <f>VLOOKUP(A272,Data_echipe!A:O,15,0)</f>
        <v xml:space="preserve"> Let it run</v>
      </c>
      <c r="X272" s="3">
        <f t="shared" si="81"/>
        <v>1</v>
      </c>
    </row>
    <row r="273" spans="1:24">
      <c r="A273" s="74" t="s">
        <v>47</v>
      </c>
      <c r="B273" s="24" t="str">
        <f>VLOOKUP(A273,Participanti!A:B,2,0)</f>
        <v>M</v>
      </c>
      <c r="C273" s="75">
        <v>8</v>
      </c>
      <c r="D273" s="76">
        <v>10.050000000000001</v>
      </c>
      <c r="E273" s="77">
        <v>3.4895833333333334E-2</v>
      </c>
      <c r="F273" s="78">
        <v>19</v>
      </c>
      <c r="G273" s="20">
        <f t="shared" si="78"/>
        <v>3.472222222222222E-3</v>
      </c>
      <c r="H273" s="16">
        <f>IF(B273="F",IF(G273&gt;Barem!$AC$2,0,IF(B273="F",VLOOKUP(D273,Barem!$B$2:$C$11,2,1))),IF(G273&gt;Barem!$AC$3,0,VLOOKUP(D273,Barem!$B$12:$C$21,2,1)))</f>
        <v>2.5</v>
      </c>
      <c r="I273" s="16">
        <f>IF(H273=0,0,IF(B273="F",VLOOKUP(G273,Barem!$G$2:$H$11,2,1),VLOOKUP(G273,Barem!$G$12:$H$21,2,1)))</f>
        <v>3</v>
      </c>
      <c r="J273" s="75">
        <v>3.5</v>
      </c>
      <c r="K273" s="83" t="s">
        <v>183</v>
      </c>
      <c r="L273" s="17">
        <f t="shared" si="80"/>
        <v>0.25</v>
      </c>
      <c r="M273" s="17">
        <f t="shared" si="80"/>
        <v>0.5</v>
      </c>
      <c r="N273" s="17">
        <f t="shared" si="80"/>
        <v>0.25</v>
      </c>
      <c r="O273" s="81">
        <f t="shared" si="79"/>
        <v>0</v>
      </c>
      <c r="P273" s="36">
        <f>IF(D273&gt;21,VLOOKUP(D273,Barem!$T$1:$U$39,2,1),0)</f>
        <v>0</v>
      </c>
      <c r="Q273" s="32">
        <f>IF(D273&lt;1.609,0,IF(B273="F",VLOOKUP(G273,Barem!$X$2:$Z$13,2,1),VLOOKUP(G273,Barem!$X$14:$Z$25,2,1)))</f>
        <v>0</v>
      </c>
      <c r="R273" s="36">
        <f>VLOOKUP(A273,Participanti!A:C,3,0)</f>
        <v>0</v>
      </c>
      <c r="S273" s="29">
        <f t="shared" si="73"/>
        <v>3</v>
      </c>
      <c r="T273" s="79">
        <v>44033</v>
      </c>
      <c r="U273" s="16">
        <f>COUNTIFS(A:A,A273,C:C,C273)</f>
        <v>1</v>
      </c>
      <c r="V273" s="34">
        <f t="shared" si="72"/>
        <v>0.29850746268656714</v>
      </c>
      <c r="W273" s="3" t="str">
        <f>VLOOKUP(A273,Data_echipe!A:O,15,0)</f>
        <v>X Æ A-12</v>
      </c>
      <c r="X273" s="3">
        <f t="shared" si="81"/>
        <v>1</v>
      </c>
    </row>
    <row r="274" spans="1:24">
      <c r="A274" s="74" t="s">
        <v>57</v>
      </c>
      <c r="B274" s="24" t="str">
        <f>VLOOKUP(A274,Participanti!A:B,2,0)</f>
        <v>M</v>
      </c>
      <c r="C274" s="75">
        <v>8</v>
      </c>
      <c r="D274" s="76">
        <v>55.48</v>
      </c>
      <c r="E274" s="77">
        <v>0.2338888888888889</v>
      </c>
      <c r="F274" s="78">
        <v>1401</v>
      </c>
      <c r="G274" s="20">
        <f t="shared" si="78"/>
        <v>4.2157333974204925E-3</v>
      </c>
      <c r="H274" s="16">
        <f>IF(B274="F",IF(G274&gt;Barem!$AC$2,0,IF(B274="F",VLOOKUP(D274,Barem!$B$2:$C$11,2,1))),IF(G274&gt;Barem!$AC$3,0,VLOOKUP(D274,Barem!$B$12:$C$21,2,1)))</f>
        <v>5</v>
      </c>
      <c r="I274" s="16">
        <f>IF(H274=0,0,IF(B274="F",VLOOKUP(G274,Barem!$G$2:$H$11,2,1),VLOOKUP(G274,Barem!$G$12:$H$21,2,1)))</f>
        <v>1</v>
      </c>
      <c r="J274" s="75">
        <v>4</v>
      </c>
      <c r="K274" s="82" t="str">
        <f>VLOOKUP($C274,Barem!$L$2:$R$13,7,0)</f>
        <v>D</v>
      </c>
      <c r="L274" s="17">
        <f t="shared" si="80"/>
        <v>0.5</v>
      </c>
      <c r="M274" s="17">
        <f t="shared" si="80"/>
        <v>0.25</v>
      </c>
      <c r="N274" s="17">
        <f t="shared" si="80"/>
        <v>0.25</v>
      </c>
      <c r="O274" s="81">
        <f t="shared" si="79"/>
        <v>0.93400000000000005</v>
      </c>
      <c r="P274" s="36">
        <f>IF(D274&gt;21,VLOOKUP(D274,Barem!$T$1:$U$39,2,1),0)</f>
        <v>0.6</v>
      </c>
      <c r="Q274" s="32">
        <f>IF(D274&lt;1.609,0,IF(B274="F",VLOOKUP(G274,Barem!$X$2:$Z$13,2,1),VLOOKUP(G274,Barem!$X$14:$Z$25,2,1)))</f>
        <v>0</v>
      </c>
      <c r="R274" s="36">
        <f>VLOOKUP(A274,Participanti!A:C,3,0)</f>
        <v>0</v>
      </c>
      <c r="S274" s="29">
        <f t="shared" ref="S274:S305" si="82">H274*L274+I274*M274+J274*N274+O274+P274+Q274+R274</f>
        <v>5.2839999999999998</v>
      </c>
      <c r="T274" s="79">
        <v>44038</v>
      </c>
      <c r="U274" s="16">
        <f>COUNTIFS(A:A,A274,C:C,C274)</f>
        <v>1</v>
      </c>
      <c r="V274" s="34">
        <f t="shared" ref="V274:V305" si="83">S274/D274</f>
        <v>9.5241528478731075E-2</v>
      </c>
      <c r="W274" s="3" t="str">
        <f>VLOOKUP(A274,Data_echipe!A:O,15,0)</f>
        <v>Tenchei</v>
      </c>
      <c r="X274" s="3">
        <f t="shared" si="81"/>
        <v>1</v>
      </c>
    </row>
    <row r="275" spans="1:24">
      <c r="A275" s="74" t="s">
        <v>55</v>
      </c>
      <c r="B275" s="24" t="str">
        <f>VLOOKUP(A275,Participanti!A:B,2,0)</f>
        <v>M</v>
      </c>
      <c r="C275" s="75">
        <v>8</v>
      </c>
      <c r="D275" s="76">
        <v>3.04</v>
      </c>
      <c r="E275" s="77">
        <v>7.3148148148148148E-3</v>
      </c>
      <c r="F275" s="78">
        <v>12</v>
      </c>
      <c r="G275" s="20">
        <f t="shared" si="78"/>
        <v>2.4061890838206626E-3</v>
      </c>
      <c r="H275" s="16">
        <f>IF(B275="F",IF(G275&gt;Barem!$AC$2,0,IF(B275="F",VLOOKUP(D275,Barem!$B$2:$C$11,2,1))),IF(G275&gt;Barem!$AC$3,0,VLOOKUP(D275,Barem!$B$12:$C$21,2,1)))</f>
        <v>1</v>
      </c>
      <c r="I275" s="16">
        <f>IF(H275=0,0,IF(B275="F",VLOOKUP(G275,Barem!$G$2:$H$11,2,1),VLOOKUP(G275,Barem!$G$12:$H$21,2,1)))</f>
        <v>5</v>
      </c>
      <c r="J275" s="75">
        <v>3.5</v>
      </c>
      <c r="K275" s="83" t="s">
        <v>183</v>
      </c>
      <c r="L275" s="17">
        <f t="shared" ref="L275:N290" si="84">IF($K275=L$1,50%,25%)</f>
        <v>0.25</v>
      </c>
      <c r="M275" s="17">
        <f t="shared" si="84"/>
        <v>0.5</v>
      </c>
      <c r="N275" s="17">
        <f t="shared" si="84"/>
        <v>0.25</v>
      </c>
      <c r="O275" s="81">
        <f t="shared" si="79"/>
        <v>0</v>
      </c>
      <c r="P275" s="36">
        <f>IF(D275&gt;21,VLOOKUP(D275,Barem!$T$1:$U$39,2,1),0)</f>
        <v>0</v>
      </c>
      <c r="Q275" s="32">
        <f>IF(D275&lt;1.609,0,IF(B275="F",VLOOKUP(G275,Barem!$X$2:$Z$13,2,1),VLOOKUP(G275,Barem!$X$14:$Z$25,2,1)))</f>
        <v>2.8</v>
      </c>
      <c r="R275" s="36">
        <f>VLOOKUP(A275,Participanti!A:C,3,0)</f>
        <v>0</v>
      </c>
      <c r="S275" s="29">
        <f t="shared" si="82"/>
        <v>6.4249999999999998</v>
      </c>
      <c r="T275" s="79">
        <v>44035</v>
      </c>
      <c r="U275" s="16">
        <f>COUNTIFS(A:A,A275,C:C,C275)</f>
        <v>1</v>
      </c>
      <c r="V275" s="34">
        <f t="shared" si="83"/>
        <v>2.1134868421052633</v>
      </c>
      <c r="W275" s="3" t="str">
        <f>VLOOKUP(A275,Data_echipe!A:O,15,0)</f>
        <v>Serioranistii</v>
      </c>
      <c r="X275" s="3">
        <f t="shared" si="81"/>
        <v>1</v>
      </c>
    </row>
    <row r="276" spans="1:24">
      <c r="A276" s="74" t="s">
        <v>202</v>
      </c>
      <c r="B276" s="24" t="str">
        <f>VLOOKUP(A276,Participanti!A:B,2,0)</f>
        <v>M</v>
      </c>
      <c r="C276" s="75">
        <v>8</v>
      </c>
      <c r="D276" s="76">
        <v>14.01</v>
      </c>
      <c r="E276" s="77">
        <v>6.1759259259259257E-2</v>
      </c>
      <c r="F276" s="78">
        <v>104</v>
      </c>
      <c r="G276" s="20">
        <f t="shared" si="78"/>
        <v>4.4082269278557639E-3</v>
      </c>
      <c r="H276" s="16">
        <f>IF(B276="F",IF(G276&gt;Barem!$AC$2,0,IF(B276="F",VLOOKUP(D276,Barem!$B$2:$C$11,2,1))),IF(G276&gt;Barem!$AC$3,0,VLOOKUP(D276,Barem!$B$12:$C$21,2,1)))</f>
        <v>3</v>
      </c>
      <c r="I276" s="16">
        <f>IF(H276=0,0,IF(B276="F",VLOOKUP(G276,Barem!$G$2:$H$11,2,1),VLOOKUP(G276,Barem!$G$12:$H$21,2,1)))</f>
        <v>1</v>
      </c>
      <c r="J276" s="75">
        <v>3.5</v>
      </c>
      <c r="K276" s="82" t="str">
        <f>VLOOKUP($C276,Barem!$L$2:$R$13,7,0)</f>
        <v>D</v>
      </c>
      <c r="L276" s="17">
        <f t="shared" si="84"/>
        <v>0.5</v>
      </c>
      <c r="M276" s="17">
        <f t="shared" si="84"/>
        <v>0.25</v>
      </c>
      <c r="N276" s="17">
        <f t="shared" si="84"/>
        <v>0.25</v>
      </c>
      <c r="O276" s="81">
        <f t="shared" si="79"/>
        <v>6.933333333333333E-2</v>
      </c>
      <c r="P276" s="36">
        <f>IF(D276&gt;21,VLOOKUP(D276,Barem!$T$1:$U$39,2,1),0)</f>
        <v>0</v>
      </c>
      <c r="Q276" s="32">
        <f>IF(D276&lt;1.609,0,IF(B276="F",VLOOKUP(G276,Barem!$X$2:$Z$13,2,1),VLOOKUP(G276,Barem!$X$14:$Z$25,2,1)))</f>
        <v>0</v>
      </c>
      <c r="R276" s="36">
        <f>VLOOKUP(A276,Participanti!A:C,3,0)</f>
        <v>0</v>
      </c>
      <c r="S276" s="29">
        <f t="shared" si="82"/>
        <v>2.6943333333333332</v>
      </c>
      <c r="T276" s="79">
        <v>44035</v>
      </c>
      <c r="U276" s="16">
        <f>COUNTIFS(A:A,A276,C:C,C276)</f>
        <v>1</v>
      </c>
      <c r="V276" s="34">
        <f t="shared" si="83"/>
        <v>0.19231501308589102</v>
      </c>
      <c r="W276" s="3" t="str">
        <f>VLOOKUP(A276,Data_echipe!A:O,15,0)</f>
        <v>X Æ A-12</v>
      </c>
      <c r="X276" s="3">
        <f t="shared" si="81"/>
        <v>1</v>
      </c>
    </row>
    <row r="277" spans="1:24">
      <c r="A277" s="74" t="s">
        <v>65</v>
      </c>
      <c r="B277" s="24" t="str">
        <f>VLOOKUP(A277,Participanti!A:B,2,0)</f>
        <v>M</v>
      </c>
      <c r="C277" s="75">
        <v>8</v>
      </c>
      <c r="D277" s="76">
        <v>42.38</v>
      </c>
      <c r="E277" s="77">
        <v>0.16474537037037038</v>
      </c>
      <c r="F277" s="78">
        <v>80</v>
      </c>
      <c r="G277" s="20">
        <f t="shared" si="78"/>
        <v>3.8873376680125145E-3</v>
      </c>
      <c r="H277" s="16">
        <f>IF(B277="F",IF(G277&gt;Barem!$AC$2,0,IF(B277="F",VLOOKUP(D277,Barem!$B$2:$C$11,2,1))),IF(G277&gt;Barem!$AC$3,0,VLOOKUP(D277,Barem!$B$12:$C$21,2,1)))</f>
        <v>5</v>
      </c>
      <c r="I277" s="16">
        <f>IF(H277=0,0,IF(B277="F",VLOOKUP(G277,Barem!$G$2:$H$11,2,1),VLOOKUP(G277,Barem!$G$12:$H$21,2,1)))</f>
        <v>1.5</v>
      </c>
      <c r="J277" s="75">
        <v>3</v>
      </c>
      <c r="K277" s="83" t="s">
        <v>184</v>
      </c>
      <c r="L277" s="17">
        <f t="shared" si="84"/>
        <v>0.25</v>
      </c>
      <c r="M277" s="17">
        <f t="shared" si="84"/>
        <v>0.25</v>
      </c>
      <c r="N277" s="17">
        <f t="shared" si="84"/>
        <v>0.5</v>
      </c>
      <c r="O277" s="81">
        <f t="shared" si="79"/>
        <v>0</v>
      </c>
      <c r="P277" s="36">
        <f>IF(D277&gt;21,VLOOKUP(D277,Barem!$T$1:$U$39,2,1),0)</f>
        <v>0.4</v>
      </c>
      <c r="Q277" s="32">
        <f>IF(D277&lt;1.609,0,IF(B277="F",VLOOKUP(G277,Barem!$X$2:$Z$13,2,1),VLOOKUP(G277,Barem!$X$14:$Z$25,2,1)))</f>
        <v>0</v>
      </c>
      <c r="R277" s="36">
        <f>VLOOKUP(A277,Participanti!A:C,3,0)</f>
        <v>0</v>
      </c>
      <c r="S277" s="29">
        <f t="shared" si="82"/>
        <v>3.5249999999999999</v>
      </c>
      <c r="T277" s="79">
        <v>44038</v>
      </c>
      <c r="U277" s="16">
        <f>COUNTIFS(A:A,A277,C:C,C277)</f>
        <v>1</v>
      </c>
      <c r="V277" s="34">
        <f t="shared" si="83"/>
        <v>8.3176026427560168E-2</v>
      </c>
      <c r="W277" s="3" t="str">
        <f>VLOOKUP(A277,Data_echipe!A:O,15,0)</f>
        <v>X Æ A-12</v>
      </c>
      <c r="X277" s="3">
        <f t="shared" si="81"/>
        <v>1</v>
      </c>
    </row>
    <row r="278" spans="1:24">
      <c r="A278" s="74" t="s">
        <v>83</v>
      </c>
      <c r="B278" s="24" t="str">
        <f>VLOOKUP(A278,Participanti!A:B,2,0)</f>
        <v>F</v>
      </c>
      <c r="C278" s="75">
        <v>8</v>
      </c>
      <c r="D278" s="76">
        <v>8</v>
      </c>
      <c r="E278" s="77">
        <v>3.9120370370370368E-2</v>
      </c>
      <c r="F278" s="78">
        <v>0</v>
      </c>
      <c r="G278" s="20">
        <f t="shared" si="78"/>
        <v>4.890046296296296E-3</v>
      </c>
      <c r="H278" s="16">
        <f>IF(B278="F",IF(G278&gt;Barem!$AC$2,0,IF(B278="F",VLOOKUP(D278,Barem!$B$2:$C$11,2,1))),IF(G278&gt;Barem!$AC$3,0,VLOOKUP(D278,Barem!$B$12:$C$21,2,1)))</f>
        <v>2</v>
      </c>
      <c r="I278" s="16">
        <f>IF(H278=0,0,IF(B278="F",VLOOKUP(G278,Barem!$G$2:$H$11,2,1),VLOOKUP(G278,Barem!$G$12:$H$21,2,1)))</f>
        <v>1</v>
      </c>
      <c r="J278" s="75">
        <v>2.5</v>
      </c>
      <c r="K278" s="82" t="str">
        <f>VLOOKUP($C278,Barem!$L$2:$R$13,7,0)</f>
        <v>D</v>
      </c>
      <c r="L278" s="17">
        <f t="shared" si="84"/>
        <v>0.5</v>
      </c>
      <c r="M278" s="17">
        <f t="shared" si="84"/>
        <v>0.25</v>
      </c>
      <c r="N278" s="17">
        <f t="shared" si="84"/>
        <v>0.25</v>
      </c>
      <c r="O278" s="81">
        <f t="shared" si="79"/>
        <v>0</v>
      </c>
      <c r="P278" s="36">
        <f>IF(D278&gt;21,VLOOKUP(D278,Barem!$T$1:$U$39,2,1),0)</f>
        <v>0</v>
      </c>
      <c r="Q278" s="32">
        <f>IF(D278&lt;1.609,0,IF(B278="F",VLOOKUP(G278,Barem!$X$2:$Z$13,2,1),VLOOKUP(G278,Barem!$X$14:$Z$25,2,1)))</f>
        <v>0</v>
      </c>
      <c r="R278" s="36">
        <f>VLOOKUP(A278,Participanti!A:C,3,0)</f>
        <v>0.75</v>
      </c>
      <c r="S278" s="29">
        <f t="shared" si="82"/>
        <v>2.625</v>
      </c>
      <c r="T278" s="79">
        <v>44038</v>
      </c>
      <c r="U278" s="16">
        <f>COUNTIFS(A:A,A278,C:C,C278)</f>
        <v>1</v>
      </c>
      <c r="V278" s="34">
        <f t="shared" si="83"/>
        <v>0.328125</v>
      </c>
      <c r="W278" s="3" t="str">
        <f>VLOOKUP(A278,Data_echipe!A:O,15,0)</f>
        <v>Tenchei</v>
      </c>
      <c r="X278" s="3">
        <f t="shared" si="81"/>
        <v>1</v>
      </c>
    </row>
    <row r="279" spans="1:24" ht="12.75" thickBot="1">
      <c r="A279" s="94" t="s">
        <v>170</v>
      </c>
      <c r="B279" s="95" t="str">
        <f>VLOOKUP(A279,Participanti!A:B,2,0)</f>
        <v>M</v>
      </c>
      <c r="C279" s="96">
        <v>8</v>
      </c>
      <c r="D279" s="97">
        <v>7.08</v>
      </c>
      <c r="E279" s="98">
        <v>2.3877314814814813E-2</v>
      </c>
      <c r="F279" s="99">
        <v>8</v>
      </c>
      <c r="G279" s="100">
        <f t="shared" si="78"/>
        <v>3.3725020924879681E-3</v>
      </c>
      <c r="H279" s="101">
        <f>IF(B279="F",IF(G279&gt;Barem!$AC$2,0,IF(B279="F",VLOOKUP(D279,Barem!$B$2:$C$11,2,1))),IF(G279&gt;Barem!$AC$3,0,VLOOKUP(D279,Barem!$B$12:$C$21,2,1)))</f>
        <v>2</v>
      </c>
      <c r="I279" s="101">
        <f>IF(H279=0,0,IF(B279="F",VLOOKUP(G279,Barem!$G$2:$H$11,2,1),VLOOKUP(G279,Barem!$G$12:$H$21,2,1)))</f>
        <v>3</v>
      </c>
      <c r="J279" s="96">
        <v>0.5</v>
      </c>
      <c r="K279" s="102" t="str">
        <f>VLOOKUP($C279,Barem!$L$2:$R$13,7,0)</f>
        <v>D</v>
      </c>
      <c r="L279" s="103">
        <f t="shared" si="84"/>
        <v>0.5</v>
      </c>
      <c r="M279" s="103">
        <f t="shared" si="84"/>
        <v>0.25</v>
      </c>
      <c r="N279" s="103">
        <f t="shared" si="84"/>
        <v>0.25</v>
      </c>
      <c r="O279" s="104">
        <f t="shared" si="79"/>
        <v>0</v>
      </c>
      <c r="P279" s="105">
        <f>IF(D279&gt;21,VLOOKUP(D279,Barem!$T$1:$U$39,2,1),0)</f>
        <v>0</v>
      </c>
      <c r="Q279" s="106">
        <f>IF(D279&lt;1.609,0,IF(B279="F",VLOOKUP(G279,Barem!$X$2:$Z$13,2,1),VLOOKUP(G279,Barem!$X$14:$Z$25,2,1)))</f>
        <v>0</v>
      </c>
      <c r="R279" s="105">
        <f>VLOOKUP(A279,Participanti!A:C,3,0)</f>
        <v>0</v>
      </c>
      <c r="S279" s="107">
        <f t="shared" si="82"/>
        <v>1.875</v>
      </c>
      <c r="T279" s="108">
        <v>44037</v>
      </c>
      <c r="U279" s="101">
        <f>COUNTIFS(A:A,A279,C:C,C279)</f>
        <v>1</v>
      </c>
      <c r="V279" s="109">
        <f t="shared" si="83"/>
        <v>0.26483050847457629</v>
      </c>
      <c r="W279" s="110" t="str">
        <f>VLOOKUP(A279,Data_echipe!A:O,15,0)</f>
        <v>Tenchei</v>
      </c>
      <c r="X279" s="3">
        <f t="shared" si="81"/>
        <v>1</v>
      </c>
    </row>
    <row r="280" spans="1:24">
      <c r="A280" s="74" t="s">
        <v>6</v>
      </c>
      <c r="B280" s="24" t="str">
        <f>VLOOKUP(A280,Participanti!A:B,2,0)</f>
        <v>F</v>
      </c>
      <c r="C280" s="75">
        <v>9</v>
      </c>
      <c r="D280" s="76">
        <v>20.010000000000002</v>
      </c>
      <c r="E280" s="77">
        <v>6.9074074074074079E-2</v>
      </c>
      <c r="F280" s="78">
        <v>41</v>
      </c>
      <c r="G280" s="20">
        <f t="shared" si="78"/>
        <v>3.4519777148462804E-3</v>
      </c>
      <c r="H280" s="16">
        <f>IF(B280="F",IF(G280&gt;Barem!$AC$2,0,IF(B280="F",VLOOKUP(D280,Barem!$B$2:$C$11,2,1))),IF(G280&gt;Barem!$AC$3,0,VLOOKUP(D280,Barem!$B$12:$C$21,2,1)))</f>
        <v>5</v>
      </c>
      <c r="I280" s="16">
        <f>IF(H280=0,0,IF(B280="F",VLOOKUP(G280,Barem!$G$2:$H$11,2,1),VLOOKUP(G280,Barem!$G$12:$H$21,2,1)))</f>
        <v>4</v>
      </c>
      <c r="J280" s="75">
        <v>3</v>
      </c>
      <c r="K280" s="83" t="s">
        <v>182</v>
      </c>
      <c r="L280" s="17">
        <f t="shared" si="84"/>
        <v>0.5</v>
      </c>
      <c r="M280" s="17">
        <f t="shared" si="84"/>
        <v>0.25</v>
      </c>
      <c r="N280" s="17">
        <f t="shared" si="84"/>
        <v>0.25</v>
      </c>
      <c r="O280" s="81">
        <f t="shared" si="79"/>
        <v>0</v>
      </c>
      <c r="P280" s="36">
        <f>IF(D280&gt;21,VLOOKUP(D280,Barem!$T$1:$U$39,2,1),0)</f>
        <v>0</v>
      </c>
      <c r="Q280" s="32">
        <f>IF(D280&lt;1.609,0,IF(B280="F",VLOOKUP(G280,Barem!$X$2:$Z$13,2,1),VLOOKUP(G280,Barem!$X$14:$Z$25,2,1)))</f>
        <v>0</v>
      </c>
      <c r="R280" s="36">
        <f>VLOOKUP(A280,Participanti!A:C,3,0)</f>
        <v>0</v>
      </c>
      <c r="S280" s="29">
        <f t="shared" si="82"/>
        <v>4.25</v>
      </c>
      <c r="T280" s="79">
        <v>44044</v>
      </c>
      <c r="U280" s="16">
        <f>COUNTIFS(A:A,A280,C:C,C280)</f>
        <v>1</v>
      </c>
      <c r="V280" s="34">
        <f t="shared" si="83"/>
        <v>0.21239380309845077</v>
      </c>
      <c r="W280" s="3" t="str">
        <f>VLOOKUP(A280,Data_echipe!A:O,15,0)</f>
        <v>Unicornii</v>
      </c>
      <c r="X280" s="3">
        <f t="shared" si="81"/>
        <v>1</v>
      </c>
    </row>
    <row r="281" spans="1:24">
      <c r="A281" s="74" t="s">
        <v>82</v>
      </c>
      <c r="B281" s="24" t="str">
        <f>VLOOKUP(A281,Participanti!A:B,2,0)</f>
        <v>M</v>
      </c>
      <c r="C281" s="75">
        <v>9</v>
      </c>
      <c r="D281" s="76">
        <v>21.07</v>
      </c>
      <c r="E281" s="77">
        <v>0.14716435185185187</v>
      </c>
      <c r="F281" s="78">
        <v>1409</v>
      </c>
      <c r="G281" s="20">
        <f t="shared" si="78"/>
        <v>6.9845444637803445E-3</v>
      </c>
      <c r="H281" s="16">
        <f>IF(B281="F",IF(G281&gt;Barem!$AC$2,0,IF(B281="F",VLOOKUP(D281,Barem!$B$2:$C$11,2,1))),IF(G281&gt;Barem!$AC$3,0,VLOOKUP(D281,Barem!$B$12:$C$21,2,1)))</f>
        <v>5</v>
      </c>
      <c r="I281" s="16">
        <f>IF(H281=0,0,IF(B281="F",VLOOKUP(G281,Barem!$G$2:$H$11,2,1),VLOOKUP(G281,Barem!$G$12:$H$21,2,1)))</f>
        <v>0</v>
      </c>
      <c r="J281" s="75">
        <v>4</v>
      </c>
      <c r="K281" s="83" t="s">
        <v>182</v>
      </c>
      <c r="L281" s="17">
        <f t="shared" si="84"/>
        <v>0.5</v>
      </c>
      <c r="M281" s="17">
        <f t="shared" si="84"/>
        <v>0.25</v>
      </c>
      <c r="N281" s="17">
        <f t="shared" si="84"/>
        <v>0.25</v>
      </c>
      <c r="O281" s="81">
        <f t="shared" si="79"/>
        <v>0.93933333333333335</v>
      </c>
      <c r="P281" s="36">
        <f>IF(D281&gt;21,VLOOKUP(D281,Barem!$T$1:$U$39,2,1),0)</f>
        <v>0</v>
      </c>
      <c r="Q281" s="32">
        <f>IF(D281&lt;1.609,0,IF(B281="F",VLOOKUP(G281,Barem!$X$2:$Z$13,2,1),VLOOKUP(G281,Barem!$X$14:$Z$25,2,1)))</f>
        <v>0</v>
      </c>
      <c r="R281" s="36">
        <f>VLOOKUP(A281,Participanti!A:C,3,0)</f>
        <v>0</v>
      </c>
      <c r="S281" s="29">
        <f t="shared" si="82"/>
        <v>4.4393333333333338</v>
      </c>
      <c r="T281" s="79">
        <v>44041</v>
      </c>
      <c r="U281" s="16">
        <v>0</v>
      </c>
      <c r="V281" s="34">
        <f t="shared" si="83"/>
        <v>0.21069451036228448</v>
      </c>
      <c r="W281" s="3" t="str">
        <f>VLOOKUP(A281,Data_echipe!A:O,15,0)</f>
        <v xml:space="preserve"> Let it run</v>
      </c>
      <c r="X281" s="3">
        <f t="shared" si="81"/>
        <v>0</v>
      </c>
    </row>
    <row r="282" spans="1:24">
      <c r="A282" s="74" t="s">
        <v>64</v>
      </c>
      <c r="B282" s="24" t="str">
        <f>VLOOKUP(A282,Participanti!A:B,2,0)</f>
        <v>M</v>
      </c>
      <c r="C282" s="75">
        <v>9</v>
      </c>
      <c r="D282" s="76">
        <v>10.08</v>
      </c>
      <c r="E282" s="77">
        <v>4.7905092592592589E-2</v>
      </c>
      <c r="F282" s="78">
        <v>8</v>
      </c>
      <c r="G282" s="20">
        <f t="shared" si="78"/>
        <v>4.7524893445032327E-3</v>
      </c>
      <c r="H282" s="16">
        <f>IF(B282="F",IF(G282&gt;Barem!$AC$2,0,IF(B282="F",VLOOKUP(D282,Barem!$B$2:$C$11,2,1))),IF(G282&gt;Barem!$AC$3,0,VLOOKUP(D282,Barem!$B$12:$C$21,2,1)))</f>
        <v>2.5</v>
      </c>
      <c r="I282" s="16">
        <f>IF(H282=0,0,IF(B282="F",VLOOKUP(G282,Barem!$G$2:$H$11,2,1),VLOOKUP(G282,Barem!$G$12:$H$21,2,1)))</f>
        <v>1</v>
      </c>
      <c r="J282" s="75">
        <v>3</v>
      </c>
      <c r="K282" s="82" t="str">
        <f>VLOOKUP($C282,Barem!$L$2:$R$13,7,0)</f>
        <v>V</v>
      </c>
      <c r="L282" s="17">
        <f t="shared" si="84"/>
        <v>0.25</v>
      </c>
      <c r="M282" s="17">
        <f t="shared" si="84"/>
        <v>0.5</v>
      </c>
      <c r="N282" s="17">
        <f t="shared" si="84"/>
        <v>0.25</v>
      </c>
      <c r="O282" s="81">
        <f t="shared" si="79"/>
        <v>0</v>
      </c>
      <c r="P282" s="36">
        <f>IF(D282&gt;21,VLOOKUP(D282,Barem!$T$1:$U$39,2,1),0)</f>
        <v>0</v>
      </c>
      <c r="Q282" s="32">
        <f>IF(D282&lt;1.609,0,IF(B282="F",VLOOKUP(G282,Barem!$X$2:$Z$13,2,1),VLOOKUP(G282,Barem!$X$14:$Z$25,2,1)))</f>
        <v>0</v>
      </c>
      <c r="R282" s="36">
        <f>VLOOKUP(A282,Participanti!A:C,3,0)</f>
        <v>0</v>
      </c>
      <c r="S282" s="29">
        <f t="shared" si="82"/>
        <v>1.875</v>
      </c>
      <c r="T282" s="79">
        <v>44043</v>
      </c>
      <c r="U282" s="16">
        <v>0</v>
      </c>
      <c r="V282" s="34">
        <f t="shared" si="83"/>
        <v>0.18601190476190477</v>
      </c>
      <c r="W282" s="3" t="str">
        <f>VLOOKUP(A282,Data_echipe!A:O,15,0)</f>
        <v xml:space="preserve"> Let it run</v>
      </c>
      <c r="X282" s="3">
        <f t="shared" si="81"/>
        <v>1</v>
      </c>
    </row>
    <row r="283" spans="1:24">
      <c r="A283" s="74" t="s">
        <v>115</v>
      </c>
      <c r="B283" s="24" t="str">
        <f>VLOOKUP(A283,Participanti!A:B,2,0)</f>
        <v>M</v>
      </c>
      <c r="C283" s="75">
        <v>9</v>
      </c>
      <c r="D283" s="76">
        <v>17.010000000000002</v>
      </c>
      <c r="E283" s="77">
        <v>8.7696759259259252E-2</v>
      </c>
      <c r="F283" s="78">
        <v>62</v>
      </c>
      <c r="G283" s="20">
        <f t="shared" ref="G283:G315" si="85">E283/D283</f>
        <v>5.1556001916084207E-3</v>
      </c>
      <c r="H283" s="16">
        <f>IF(B283="F",IF(G283&gt;Barem!$AC$2,0,IF(B283="F",VLOOKUP(D283,Barem!$B$2:$C$11,2,1))),IF(G283&gt;Barem!$AC$3,0,VLOOKUP(D283,Barem!$B$12:$C$21,2,1)))</f>
        <v>4</v>
      </c>
      <c r="I283" s="16">
        <f>IF(H283=0,0,IF(B283="F",VLOOKUP(G283,Barem!$G$2:$H$11,2,1),VLOOKUP(G283,Barem!$G$12:$H$21,2,1)))</f>
        <v>1</v>
      </c>
      <c r="J283" s="75">
        <v>3.5</v>
      </c>
      <c r="K283" s="82" t="str">
        <f>VLOOKUP($C283,Barem!$L$2:$R$13,7,0)</f>
        <v>V</v>
      </c>
      <c r="L283" s="17">
        <f t="shared" si="84"/>
        <v>0.25</v>
      </c>
      <c r="M283" s="17">
        <f t="shared" si="84"/>
        <v>0.5</v>
      </c>
      <c r="N283" s="17">
        <f t="shared" si="84"/>
        <v>0.25</v>
      </c>
      <c r="O283" s="81">
        <f t="shared" ref="O283:O315" si="86">IF(F283&lt;-49,F283/1500,IF(F283&gt;99,F283/1500,0))</f>
        <v>0</v>
      </c>
      <c r="P283" s="36">
        <f>IF(D283&gt;21,VLOOKUP(D283,Barem!$T$1:$U$39,2,1),0)</f>
        <v>0</v>
      </c>
      <c r="Q283" s="32">
        <f>IF(D283&lt;1.609,0,IF(B283="F",VLOOKUP(G283,Barem!$X$2:$Z$13,2,1),VLOOKUP(G283,Barem!$X$14:$Z$25,2,1)))</f>
        <v>0</v>
      </c>
      <c r="R283" s="36">
        <f>VLOOKUP(A283,Participanti!A:C,3,0)</f>
        <v>0.5</v>
      </c>
      <c r="S283" s="29">
        <f t="shared" si="82"/>
        <v>2.875</v>
      </c>
      <c r="T283" s="79">
        <v>44045</v>
      </c>
      <c r="U283" s="16">
        <v>1</v>
      </c>
      <c r="V283" s="34">
        <f t="shared" si="83"/>
        <v>0.1690182245737801</v>
      </c>
      <c r="W283" s="3" t="str">
        <f>VLOOKUP(A283,Data_echipe!A:O,15,0)</f>
        <v xml:space="preserve"> Let it run</v>
      </c>
      <c r="X283" s="3">
        <f t="shared" si="81"/>
        <v>1</v>
      </c>
    </row>
    <row r="284" spans="1:24">
      <c r="A284" s="74" t="s">
        <v>8</v>
      </c>
      <c r="B284" s="24" t="str">
        <f>VLOOKUP(A284,Participanti!A:B,2,0)</f>
        <v>M</v>
      </c>
      <c r="C284" s="75">
        <v>9</v>
      </c>
      <c r="D284" s="76">
        <v>9.89</v>
      </c>
      <c r="E284" s="77">
        <v>3.9641203703703706E-2</v>
      </c>
      <c r="F284" s="78">
        <v>7</v>
      </c>
      <c r="G284" s="20">
        <f t="shared" si="85"/>
        <v>4.008210687937685E-3</v>
      </c>
      <c r="H284" s="16">
        <f>IF(B284="F",IF(G284&gt;Barem!$AC$2,0,IF(B284="F",VLOOKUP(D284,Barem!$B$2:$C$11,2,1))),IF(G284&gt;Barem!$AC$3,0,VLOOKUP(D284,Barem!$B$12:$C$21,2,1)))</f>
        <v>2.5</v>
      </c>
      <c r="I284" s="16">
        <f>IF(H284=0,0,IF(B284="F",VLOOKUP(G284,Barem!$G$2:$H$11,2,1),VLOOKUP(G284,Barem!$G$12:$H$21,2,1)))</f>
        <v>1.5</v>
      </c>
      <c r="J284" s="75">
        <v>3.5</v>
      </c>
      <c r="K284" s="83" t="s">
        <v>182</v>
      </c>
      <c r="L284" s="17">
        <f t="shared" si="84"/>
        <v>0.5</v>
      </c>
      <c r="M284" s="17">
        <f t="shared" si="84"/>
        <v>0.25</v>
      </c>
      <c r="N284" s="17">
        <f t="shared" si="84"/>
        <v>0.25</v>
      </c>
      <c r="O284" s="81">
        <f t="shared" si="86"/>
        <v>0</v>
      </c>
      <c r="P284" s="36">
        <f>IF(D284&gt;21,VLOOKUP(D284,Barem!$T$1:$U$39,2,1),0)</f>
        <v>0</v>
      </c>
      <c r="Q284" s="32">
        <f>IF(D284&lt;1.609,0,IF(B284="F",VLOOKUP(G284,Barem!$X$2:$Z$13,2,1),VLOOKUP(G284,Barem!$X$14:$Z$25,2,1)))</f>
        <v>0</v>
      </c>
      <c r="R284" s="36">
        <f>VLOOKUP(A284,Participanti!A:C,3,0)</f>
        <v>0</v>
      </c>
      <c r="S284" s="29">
        <f t="shared" si="82"/>
        <v>2.5</v>
      </c>
      <c r="T284" s="79">
        <v>44045</v>
      </c>
      <c r="U284" s="16">
        <f>COUNTIFS(A:A,A284,C:C,C284)</f>
        <v>1</v>
      </c>
      <c r="V284" s="34">
        <f t="shared" si="83"/>
        <v>0.25278058645096058</v>
      </c>
      <c r="W284" s="3" t="str">
        <f>VLOOKUP(A284,Data_echipe!A:O,15,0)</f>
        <v xml:space="preserve"> Let it run</v>
      </c>
      <c r="X284" s="3">
        <f t="shared" si="81"/>
        <v>1</v>
      </c>
    </row>
    <row r="285" spans="1:24">
      <c r="A285" s="74" t="s">
        <v>131</v>
      </c>
      <c r="B285" s="24" t="str">
        <f>VLOOKUP(A285,Participanti!A:B,2,0)</f>
        <v>M</v>
      </c>
      <c r="C285" s="75">
        <v>9</v>
      </c>
      <c r="D285" s="76">
        <v>20.04</v>
      </c>
      <c r="E285" s="77">
        <v>0.26386574074074071</v>
      </c>
      <c r="F285" s="78">
        <v>1182</v>
      </c>
      <c r="G285" s="20">
        <f t="shared" si="85"/>
        <v>1.3166953130775485E-2</v>
      </c>
      <c r="H285" s="16">
        <f>IF(B285="F",IF(G285&gt;Barem!$AC$2,0,IF(B285="F",VLOOKUP(D285,Barem!$B$2:$C$11,2,1))),IF(G285&gt;Barem!$AC$3,0,VLOOKUP(D285,Barem!$B$12:$C$21,2,1)))</f>
        <v>0</v>
      </c>
      <c r="I285" s="16">
        <f>IF(H285=0,0,IF(B285="F",VLOOKUP(G285,Barem!$G$2:$H$11,2,1),VLOOKUP(G285,Barem!$G$12:$H$21,2,1)))</f>
        <v>0</v>
      </c>
      <c r="J285" s="75">
        <v>4.5</v>
      </c>
      <c r="K285" s="83" t="s">
        <v>184</v>
      </c>
      <c r="L285" s="17">
        <f t="shared" si="84"/>
        <v>0.25</v>
      </c>
      <c r="M285" s="17">
        <f t="shared" si="84"/>
        <v>0.25</v>
      </c>
      <c r="N285" s="17">
        <f t="shared" si="84"/>
        <v>0.5</v>
      </c>
      <c r="O285" s="81">
        <f t="shared" si="86"/>
        <v>0.78800000000000003</v>
      </c>
      <c r="P285" s="36">
        <f>IF(D285&gt;21,VLOOKUP(D285,Barem!$T$1:$U$39,2,1),0)</f>
        <v>0</v>
      </c>
      <c r="Q285" s="32">
        <f>IF(D285&lt;1.609,0,IF(B285="F",VLOOKUP(G285,Barem!$X$2:$Z$13,2,1),VLOOKUP(G285,Barem!$X$14:$Z$25,2,1)))</f>
        <v>0</v>
      </c>
      <c r="R285" s="36">
        <f>VLOOKUP(A285,Participanti!A:C,3,0)</f>
        <v>0</v>
      </c>
      <c r="S285" s="29">
        <f t="shared" si="82"/>
        <v>3.0380000000000003</v>
      </c>
      <c r="T285" s="79">
        <v>44045</v>
      </c>
      <c r="U285" s="16">
        <f>COUNTIFS(A:A,A285,C:C,C285)</f>
        <v>1</v>
      </c>
      <c r="V285" s="34">
        <f t="shared" si="83"/>
        <v>0.15159680638722556</v>
      </c>
      <c r="W285" s="3" t="str">
        <f>VLOOKUP(A285,Data_echipe!A:O,15,0)</f>
        <v xml:space="preserve"> Let it run</v>
      </c>
      <c r="X285" s="3">
        <f t="shared" si="81"/>
        <v>0</v>
      </c>
    </row>
    <row r="286" spans="1:24">
      <c r="A286" s="74" t="s">
        <v>206</v>
      </c>
      <c r="B286" s="24" t="str">
        <f>VLOOKUP(A286,Participanti!A:B,2,0)</f>
        <v>M</v>
      </c>
      <c r="C286" s="75">
        <v>9</v>
      </c>
      <c r="D286" s="76">
        <v>3.49</v>
      </c>
      <c r="E286" s="77">
        <v>1.2719907407407407E-2</v>
      </c>
      <c r="F286" s="78">
        <v>3</v>
      </c>
      <c r="G286" s="20">
        <f t="shared" si="85"/>
        <v>3.6446726095723226E-3</v>
      </c>
      <c r="H286" s="16">
        <f>IF(B286="F",IF(G286&gt;Barem!$AC$2,0,IF(B286="F",VLOOKUP(D286,Barem!$B$2:$C$11,2,1))),IF(G286&gt;Barem!$AC$3,0,VLOOKUP(D286,Barem!$B$12:$C$21,2,1)))</f>
        <v>1</v>
      </c>
      <c r="I286" s="16">
        <f>IF(H286=0,0,IF(B286="F",VLOOKUP(G286,Barem!$G$2:$H$11,2,1),VLOOKUP(G286,Barem!$G$12:$H$21,2,1)))</f>
        <v>2.5</v>
      </c>
      <c r="J286" s="75">
        <v>4.5</v>
      </c>
      <c r="K286" s="82" t="str">
        <f>VLOOKUP($C286,Barem!$L$2:$R$13,7,0)</f>
        <v>V</v>
      </c>
      <c r="L286" s="17">
        <f t="shared" si="84"/>
        <v>0.25</v>
      </c>
      <c r="M286" s="17">
        <f t="shared" si="84"/>
        <v>0.5</v>
      </c>
      <c r="N286" s="17">
        <f t="shared" si="84"/>
        <v>0.25</v>
      </c>
      <c r="O286" s="81">
        <f t="shared" si="86"/>
        <v>0</v>
      </c>
      <c r="P286" s="36">
        <f>IF(D286&gt;21,VLOOKUP(D286,Barem!$T$1:$U$39,2,1),0)</f>
        <v>0</v>
      </c>
      <c r="Q286" s="32">
        <f>IF(D286&lt;1.609,0,IF(B286="F",VLOOKUP(G286,Barem!$X$2:$Z$13,2,1),VLOOKUP(G286,Barem!$X$14:$Z$25,2,1)))</f>
        <v>0</v>
      </c>
      <c r="R286" s="36">
        <f>VLOOKUP(A286,Participanti!A:C,3,0)</f>
        <v>0</v>
      </c>
      <c r="S286" s="29">
        <f t="shared" si="82"/>
        <v>2.625</v>
      </c>
      <c r="T286" s="79">
        <v>44045</v>
      </c>
      <c r="U286" s="16">
        <f>COUNTIFS(A:A,A286,C:C,C286)</f>
        <v>1</v>
      </c>
      <c r="V286" s="34">
        <f t="shared" si="83"/>
        <v>0.75214899713467043</v>
      </c>
      <c r="W286" s="3" t="str">
        <f>VLOOKUP(A286,Data_echipe!A:O,15,0)</f>
        <v>Unicornii</v>
      </c>
      <c r="X286" s="3">
        <f t="shared" si="81"/>
        <v>1</v>
      </c>
    </row>
    <row r="287" spans="1:24">
      <c r="A287" s="74" t="s">
        <v>50</v>
      </c>
      <c r="B287" s="24" t="str">
        <f>VLOOKUP(A287,Participanti!A:B,2,0)</f>
        <v>F</v>
      </c>
      <c r="C287" s="75">
        <v>9</v>
      </c>
      <c r="D287" s="76">
        <v>6.02</v>
      </c>
      <c r="E287" s="77">
        <v>2.5497685185185189E-2</v>
      </c>
      <c r="F287" s="78">
        <v>48</v>
      </c>
      <c r="G287" s="20">
        <f t="shared" si="85"/>
        <v>4.2354958779377396E-3</v>
      </c>
      <c r="H287" s="16">
        <f>IF(B287="F",IF(G287&gt;Barem!$AC$2,0,IF(B287="F",VLOOKUP(D287,Barem!$B$2:$C$11,2,1))),IF(G287&gt;Barem!$AC$3,0,VLOOKUP(D287,Barem!$B$12:$C$21,2,1)))</f>
        <v>1.5</v>
      </c>
      <c r="I287" s="16">
        <f>IF(H287=0,0,IF(B287="F",VLOOKUP(G287,Barem!$G$2:$H$11,2,1),VLOOKUP(G287,Barem!$G$12:$H$21,2,1)))</f>
        <v>1.5</v>
      </c>
      <c r="J287" s="75">
        <v>1</v>
      </c>
      <c r="K287" s="83" t="s">
        <v>184</v>
      </c>
      <c r="L287" s="17">
        <f t="shared" si="84"/>
        <v>0.25</v>
      </c>
      <c r="M287" s="17">
        <f t="shared" si="84"/>
        <v>0.25</v>
      </c>
      <c r="N287" s="17">
        <f t="shared" si="84"/>
        <v>0.5</v>
      </c>
      <c r="O287" s="81">
        <f t="shared" si="86"/>
        <v>0</v>
      </c>
      <c r="P287" s="36">
        <f>IF(D287&gt;21,VLOOKUP(D287,Barem!$T$1:$U$39,2,1),0)</f>
        <v>0</v>
      </c>
      <c r="Q287" s="32">
        <f>IF(D287&lt;1.609,0,IF(B287="F",VLOOKUP(G287,Barem!$X$2:$Z$13,2,1),VLOOKUP(G287,Barem!$X$14:$Z$25,2,1)))</f>
        <v>0</v>
      </c>
      <c r="R287" s="36">
        <f>VLOOKUP(A287,Participanti!A:C,3,0)</f>
        <v>0</v>
      </c>
      <c r="S287" s="29">
        <f t="shared" si="82"/>
        <v>1.25</v>
      </c>
      <c r="T287" s="79">
        <v>44044</v>
      </c>
      <c r="U287" s="16">
        <f>COUNTIFS(A:A,A287,C:C,C287)</f>
        <v>1</v>
      </c>
      <c r="V287" s="34">
        <f t="shared" si="83"/>
        <v>0.20764119601328906</v>
      </c>
      <c r="W287" s="3" t="str">
        <f>VLOOKUP(A287,Data_echipe!A:O,15,0)</f>
        <v>Serioranistii</v>
      </c>
      <c r="X287" s="3">
        <f t="shared" si="81"/>
        <v>1</v>
      </c>
    </row>
    <row r="288" spans="1:24">
      <c r="A288" s="74" t="s">
        <v>209</v>
      </c>
      <c r="B288" s="24" t="str">
        <f>VLOOKUP(A288,Participanti!A:B,2,0)</f>
        <v>M</v>
      </c>
      <c r="C288" s="75">
        <v>9</v>
      </c>
      <c r="D288" s="76">
        <v>10.09</v>
      </c>
      <c r="E288" s="77">
        <v>2.7696759259259258E-2</v>
      </c>
      <c r="F288" s="78">
        <v>5</v>
      </c>
      <c r="G288" s="20">
        <f t="shared" si="85"/>
        <v>2.7449711852585985E-3</v>
      </c>
      <c r="H288" s="16">
        <f>IF(B288="F",IF(G288&gt;Barem!$AC$2,0,IF(B288="F",VLOOKUP(D288,Barem!$B$2:$C$11,2,1))),IF(G288&gt;Barem!$AC$3,0,VLOOKUP(D288,Barem!$B$12:$C$21,2,1)))</f>
        <v>2.5</v>
      </c>
      <c r="I288" s="16">
        <f>IF(H288=0,0,IF(B288="F",VLOOKUP(G288,Barem!$G$2:$H$11,2,1),VLOOKUP(G288,Barem!$G$12:$H$21,2,1)))</f>
        <v>5</v>
      </c>
      <c r="J288" s="75">
        <v>2</v>
      </c>
      <c r="K288" s="82" t="str">
        <f>VLOOKUP($C288,Barem!$L$2:$R$13,7,0)</f>
        <v>V</v>
      </c>
      <c r="L288" s="17">
        <f t="shared" si="84"/>
        <v>0.25</v>
      </c>
      <c r="M288" s="17">
        <f t="shared" si="84"/>
        <v>0.5</v>
      </c>
      <c r="N288" s="17">
        <f t="shared" si="84"/>
        <v>0.25</v>
      </c>
      <c r="O288" s="81">
        <f t="shared" si="86"/>
        <v>0</v>
      </c>
      <c r="P288" s="36">
        <f>IF(D288&gt;21,VLOOKUP(D288,Barem!$T$1:$U$39,2,1),0)</f>
        <v>0</v>
      </c>
      <c r="Q288" s="32">
        <f>IF(D288&lt;1.609,0,IF(B288="F",VLOOKUP(G288,Barem!$X$2:$Z$13,2,1),VLOOKUP(G288,Barem!$X$14:$Z$25,2,1)))</f>
        <v>0.1</v>
      </c>
      <c r="R288" s="36">
        <f>VLOOKUP(A288,Participanti!A:C,3,0)</f>
        <v>0</v>
      </c>
      <c r="S288" s="29">
        <f t="shared" si="82"/>
        <v>3.7250000000000001</v>
      </c>
      <c r="T288" s="79">
        <v>44044</v>
      </c>
      <c r="U288" s="16">
        <f>COUNTIFS(A:A,A288,C:C,C288)</f>
        <v>1</v>
      </c>
      <c r="V288" s="34">
        <f t="shared" si="83"/>
        <v>0.36917740336967297</v>
      </c>
      <c r="W288" s="3" t="str">
        <f>VLOOKUP(A288,Data_echipe!A:O,15,0)</f>
        <v>Serioranistii</v>
      </c>
      <c r="X288" s="3">
        <f t="shared" si="81"/>
        <v>1</v>
      </c>
    </row>
    <row r="289" spans="1:24">
      <c r="A289" s="74" t="s">
        <v>210</v>
      </c>
      <c r="B289" s="24" t="str">
        <f>VLOOKUP(A289,Participanti!A:B,2,0)</f>
        <v>F</v>
      </c>
      <c r="C289" s="75">
        <v>9</v>
      </c>
      <c r="D289" s="76">
        <v>5</v>
      </c>
      <c r="E289" s="77">
        <v>2.0231481481481482E-2</v>
      </c>
      <c r="F289" s="78">
        <v>50</v>
      </c>
      <c r="G289" s="20">
        <f t="shared" si="85"/>
        <v>4.0462962962962961E-3</v>
      </c>
      <c r="H289" s="16">
        <f>IF(B289="F",IF(G289&gt;Barem!$AC$2,0,IF(B289="F",VLOOKUP(D289,Barem!$B$2:$C$11,2,1))),IF(G289&gt;Barem!$AC$3,0,VLOOKUP(D289,Barem!$B$12:$C$21,2,1)))</f>
        <v>1.5</v>
      </c>
      <c r="I289" s="16">
        <f>IF(H289=0,0,IF(B289="F",VLOOKUP(G289,Barem!$G$2:$H$11,2,1),VLOOKUP(G289,Barem!$G$12:$H$21,2,1)))</f>
        <v>2</v>
      </c>
      <c r="J289" s="75">
        <v>2</v>
      </c>
      <c r="K289" s="82" t="str">
        <f>VLOOKUP($C289,Barem!$L$2:$R$13,7,0)</f>
        <v>V</v>
      </c>
      <c r="L289" s="17">
        <f t="shared" si="84"/>
        <v>0.25</v>
      </c>
      <c r="M289" s="17">
        <f t="shared" si="84"/>
        <v>0.5</v>
      </c>
      <c r="N289" s="17">
        <f t="shared" si="84"/>
        <v>0.25</v>
      </c>
      <c r="O289" s="81">
        <f t="shared" si="86"/>
        <v>0</v>
      </c>
      <c r="P289" s="36">
        <f>IF(D289&gt;21,VLOOKUP(D289,Barem!$T$1:$U$39,2,1),0)</f>
        <v>0</v>
      </c>
      <c r="Q289" s="32">
        <f>IF(D289&lt;1.609,0,IF(B289="F",VLOOKUP(G289,Barem!$X$2:$Z$13,2,1),VLOOKUP(G289,Barem!$X$14:$Z$25,2,1)))</f>
        <v>0</v>
      </c>
      <c r="R289" s="36">
        <f>VLOOKUP(A289,Participanti!A:C,3,0)</f>
        <v>0</v>
      </c>
      <c r="S289" s="29">
        <f t="shared" si="82"/>
        <v>1.875</v>
      </c>
      <c r="T289" s="79">
        <v>44045</v>
      </c>
      <c r="U289" s="16">
        <f>COUNTIFS(A:A,A289,C:C,C289)</f>
        <v>1</v>
      </c>
      <c r="V289" s="34">
        <f t="shared" si="83"/>
        <v>0.375</v>
      </c>
      <c r="W289" s="3" t="str">
        <f>VLOOKUP(A289,Data_echipe!A:O,15,0)</f>
        <v>X Æ A-12</v>
      </c>
      <c r="X289" s="3">
        <f t="shared" si="81"/>
        <v>1</v>
      </c>
    </row>
    <row r="290" spans="1:24">
      <c r="A290" s="74" t="s">
        <v>66</v>
      </c>
      <c r="B290" s="24" t="str">
        <f>VLOOKUP(A290,Participanti!A:B,2,0)</f>
        <v>M</v>
      </c>
      <c r="C290" s="75">
        <v>9</v>
      </c>
      <c r="D290" s="76">
        <v>24.15</v>
      </c>
      <c r="E290" s="77">
        <v>9.0208333333333335E-2</v>
      </c>
      <c r="F290" s="78">
        <v>74</v>
      </c>
      <c r="G290" s="20">
        <f t="shared" si="85"/>
        <v>3.7353347135955835E-3</v>
      </c>
      <c r="H290" s="16">
        <f>IF(B290="F",IF(G290&gt;Barem!$AC$2,0,IF(B290="F",VLOOKUP(D290,Barem!$B$2:$C$11,2,1))),IF(G290&gt;Barem!$AC$3,0,VLOOKUP(D290,Barem!$B$12:$C$21,2,1)))</f>
        <v>5</v>
      </c>
      <c r="I290" s="16">
        <f>IF(H290=0,0,IF(B290="F",VLOOKUP(G290,Barem!$G$2:$H$11,2,1),VLOOKUP(G290,Barem!$G$12:$H$21,2,1)))</f>
        <v>2</v>
      </c>
      <c r="J290" s="75">
        <v>4</v>
      </c>
      <c r="K290" s="82" t="str">
        <f>VLOOKUP($C290,Barem!$L$2:$R$13,7,0)</f>
        <v>V</v>
      </c>
      <c r="L290" s="17">
        <f t="shared" si="84"/>
        <v>0.25</v>
      </c>
      <c r="M290" s="17">
        <f t="shared" si="84"/>
        <v>0.5</v>
      </c>
      <c r="N290" s="17">
        <f t="shared" si="84"/>
        <v>0.25</v>
      </c>
      <c r="O290" s="81">
        <f t="shared" si="86"/>
        <v>0</v>
      </c>
      <c r="P290" s="36">
        <f>IF(D290&gt;21,VLOOKUP(D290,Barem!$T$1:$U$39,2,1),0)</f>
        <v>0</v>
      </c>
      <c r="Q290" s="32">
        <f>IF(D290&lt;1.609,0,IF(B290="F",VLOOKUP(G290,Barem!$X$2:$Z$13,2,1),VLOOKUP(G290,Barem!$X$14:$Z$25,2,1)))</f>
        <v>0</v>
      </c>
      <c r="R290" s="36">
        <f>VLOOKUP(A290,Participanti!A:C,3,0)</f>
        <v>0</v>
      </c>
      <c r="S290" s="29">
        <f t="shared" si="82"/>
        <v>3.25</v>
      </c>
      <c r="T290" s="79">
        <v>44044</v>
      </c>
      <c r="U290" s="16">
        <f>COUNTIFS(A:A,A290,C:C,C290)</f>
        <v>1</v>
      </c>
      <c r="V290" s="34">
        <f t="shared" si="83"/>
        <v>0.13457556935817805</v>
      </c>
      <c r="W290" s="3" t="str">
        <f>VLOOKUP(A290,Data_echipe!A:O,15,0)</f>
        <v>X Æ A-12</v>
      </c>
      <c r="X290" s="3">
        <f t="shared" si="81"/>
        <v>1</v>
      </c>
    </row>
    <row r="291" spans="1:24">
      <c r="A291" s="74" t="s">
        <v>208</v>
      </c>
      <c r="B291" s="24" t="str">
        <f>VLOOKUP(A291,Participanti!A:B,2,0)</f>
        <v>M</v>
      </c>
      <c r="C291" s="75">
        <v>9</v>
      </c>
      <c r="D291" s="76">
        <v>30.11</v>
      </c>
      <c r="E291" s="77">
        <v>0.11418981481481481</v>
      </c>
      <c r="F291" s="78">
        <v>72</v>
      </c>
      <c r="G291" s="20">
        <f t="shared" si="85"/>
        <v>3.7924216145737233E-3</v>
      </c>
      <c r="H291" s="16">
        <f>IF(B291="F",IF(G291&gt;Barem!$AC$2,0,IF(B291="F",VLOOKUP(D291,Barem!$B$2:$C$11,2,1))),IF(G291&gt;Barem!$AC$3,0,VLOOKUP(D291,Barem!$B$12:$C$21,2,1)))</f>
        <v>5</v>
      </c>
      <c r="I291" s="16">
        <f>IF(H291=0,0,IF(B291="F",VLOOKUP(G291,Barem!$G$2:$H$11,2,1),VLOOKUP(G291,Barem!$G$12:$H$21,2,1)))</f>
        <v>2</v>
      </c>
      <c r="J291" s="75">
        <v>4</v>
      </c>
      <c r="K291" s="83" t="s">
        <v>184</v>
      </c>
      <c r="L291" s="17">
        <f t="shared" ref="L291:N313" si="87">IF($K291=L$1,50%,25%)</f>
        <v>0.25</v>
      </c>
      <c r="M291" s="17">
        <f t="shared" si="87"/>
        <v>0.25</v>
      </c>
      <c r="N291" s="17">
        <f t="shared" si="87"/>
        <v>0.5</v>
      </c>
      <c r="O291" s="81">
        <f t="shared" si="86"/>
        <v>0</v>
      </c>
      <c r="P291" s="36">
        <f>IF(D291&gt;21,VLOOKUP(D291,Barem!$T$1:$U$39,2,1),0)</f>
        <v>0.1</v>
      </c>
      <c r="Q291" s="32">
        <f>IF(D291&lt;1.609,0,IF(B291="F",VLOOKUP(G291,Barem!$X$2:$Z$13,2,1),VLOOKUP(G291,Barem!$X$14:$Z$25,2,1)))</f>
        <v>0</v>
      </c>
      <c r="R291" s="36">
        <f>VLOOKUP(A291,Participanti!A:C,3,0)</f>
        <v>0</v>
      </c>
      <c r="S291" s="29">
        <f t="shared" si="82"/>
        <v>3.85</v>
      </c>
      <c r="T291" s="79">
        <v>44045</v>
      </c>
      <c r="U291" s="16">
        <f>COUNTIFS(A:A,A291,C:C,C291)</f>
        <v>1</v>
      </c>
      <c r="V291" s="34">
        <f t="shared" si="83"/>
        <v>0.12786449684490203</v>
      </c>
      <c r="W291" s="3" t="str">
        <f>VLOOKUP(A291,Data_echipe!A:O,15,0)</f>
        <v xml:space="preserve"> Let it run</v>
      </c>
      <c r="X291" s="3">
        <f t="shared" si="81"/>
        <v>1</v>
      </c>
    </row>
    <row r="292" spans="1:24">
      <c r="A292" s="74" t="s">
        <v>169</v>
      </c>
      <c r="B292" s="24" t="str">
        <f>VLOOKUP(A292,Participanti!A:B,2,0)</f>
        <v>F</v>
      </c>
      <c r="C292" s="75">
        <v>9</v>
      </c>
      <c r="D292" s="76">
        <v>20.32</v>
      </c>
      <c r="E292" s="77">
        <v>0.12408564814814815</v>
      </c>
      <c r="F292" s="78">
        <v>70</v>
      </c>
      <c r="G292" s="20">
        <f t="shared" si="85"/>
        <v>6.1065771726450859E-3</v>
      </c>
      <c r="H292" s="16">
        <f>IF(B292="F",IF(G292&gt;Barem!$AC$2,0,IF(B292="F",VLOOKUP(D292,Barem!$B$2:$C$11,2,1))),IF(G292&gt;Barem!$AC$3,0,VLOOKUP(D292,Barem!$B$12:$C$21,2,1)))</f>
        <v>5</v>
      </c>
      <c r="I292" s="16">
        <f>IF(H292=0,0,IF(B292="F",VLOOKUP(G292,Barem!$G$2:$H$11,2,1),VLOOKUP(G292,Barem!$G$12:$H$21,2,1)))</f>
        <v>1</v>
      </c>
      <c r="J292" s="75">
        <v>0.5</v>
      </c>
      <c r="K292" s="82" t="str">
        <f>VLOOKUP($C292,Barem!$L$2:$R$13,7,0)</f>
        <v>V</v>
      </c>
      <c r="L292" s="17">
        <f t="shared" si="87"/>
        <v>0.25</v>
      </c>
      <c r="M292" s="17">
        <f t="shared" si="87"/>
        <v>0.5</v>
      </c>
      <c r="N292" s="17">
        <f t="shared" si="87"/>
        <v>0.25</v>
      </c>
      <c r="O292" s="81">
        <f t="shared" si="86"/>
        <v>0</v>
      </c>
      <c r="P292" s="36">
        <f>IF(D292&gt;21,VLOOKUP(D292,Barem!$T$1:$U$39,2,1),0)</f>
        <v>0</v>
      </c>
      <c r="Q292" s="32">
        <f>IF(D292&lt;1.609,0,IF(B292="F",VLOOKUP(G292,Barem!$X$2:$Z$13,2,1),VLOOKUP(G292,Barem!$X$14:$Z$25,2,1)))</f>
        <v>0</v>
      </c>
      <c r="R292" s="36">
        <f>VLOOKUP(A292,Participanti!A:C,3,0)</f>
        <v>0.5</v>
      </c>
      <c r="S292" s="29">
        <f t="shared" si="82"/>
        <v>2.375</v>
      </c>
      <c r="T292" s="79">
        <v>44045</v>
      </c>
      <c r="U292" s="16">
        <f>COUNTIFS(A:A,A292,C:C,C292)</f>
        <v>1</v>
      </c>
      <c r="V292" s="34">
        <f t="shared" si="83"/>
        <v>0.11687992125984252</v>
      </c>
      <c r="W292" s="3" t="str">
        <f>VLOOKUP(A292,Data_echipe!A:O,15,0)</f>
        <v>Serioranistii</v>
      </c>
      <c r="X292" s="3">
        <f t="shared" si="81"/>
        <v>1</v>
      </c>
    </row>
    <row r="293" spans="1:24">
      <c r="A293" s="74" t="s">
        <v>53</v>
      </c>
      <c r="B293" s="24" t="str">
        <f>VLOOKUP(A293,Participanti!A:B,2,0)</f>
        <v>M</v>
      </c>
      <c r="C293" s="75">
        <v>9</v>
      </c>
      <c r="D293" s="76">
        <v>23.41</v>
      </c>
      <c r="E293" s="77">
        <v>8.6990740740740743E-2</v>
      </c>
      <c r="F293" s="78">
        <v>33</v>
      </c>
      <c r="G293" s="20">
        <f t="shared" si="85"/>
        <v>3.7159650038761532E-3</v>
      </c>
      <c r="H293" s="16">
        <f>IF(B293="F",IF(G293&gt;Barem!$AC$2,0,IF(B293="F",VLOOKUP(D293,Barem!$B$2:$C$11,2,1))),IF(G293&gt;Barem!$AC$3,0,VLOOKUP(D293,Barem!$B$12:$C$21,2,1)))</f>
        <v>5</v>
      </c>
      <c r="I293" s="16">
        <f>IF(H293=0,0,IF(B293="F",VLOOKUP(G293,Barem!$G$2:$H$11,2,1),VLOOKUP(G293,Barem!$G$12:$H$21,2,1)))</f>
        <v>2</v>
      </c>
      <c r="J293" s="75">
        <v>1</v>
      </c>
      <c r="K293" s="83" t="s">
        <v>184</v>
      </c>
      <c r="L293" s="17">
        <f t="shared" si="87"/>
        <v>0.25</v>
      </c>
      <c r="M293" s="17">
        <f t="shared" si="87"/>
        <v>0.25</v>
      </c>
      <c r="N293" s="17">
        <f t="shared" si="87"/>
        <v>0.5</v>
      </c>
      <c r="O293" s="81">
        <f t="shared" si="86"/>
        <v>0</v>
      </c>
      <c r="P293" s="36">
        <f>IF(D293&gt;21,VLOOKUP(D293,Barem!$T$1:$U$39,2,1),0)</f>
        <v>0</v>
      </c>
      <c r="Q293" s="32">
        <f>IF(D293&lt;1.609,0,IF(B293="F",VLOOKUP(G293,Barem!$X$2:$Z$13,2,1),VLOOKUP(G293,Barem!$X$14:$Z$25,2,1)))</f>
        <v>0</v>
      </c>
      <c r="R293" s="36">
        <f>VLOOKUP(A293,Participanti!A:C,3,0)</f>
        <v>0</v>
      </c>
      <c r="S293" s="29">
        <f t="shared" si="82"/>
        <v>2.25</v>
      </c>
      <c r="T293" s="79">
        <v>44042</v>
      </c>
      <c r="U293" s="16">
        <f>COUNTIFS(A:A,A293,C:C,C293)</f>
        <v>1</v>
      </c>
      <c r="V293" s="34">
        <f t="shared" si="83"/>
        <v>9.6112772319521575E-2</v>
      </c>
      <c r="W293" s="3" t="str">
        <f>VLOOKUP(A293,Data_echipe!A:O,15,0)</f>
        <v>Tenchei</v>
      </c>
      <c r="X293" s="3">
        <f t="shared" si="81"/>
        <v>1</v>
      </c>
    </row>
    <row r="294" spans="1:24">
      <c r="A294" s="74" t="s">
        <v>62</v>
      </c>
      <c r="B294" s="24" t="str">
        <f>VLOOKUP(A294,Participanti!A:B,2,0)</f>
        <v>M</v>
      </c>
      <c r="C294" s="75">
        <v>9</v>
      </c>
      <c r="D294" s="76">
        <v>3.01</v>
      </c>
      <c r="E294" s="77">
        <v>8.8425925925925911E-3</v>
      </c>
      <c r="F294" s="78">
        <v>0</v>
      </c>
      <c r="G294" s="20">
        <f t="shared" si="85"/>
        <v>2.9377384028546815E-3</v>
      </c>
      <c r="H294" s="16">
        <f>IF(B294="F",IF(G294&gt;Barem!$AC$2,0,IF(B294="F",VLOOKUP(D294,Barem!$B$2:$C$11,2,1))),IF(G294&gt;Barem!$AC$3,0,VLOOKUP(D294,Barem!$B$12:$C$21,2,1)))</f>
        <v>1</v>
      </c>
      <c r="I294" s="16">
        <f>IF(H294=0,0,IF(B294="F",VLOOKUP(G294,Barem!$G$2:$H$11,2,1),VLOOKUP(G294,Barem!$G$12:$H$21,2,1)))</f>
        <v>4.5</v>
      </c>
      <c r="J294" s="75">
        <v>3</v>
      </c>
      <c r="K294" s="82" t="str">
        <f>VLOOKUP($C294,Barem!$L$2:$R$13,7,0)</f>
        <v>V</v>
      </c>
      <c r="L294" s="17">
        <f t="shared" si="87"/>
        <v>0.25</v>
      </c>
      <c r="M294" s="17">
        <f t="shared" si="87"/>
        <v>0.5</v>
      </c>
      <c r="N294" s="17">
        <f t="shared" si="87"/>
        <v>0.25</v>
      </c>
      <c r="O294" s="81">
        <f t="shared" si="86"/>
        <v>0</v>
      </c>
      <c r="P294" s="36">
        <f>IF(D294&gt;21,VLOOKUP(D294,Barem!$T$1:$U$39,2,1),0)</f>
        <v>0</v>
      </c>
      <c r="Q294" s="32">
        <f>IF(D294&lt;1.609,0,IF(B294="F",VLOOKUP(G294,Barem!$X$2:$Z$13,2,1),VLOOKUP(G294,Barem!$X$14:$Z$25,2,1)))</f>
        <v>0</v>
      </c>
      <c r="R294" s="36">
        <f>VLOOKUP(A294,Participanti!A:C,3,0)</f>
        <v>0</v>
      </c>
      <c r="S294" s="29">
        <f t="shared" si="82"/>
        <v>3.25</v>
      </c>
      <c r="T294" s="79">
        <v>44043</v>
      </c>
      <c r="U294" s="16">
        <f>COUNTIFS(A:A,A294,C:C,C294)</f>
        <v>1</v>
      </c>
      <c r="V294" s="34">
        <f t="shared" si="83"/>
        <v>1.0797342192691031</v>
      </c>
      <c r="W294" s="3" t="str">
        <f>VLOOKUP(A294,Data_echipe!A:O,15,0)</f>
        <v>Serioranistii</v>
      </c>
      <c r="X294" s="3">
        <f t="shared" si="81"/>
        <v>1</v>
      </c>
    </row>
    <row r="295" spans="1:24">
      <c r="A295" s="74" t="s">
        <v>52</v>
      </c>
      <c r="B295" s="24" t="str">
        <f>VLOOKUP(A295,Participanti!A:B,2,0)</f>
        <v>M</v>
      </c>
      <c r="C295" s="75">
        <v>9</v>
      </c>
      <c r="D295" s="76">
        <v>18.47</v>
      </c>
      <c r="E295" s="77">
        <v>7.7824074074074087E-2</v>
      </c>
      <c r="F295" s="78">
        <v>551</v>
      </c>
      <c r="G295" s="20">
        <f t="shared" si="85"/>
        <v>4.2135394734203625E-3</v>
      </c>
      <c r="H295" s="16">
        <f>IF(B295="F",IF(G295&gt;Barem!$AC$2,0,IF(B295="F",VLOOKUP(D295,Barem!$B$2:$C$11,2,1))),IF(G295&gt;Barem!$AC$3,0,VLOOKUP(D295,Barem!$B$12:$C$21,2,1)))</f>
        <v>4</v>
      </c>
      <c r="I295" s="16">
        <f>IF(H295=0,0,IF(B295="F",VLOOKUP(G295,Barem!$G$2:$H$11,2,1),VLOOKUP(G295,Barem!$G$12:$H$21,2,1)))</f>
        <v>1</v>
      </c>
      <c r="J295" s="75">
        <v>1.5</v>
      </c>
      <c r="K295" s="131" t="str">
        <f>VLOOKUP($C295,Barem!$L$2:$R$13,7,0)</f>
        <v>V</v>
      </c>
      <c r="L295" s="17">
        <f t="shared" si="87"/>
        <v>0.25</v>
      </c>
      <c r="M295" s="17">
        <f t="shared" si="87"/>
        <v>0.5</v>
      </c>
      <c r="N295" s="17">
        <f t="shared" si="87"/>
        <v>0.25</v>
      </c>
      <c r="O295" s="81">
        <f t="shared" si="86"/>
        <v>0.36733333333333335</v>
      </c>
      <c r="P295" s="36">
        <f>IF(D295&gt;21,VLOOKUP(D295,Barem!$T$1:$U$39,2,1),0)</f>
        <v>0</v>
      </c>
      <c r="Q295" s="32">
        <f>IF(D295&lt;1.609,0,IF(B295="F",VLOOKUP(G295,Barem!$X$2:$Z$13,2,1),VLOOKUP(G295,Barem!$X$14:$Z$25,2,1)))</f>
        <v>0</v>
      </c>
      <c r="R295" s="36">
        <f>VLOOKUP(A295,Participanti!A:C,3,0)</f>
        <v>0</v>
      </c>
      <c r="S295" s="29">
        <f t="shared" si="82"/>
        <v>2.2423333333333333</v>
      </c>
      <c r="T295" s="79">
        <v>44044</v>
      </c>
      <c r="U295" s="16">
        <f>COUNTIFS(A:A,A295,C:C,C295)</f>
        <v>1</v>
      </c>
      <c r="V295" s="34">
        <f t="shared" si="83"/>
        <v>0.12140407868615774</v>
      </c>
      <c r="W295" s="3" t="str">
        <f>VLOOKUP(A295,Data_echipe!A:O,15,0)</f>
        <v xml:space="preserve"> Let it run</v>
      </c>
      <c r="X295" s="3">
        <f t="shared" si="81"/>
        <v>1</v>
      </c>
    </row>
    <row r="296" spans="1:24">
      <c r="A296" s="74" t="s">
        <v>68</v>
      </c>
      <c r="B296" s="24" t="str">
        <f>VLOOKUP(A296,Participanti!A:B,2,0)</f>
        <v>M</v>
      </c>
      <c r="C296" s="75">
        <v>9</v>
      </c>
      <c r="D296" s="76">
        <v>28.36</v>
      </c>
      <c r="E296" s="77">
        <v>0.19196759259259258</v>
      </c>
      <c r="F296" s="78">
        <v>1469</v>
      </c>
      <c r="G296" s="20">
        <f t="shared" si="85"/>
        <v>6.7689560152536174E-3</v>
      </c>
      <c r="H296" s="16">
        <f>IF(B296="F",IF(G296&gt;Barem!$AC$2,0,IF(B296="F",VLOOKUP(D296,Barem!$B$2:$C$11,2,1))),IF(G296&gt;Barem!$AC$3,0,VLOOKUP(D296,Barem!$B$12:$C$21,2,1)))</f>
        <v>5</v>
      </c>
      <c r="I296" s="16">
        <f>IF(H296=0,0,IF(B296="F",VLOOKUP(G296,Barem!$G$2:$H$11,2,1),VLOOKUP(G296,Barem!$G$12:$H$21,2,1)))</f>
        <v>0</v>
      </c>
      <c r="J296" s="75">
        <v>4.5</v>
      </c>
      <c r="K296" s="83" t="s">
        <v>182</v>
      </c>
      <c r="L296" s="17">
        <f t="shared" si="87"/>
        <v>0.5</v>
      </c>
      <c r="M296" s="17">
        <f t="shared" si="87"/>
        <v>0.25</v>
      </c>
      <c r="N296" s="17">
        <f t="shared" si="87"/>
        <v>0.25</v>
      </c>
      <c r="O296" s="81">
        <f t="shared" si="86"/>
        <v>0.97933333333333328</v>
      </c>
      <c r="P296" s="36">
        <f>IF(D296&gt;21,VLOOKUP(D296,Barem!$T$1:$U$39,2,1),0)</f>
        <v>0.1</v>
      </c>
      <c r="Q296" s="32">
        <f>IF(D296&lt;1.609,0,IF(B296="F",VLOOKUP(G296,Barem!$X$2:$Z$13,2,1),VLOOKUP(G296,Barem!$X$14:$Z$25,2,1)))</f>
        <v>0</v>
      </c>
      <c r="R296" s="36">
        <f>VLOOKUP(A296,Participanti!A:C,3,0)</f>
        <v>0</v>
      </c>
      <c r="S296" s="29">
        <f t="shared" si="82"/>
        <v>4.7043333333333326</v>
      </c>
      <c r="T296" s="79">
        <v>44040</v>
      </c>
      <c r="U296" s="16">
        <f>COUNTIFS(A:A,A296,C:C,C296)</f>
        <v>1</v>
      </c>
      <c r="V296" s="34">
        <f t="shared" si="83"/>
        <v>0.16587917254348847</v>
      </c>
      <c r="W296" s="3" t="str">
        <f>VLOOKUP(A296,Data_echipe!A:O,15,0)</f>
        <v>Unicornii</v>
      </c>
      <c r="X296" s="3">
        <f t="shared" si="81"/>
        <v>0</v>
      </c>
    </row>
    <row r="297" spans="1:24">
      <c r="A297" s="74" t="s">
        <v>86</v>
      </c>
      <c r="B297" s="24" t="str">
        <f>VLOOKUP(A297,Participanti!A:B,2,0)</f>
        <v>M</v>
      </c>
      <c r="C297" s="75">
        <v>9</v>
      </c>
      <c r="D297" s="76">
        <v>6.01</v>
      </c>
      <c r="E297" s="77">
        <v>1.9039351851851852E-2</v>
      </c>
      <c r="F297" s="78">
        <v>22</v>
      </c>
      <c r="G297" s="20">
        <f t="shared" si="85"/>
        <v>3.1679453996425713E-3</v>
      </c>
      <c r="H297" s="16">
        <f>IF(B297="F",IF(G297&gt;Barem!$AC$2,0,IF(B297="F",VLOOKUP(D297,Barem!$B$2:$C$11,2,1))),IF(G297&gt;Barem!$AC$3,0,VLOOKUP(D297,Barem!$B$12:$C$21,2,1)))</f>
        <v>1.5</v>
      </c>
      <c r="I297" s="16">
        <f>IF(H297=0,0,IF(B297="F",VLOOKUP(G297,Barem!$G$2:$H$11,2,1),VLOOKUP(G297,Barem!$G$12:$H$21,2,1)))</f>
        <v>3.5</v>
      </c>
      <c r="J297" s="75">
        <v>2</v>
      </c>
      <c r="K297" s="82" t="str">
        <f>VLOOKUP($C297,Barem!$L$2:$R$13,7,0)</f>
        <v>V</v>
      </c>
      <c r="L297" s="17">
        <f t="shared" si="87"/>
        <v>0.25</v>
      </c>
      <c r="M297" s="17">
        <f t="shared" si="87"/>
        <v>0.5</v>
      </c>
      <c r="N297" s="17">
        <f t="shared" si="87"/>
        <v>0.25</v>
      </c>
      <c r="O297" s="81">
        <f t="shared" si="86"/>
        <v>0</v>
      </c>
      <c r="P297" s="36">
        <f>IF(D297&gt;21,VLOOKUP(D297,Barem!$T$1:$U$39,2,1),0)</f>
        <v>0</v>
      </c>
      <c r="Q297" s="32">
        <f>IF(D297&lt;1.609,0,IF(B297="F",VLOOKUP(G297,Barem!$X$2:$Z$13,2,1),VLOOKUP(G297,Barem!$X$14:$Z$25,2,1)))</f>
        <v>0</v>
      </c>
      <c r="R297" s="36">
        <f>VLOOKUP(A297,Participanti!A:C,3,0)</f>
        <v>0</v>
      </c>
      <c r="S297" s="29">
        <f t="shared" si="82"/>
        <v>2.625</v>
      </c>
      <c r="T297" s="79">
        <v>44040</v>
      </c>
      <c r="U297" s="16">
        <f>COUNTIFS(A:A,A297,C:C,C297)</f>
        <v>1</v>
      </c>
      <c r="V297" s="34">
        <f t="shared" si="83"/>
        <v>0.4367720465890183</v>
      </c>
      <c r="W297" s="3" t="str">
        <f>VLOOKUP(A297,Data_echipe!A:O,15,0)</f>
        <v>Unicornii</v>
      </c>
      <c r="X297" s="3">
        <f t="shared" si="81"/>
        <v>1</v>
      </c>
    </row>
    <row r="298" spans="1:24">
      <c r="A298" s="74" t="s">
        <v>172</v>
      </c>
      <c r="B298" s="24" t="str">
        <f>VLOOKUP(A298,Participanti!A:B,2,0)</f>
        <v>F</v>
      </c>
      <c r="C298" s="75">
        <v>9</v>
      </c>
      <c r="D298" s="76">
        <v>10.01</v>
      </c>
      <c r="E298" s="77">
        <v>3.5856481481481482E-2</v>
      </c>
      <c r="F298" s="78">
        <v>2</v>
      </c>
      <c r="G298" s="20">
        <f t="shared" si="85"/>
        <v>3.5820660820660823E-3</v>
      </c>
      <c r="H298" s="16">
        <f>IF(B298="F",IF(G298&gt;Barem!$AC$2,0,IF(B298="F",VLOOKUP(D298,Barem!$B$2:$C$11,2,1))),IF(G298&gt;Barem!$AC$3,0,VLOOKUP(D298,Barem!$B$12:$C$21,2,1)))</f>
        <v>2.5</v>
      </c>
      <c r="I298" s="16">
        <f>IF(H298=0,0,IF(B298="F",VLOOKUP(G298,Barem!$G$2:$H$11,2,1),VLOOKUP(G298,Barem!$G$12:$H$21,2,1)))</f>
        <v>3.5</v>
      </c>
      <c r="J298" s="75">
        <v>3</v>
      </c>
      <c r="K298" s="82" t="str">
        <f>VLOOKUP($C298,Barem!$L$2:$R$13,7,0)</f>
        <v>V</v>
      </c>
      <c r="L298" s="17">
        <f t="shared" si="87"/>
        <v>0.25</v>
      </c>
      <c r="M298" s="17">
        <f t="shared" si="87"/>
        <v>0.5</v>
      </c>
      <c r="N298" s="17">
        <f t="shared" si="87"/>
        <v>0.25</v>
      </c>
      <c r="O298" s="81">
        <f t="shared" si="86"/>
        <v>0</v>
      </c>
      <c r="P298" s="36">
        <f>IF(D298&gt;21,VLOOKUP(D298,Barem!$T$1:$U$39,2,1),0)</f>
        <v>0</v>
      </c>
      <c r="Q298" s="32">
        <f>IF(D298&lt;1.609,0,IF(B298="F",VLOOKUP(G298,Barem!$X$2:$Z$13,2,1),VLOOKUP(G298,Barem!$X$14:$Z$25,2,1)))</f>
        <v>0</v>
      </c>
      <c r="R298" s="36">
        <f>VLOOKUP(A298,Participanti!A:C,3,0)</f>
        <v>0</v>
      </c>
      <c r="S298" s="29">
        <f t="shared" si="82"/>
        <v>3.125</v>
      </c>
      <c r="T298" s="79">
        <v>44041</v>
      </c>
      <c r="U298" s="16">
        <f>COUNTIFS(A:A,A298,C:C,C298)</f>
        <v>1</v>
      </c>
      <c r="V298" s="34">
        <f t="shared" si="83"/>
        <v>0.31218781218781222</v>
      </c>
      <c r="W298" s="3" t="str">
        <f>VLOOKUP(A298,Data_echipe!A:O,15,0)</f>
        <v>Unicornii</v>
      </c>
      <c r="X298" s="3">
        <f t="shared" si="81"/>
        <v>1</v>
      </c>
    </row>
    <row r="299" spans="1:24">
      <c r="A299" s="74" t="s">
        <v>201</v>
      </c>
      <c r="B299" s="24" t="str">
        <f>VLOOKUP(A299,Participanti!A:B,2,0)</f>
        <v>F</v>
      </c>
      <c r="C299" s="75">
        <v>9</v>
      </c>
      <c r="D299" s="76">
        <v>28.14</v>
      </c>
      <c r="E299" s="77">
        <v>0.14792824074074074</v>
      </c>
      <c r="F299" s="78">
        <v>658</v>
      </c>
      <c r="G299" s="20">
        <f t="shared" si="85"/>
        <v>5.2568671194293086E-3</v>
      </c>
      <c r="H299" s="16">
        <f>IF(B299="F",IF(G299&gt;Barem!$AC$2,0,IF(B299="F",VLOOKUP(D299,Barem!$B$2:$C$11,2,1))),IF(G299&gt;Barem!$AC$3,0,VLOOKUP(D299,Barem!$B$12:$C$21,2,1)))</f>
        <v>5</v>
      </c>
      <c r="I299" s="16">
        <f>IF(H299=0,0,IF(B299="F",VLOOKUP(G299,Barem!$G$2:$H$11,2,1),VLOOKUP(G299,Barem!$G$12:$H$21,2,1)))</f>
        <v>1</v>
      </c>
      <c r="J299" s="75">
        <v>4</v>
      </c>
      <c r="K299" s="83" t="s">
        <v>182</v>
      </c>
      <c r="L299" s="17">
        <f t="shared" si="87"/>
        <v>0.5</v>
      </c>
      <c r="M299" s="17">
        <f t="shared" si="87"/>
        <v>0.25</v>
      </c>
      <c r="N299" s="17">
        <f t="shared" si="87"/>
        <v>0.25</v>
      </c>
      <c r="O299" s="81">
        <f t="shared" si="86"/>
        <v>0.43866666666666665</v>
      </c>
      <c r="P299" s="36">
        <f>IF(D299&gt;21,VLOOKUP(D299,Barem!$T$1:$U$39,2,1),0)</f>
        <v>0.1</v>
      </c>
      <c r="Q299" s="32">
        <f>IF(D299&lt;1.609,0,IF(B299="F",VLOOKUP(G299,Barem!$X$2:$Z$13,2,1),VLOOKUP(G299,Barem!$X$14:$Z$25,2,1)))</f>
        <v>0</v>
      </c>
      <c r="R299" s="36">
        <f>VLOOKUP(A299,Participanti!A:C,3,0)</f>
        <v>0</v>
      </c>
      <c r="S299" s="29">
        <f t="shared" si="82"/>
        <v>4.288666666666666</v>
      </c>
      <c r="T299" s="79">
        <v>44044</v>
      </c>
      <c r="U299" s="16">
        <f>COUNTIFS(A:A,A299,C:C,C299)</f>
        <v>1</v>
      </c>
      <c r="V299" s="34">
        <f t="shared" si="83"/>
        <v>0.15240464344941954</v>
      </c>
      <c r="W299" s="3" t="str">
        <f>VLOOKUP(A299,Data_echipe!A:O,15,0)</f>
        <v>X Æ A-12</v>
      </c>
      <c r="X299" s="3">
        <f t="shared" si="81"/>
        <v>1</v>
      </c>
    </row>
    <row r="300" spans="1:24">
      <c r="A300" s="74" t="s">
        <v>171</v>
      </c>
      <c r="B300" s="24" t="str">
        <f>VLOOKUP(A300,Participanti!A:B,2,0)</f>
        <v>M</v>
      </c>
      <c r="C300" s="75">
        <v>9</v>
      </c>
      <c r="D300" s="76">
        <v>9.09</v>
      </c>
      <c r="E300" s="77">
        <v>2.6516203703703698E-2</v>
      </c>
      <c r="F300" s="78">
        <v>96</v>
      </c>
      <c r="G300" s="20">
        <f t="shared" si="85"/>
        <v>2.9170741148188887E-3</v>
      </c>
      <c r="H300" s="16">
        <f>IF(B300="F",IF(G300&gt;Barem!$AC$2,0,IF(B300="F",VLOOKUP(D300,Barem!$B$2:$C$11,2,1))),IF(G300&gt;Barem!$AC$3,0,VLOOKUP(D300,Barem!$B$12:$C$21,2,1)))</f>
        <v>2</v>
      </c>
      <c r="I300" s="16">
        <f>IF(H300=0,0,IF(B300="F",VLOOKUP(G300,Barem!$G$2:$H$11,2,1),VLOOKUP(G300,Barem!$G$12:$H$21,2,1)))</f>
        <v>4.5</v>
      </c>
      <c r="J300" s="75">
        <v>4</v>
      </c>
      <c r="K300" s="82" t="str">
        <f>VLOOKUP($C300,Barem!$L$2:$R$13,7,0)</f>
        <v>V</v>
      </c>
      <c r="L300" s="17">
        <f t="shared" si="87"/>
        <v>0.25</v>
      </c>
      <c r="M300" s="17">
        <f t="shared" si="87"/>
        <v>0.5</v>
      </c>
      <c r="N300" s="17">
        <f t="shared" si="87"/>
        <v>0.25</v>
      </c>
      <c r="O300" s="81">
        <f t="shared" si="86"/>
        <v>0</v>
      </c>
      <c r="P300" s="36">
        <f>IF(D300&gt;21,VLOOKUP(D300,Barem!$T$1:$U$39,2,1),0)</f>
        <v>0</v>
      </c>
      <c r="Q300" s="32">
        <f>IF(D300&lt;1.609,0,IF(B300="F",VLOOKUP(G300,Barem!$X$2:$Z$13,2,1),VLOOKUP(G300,Barem!$X$14:$Z$25,2,1)))</f>
        <v>0</v>
      </c>
      <c r="R300" s="36">
        <f>VLOOKUP(A300,Participanti!A:C,3,0)</f>
        <v>0</v>
      </c>
      <c r="S300" s="29">
        <f t="shared" si="82"/>
        <v>3.75</v>
      </c>
      <c r="T300" s="79">
        <v>44043</v>
      </c>
      <c r="U300" s="16">
        <f>COUNTIFS(A:A,A300,C:C,C300)</f>
        <v>1</v>
      </c>
      <c r="V300" s="34">
        <f t="shared" si="83"/>
        <v>0.41254125412541254</v>
      </c>
      <c r="W300" s="3" t="str">
        <f>VLOOKUP(A300,Data_echipe!A:O,15,0)</f>
        <v>X Æ A-12</v>
      </c>
      <c r="X300" s="3">
        <f t="shared" si="81"/>
        <v>1</v>
      </c>
    </row>
    <row r="301" spans="1:24">
      <c r="A301" s="74" t="s">
        <v>60</v>
      </c>
      <c r="B301" s="24" t="str">
        <f>VLOOKUP(A301,Participanti!A:B,2,0)</f>
        <v>M</v>
      </c>
      <c r="C301" s="75">
        <v>9</v>
      </c>
      <c r="D301" s="76">
        <v>23.03</v>
      </c>
      <c r="E301" s="77">
        <v>8.5150462962962969E-2</v>
      </c>
      <c r="F301" s="78">
        <v>49</v>
      </c>
      <c r="G301" s="20">
        <f t="shared" si="85"/>
        <v>3.6973713835415966E-3</v>
      </c>
      <c r="H301" s="16">
        <f>IF(B301="F",IF(G301&gt;Barem!$AC$2,0,IF(B301="F",VLOOKUP(D301,Barem!$B$2:$C$11,2,1))),IF(G301&gt;Barem!$AC$3,0,VLOOKUP(D301,Barem!$B$12:$C$21,2,1)))</f>
        <v>5</v>
      </c>
      <c r="I301" s="16">
        <f>IF(H301=0,0,IF(B301="F",VLOOKUP(G301,Barem!$G$2:$H$11,2,1),VLOOKUP(G301,Barem!$G$12:$H$21,2,1)))</f>
        <v>2</v>
      </c>
      <c r="J301" s="75">
        <v>4</v>
      </c>
      <c r="K301" s="82" t="str">
        <f>VLOOKUP($C301,Barem!$L$2:$R$13,7,0)</f>
        <v>V</v>
      </c>
      <c r="L301" s="17">
        <f t="shared" si="87"/>
        <v>0.25</v>
      </c>
      <c r="M301" s="17">
        <f t="shared" si="87"/>
        <v>0.5</v>
      </c>
      <c r="N301" s="17">
        <f t="shared" si="87"/>
        <v>0.25</v>
      </c>
      <c r="O301" s="81">
        <f t="shared" si="86"/>
        <v>0</v>
      </c>
      <c r="P301" s="36">
        <f>IF(D301&gt;21,VLOOKUP(D301,Barem!$T$1:$U$39,2,1),0)</f>
        <v>0</v>
      </c>
      <c r="Q301" s="32">
        <f>IF(D301&lt;1.609,0,IF(B301="F",VLOOKUP(G301,Barem!$X$2:$Z$13,2,1),VLOOKUP(G301,Barem!$X$14:$Z$25,2,1)))</f>
        <v>0</v>
      </c>
      <c r="R301" s="36">
        <f>VLOOKUP(A301,Participanti!A:C,3,0)</f>
        <v>0</v>
      </c>
      <c r="S301" s="29">
        <f t="shared" si="82"/>
        <v>3.25</v>
      </c>
      <c r="T301" s="79">
        <v>44040</v>
      </c>
      <c r="U301" s="16">
        <f>COUNTIFS(A:A,A301,C:C,C301)</f>
        <v>1</v>
      </c>
      <c r="V301" s="34">
        <f t="shared" si="83"/>
        <v>0.1411202778983934</v>
      </c>
      <c r="W301" s="3" t="str">
        <f>VLOOKUP(A301,Data_echipe!A:O,15,0)</f>
        <v>Tenchei</v>
      </c>
      <c r="X301" s="3">
        <f t="shared" si="81"/>
        <v>1</v>
      </c>
    </row>
    <row r="302" spans="1:24">
      <c r="A302" s="74" t="s">
        <v>200</v>
      </c>
      <c r="B302" s="24" t="str">
        <f>VLOOKUP(A302,Participanti!A:B,2,0)</f>
        <v>M</v>
      </c>
      <c r="C302" s="75">
        <v>9</v>
      </c>
      <c r="D302" s="76">
        <v>21.04</v>
      </c>
      <c r="E302" s="77">
        <v>7.3923611111111107E-2</v>
      </c>
      <c r="F302" s="78">
        <v>0</v>
      </c>
      <c r="G302" s="20">
        <f t="shared" si="85"/>
        <v>3.5134796155471058E-3</v>
      </c>
      <c r="H302" s="16">
        <f>IF(B302="F",IF(G302&gt;Barem!$AC$2,0,IF(B302="F",VLOOKUP(D302,Barem!$B$2:$C$11,2,1))),IF(G302&gt;Barem!$AC$3,0,VLOOKUP(D302,Barem!$B$12:$C$21,2,1)))</f>
        <v>5</v>
      </c>
      <c r="I302" s="16">
        <f>IF(H302=0,0,IF(B302="F",VLOOKUP(G302,Barem!$G$2:$H$11,2,1),VLOOKUP(G302,Barem!$G$12:$H$21,2,1)))</f>
        <v>2.5</v>
      </c>
      <c r="J302" s="75">
        <v>3.5</v>
      </c>
      <c r="K302" s="82" t="str">
        <f>VLOOKUP($C302,Barem!$L$2:$R$13,7,0)</f>
        <v>V</v>
      </c>
      <c r="L302" s="17">
        <f t="shared" si="87"/>
        <v>0.25</v>
      </c>
      <c r="M302" s="17">
        <f t="shared" si="87"/>
        <v>0.5</v>
      </c>
      <c r="N302" s="17">
        <f t="shared" si="87"/>
        <v>0.25</v>
      </c>
      <c r="O302" s="81">
        <f t="shared" si="86"/>
        <v>0</v>
      </c>
      <c r="P302" s="36">
        <f>IF(D302&gt;21,VLOOKUP(D302,Barem!$T$1:$U$39,2,1),0)</f>
        <v>0</v>
      </c>
      <c r="Q302" s="32">
        <f>IF(D302&lt;1.609,0,IF(B302="F",VLOOKUP(G302,Barem!$X$2:$Z$13,2,1),VLOOKUP(G302,Barem!$X$14:$Z$25,2,1)))</f>
        <v>0</v>
      </c>
      <c r="R302" s="36">
        <f>VLOOKUP(A302,Participanti!A:C,3,0)</f>
        <v>0</v>
      </c>
      <c r="S302" s="29">
        <f t="shared" si="82"/>
        <v>3.375</v>
      </c>
      <c r="T302" s="79">
        <v>44044</v>
      </c>
      <c r="U302" s="16">
        <f>COUNTIFS(A:A,A302,C:C,C302)</f>
        <v>1</v>
      </c>
      <c r="V302" s="34">
        <f t="shared" si="83"/>
        <v>0.16040874524714829</v>
      </c>
      <c r="W302" s="3" t="str">
        <f>VLOOKUP(A302,Data_echipe!A:O,15,0)</f>
        <v xml:space="preserve"> Let it run</v>
      </c>
      <c r="X302" s="3">
        <f t="shared" si="81"/>
        <v>1</v>
      </c>
    </row>
    <row r="303" spans="1:24">
      <c r="A303" s="74" t="s">
        <v>59</v>
      </c>
      <c r="B303" s="24" t="str">
        <f>VLOOKUP(A303,Participanti!A:B,2,0)</f>
        <v>M</v>
      </c>
      <c r="C303" s="75">
        <v>9</v>
      </c>
      <c r="D303" s="76">
        <v>15.02</v>
      </c>
      <c r="E303" s="77">
        <v>6.1585648148148153E-2</v>
      </c>
      <c r="F303" s="78">
        <v>0</v>
      </c>
      <c r="G303" s="20">
        <f t="shared" ref="G303" si="88">E303/D303</f>
        <v>4.1002428860285054E-3</v>
      </c>
      <c r="H303" s="16">
        <f>IF(B303="F",IF(G303&gt;Barem!$AC$2,0,IF(B303="F",VLOOKUP(D303,Barem!$B$2:$C$11,2,1))),IF(G303&gt;Barem!$AC$3,0,VLOOKUP(D303,Barem!$B$12:$C$21,2,1)))</f>
        <v>3.5</v>
      </c>
      <c r="I303" s="16">
        <f>IF(H303=0,0,IF(B303="F",VLOOKUP(G303,Barem!$G$2:$H$11,2,1),VLOOKUP(G303,Barem!$G$12:$H$21,2,1)))</f>
        <v>1.5</v>
      </c>
      <c r="J303" s="75">
        <v>2.5</v>
      </c>
      <c r="K303" s="82" t="str">
        <f>VLOOKUP($C303,Barem!$L$2:$R$13,7,0)</f>
        <v>V</v>
      </c>
      <c r="L303" s="17">
        <f t="shared" si="87"/>
        <v>0.25</v>
      </c>
      <c r="M303" s="17">
        <f t="shared" si="87"/>
        <v>0.5</v>
      </c>
      <c r="N303" s="17">
        <f t="shared" si="87"/>
        <v>0.25</v>
      </c>
      <c r="O303" s="81">
        <f t="shared" ref="O303" si="89">IF(F303&lt;-49,F303/1500,IF(F303&gt;99,F303/1500,0))</f>
        <v>0</v>
      </c>
      <c r="P303" s="36">
        <f>IF(D303&gt;21,VLOOKUP(D303,Barem!$T$1:$U$39,2,1),0)</f>
        <v>0</v>
      </c>
      <c r="Q303" s="32">
        <f>IF(D303&lt;1.609,0,IF(B303="F",VLOOKUP(G303,Barem!$X$2:$Z$13,2,1),VLOOKUP(G303,Barem!$X$14:$Z$25,2,1)))</f>
        <v>0</v>
      </c>
      <c r="R303" s="36">
        <f>VLOOKUP(A303,Participanti!A:C,3,0)</f>
        <v>0</v>
      </c>
      <c r="S303" s="29">
        <f t="shared" ref="S303" si="90">H303*L303+I303*M303+J303*N303+O303+P303+Q303+R303</f>
        <v>2.25</v>
      </c>
      <c r="T303" s="79">
        <v>44042</v>
      </c>
      <c r="U303" s="16">
        <f>COUNTIFS(A:A,A303,C:C,C303)</f>
        <v>1</v>
      </c>
      <c r="V303" s="34">
        <f t="shared" ref="V303" si="91">S303/D303</f>
        <v>0.14980026631158455</v>
      </c>
      <c r="W303" s="3" t="str">
        <f>VLOOKUP(A303,Data_echipe!A:O,15,0)</f>
        <v>Tenchei</v>
      </c>
      <c r="X303" s="3">
        <f t="shared" si="81"/>
        <v>1</v>
      </c>
    </row>
    <row r="304" spans="1:24">
      <c r="A304" s="74" t="s">
        <v>114</v>
      </c>
      <c r="B304" s="24" t="str">
        <f>VLOOKUP(A304,Participanti!A:B,2,0)</f>
        <v>M</v>
      </c>
      <c r="C304" s="75">
        <v>9</v>
      </c>
      <c r="D304" s="76">
        <v>11.01</v>
      </c>
      <c r="E304" s="77">
        <v>3.7800925925925925E-2</v>
      </c>
      <c r="F304" s="78">
        <v>301</v>
      </c>
      <c r="G304" s="20">
        <f t="shared" ref="G304" si="92">E304/D304</f>
        <v>3.4333266054428634E-3</v>
      </c>
      <c r="H304" s="16">
        <f>IF(B304="F",IF(G304&gt;Barem!$AC$2,0,IF(B304="F",VLOOKUP(D304,Barem!$B$2:$C$11,2,1))),IF(G304&gt;Barem!$AC$3,0,VLOOKUP(D304,Barem!$B$12:$C$21,2,1)))</f>
        <v>2.5</v>
      </c>
      <c r="I304" s="16">
        <f>IF(H304=0,0,IF(B304="F",VLOOKUP(G304,Barem!$G$2:$H$11,2,1),VLOOKUP(G304,Barem!$G$12:$H$21,2,1)))</f>
        <v>3</v>
      </c>
      <c r="J304" s="75">
        <v>3</v>
      </c>
      <c r="K304" s="82" t="str">
        <f>VLOOKUP($C304,Barem!$L$2:$R$13,7,0)</f>
        <v>V</v>
      </c>
      <c r="L304" s="17">
        <f t="shared" si="87"/>
        <v>0.25</v>
      </c>
      <c r="M304" s="17">
        <f t="shared" si="87"/>
        <v>0.5</v>
      </c>
      <c r="N304" s="17">
        <f t="shared" si="87"/>
        <v>0.25</v>
      </c>
      <c r="O304" s="81">
        <f t="shared" ref="O304" si="93">IF(F304&lt;-49,F304/1500,IF(F304&gt;99,F304/1500,0))</f>
        <v>0.20066666666666666</v>
      </c>
      <c r="P304" s="36">
        <f>IF(D304&gt;21,VLOOKUP(D304,Barem!$T$1:$U$39,2,1),0)</f>
        <v>0</v>
      </c>
      <c r="Q304" s="32">
        <f>IF(D304&lt;1.609,0,IF(B304="F",VLOOKUP(G304,Barem!$X$2:$Z$13,2,1),VLOOKUP(G304,Barem!$X$14:$Z$25,2,1)))</f>
        <v>0</v>
      </c>
      <c r="R304" s="36">
        <f>VLOOKUP(A304,Participanti!A:C,3,0)</f>
        <v>0</v>
      </c>
      <c r="S304" s="29">
        <f t="shared" ref="S304" si="94">H304*L304+I304*M304+J304*N304+O304+P304+Q304+R304</f>
        <v>3.0756666666666668</v>
      </c>
      <c r="T304" s="79">
        <v>44041</v>
      </c>
      <c r="U304" s="16">
        <f>COUNTIFS(A:A,A304,C:C,C304)</f>
        <v>1</v>
      </c>
      <c r="V304" s="34">
        <f t="shared" ref="V304" si="95">S304/D304</f>
        <v>0.27935210414774447</v>
      </c>
      <c r="W304" s="3" t="str">
        <f>VLOOKUP(A304,Data_echipe!A:O,15,0)</f>
        <v>Serioranistii</v>
      </c>
      <c r="X304" s="3">
        <f t="shared" si="81"/>
        <v>1</v>
      </c>
    </row>
    <row r="305" spans="1:24">
      <c r="A305" s="74" t="s">
        <v>47</v>
      </c>
      <c r="B305" s="24" t="str">
        <f>VLOOKUP(A305,Participanti!A:B,2,0)</f>
        <v>M</v>
      </c>
      <c r="C305" s="75">
        <v>9</v>
      </c>
      <c r="D305" s="76">
        <v>16.59</v>
      </c>
      <c r="E305" s="77">
        <v>5.8657407407407408E-2</v>
      </c>
      <c r="F305" s="78">
        <v>38</v>
      </c>
      <c r="G305" s="20">
        <f t="shared" si="85"/>
        <v>3.535708704485076E-3</v>
      </c>
      <c r="H305" s="16">
        <f>IF(B305="F",IF(G305&gt;Barem!$AC$2,0,IF(B305="F",VLOOKUP(D305,Barem!$B$2:$C$11,2,1))),IF(G305&gt;Barem!$AC$3,0,VLOOKUP(D305,Barem!$B$12:$C$21,2,1)))</f>
        <v>3.5</v>
      </c>
      <c r="I305" s="16">
        <f>IF(H305=0,0,IF(B305="F",VLOOKUP(G305,Barem!$G$2:$H$11,2,1),VLOOKUP(G305,Barem!$G$12:$H$21,2,1)))</f>
        <v>2.5</v>
      </c>
      <c r="J305" s="75">
        <v>4</v>
      </c>
      <c r="K305" s="82" t="str">
        <f>VLOOKUP($C305,Barem!$L$2:$R$13,7,0)</f>
        <v>V</v>
      </c>
      <c r="L305" s="17">
        <f t="shared" si="87"/>
        <v>0.25</v>
      </c>
      <c r="M305" s="17">
        <f t="shared" si="87"/>
        <v>0.5</v>
      </c>
      <c r="N305" s="17">
        <f t="shared" si="87"/>
        <v>0.25</v>
      </c>
      <c r="O305" s="81">
        <f t="shared" si="86"/>
        <v>0</v>
      </c>
      <c r="P305" s="36">
        <f>IF(D305&gt;21,VLOOKUP(D305,Barem!$T$1:$U$39,2,1),0)</f>
        <v>0</v>
      </c>
      <c r="Q305" s="32">
        <f>IF(D305&lt;1.609,0,IF(B305="F",VLOOKUP(G305,Barem!$X$2:$Z$13,2,1),VLOOKUP(G305,Barem!$X$14:$Z$25,2,1)))</f>
        <v>0</v>
      </c>
      <c r="R305" s="36">
        <f>VLOOKUP(A305,Participanti!A:C,3,0)</f>
        <v>0</v>
      </c>
      <c r="S305" s="29">
        <f t="shared" si="82"/>
        <v>3.125</v>
      </c>
      <c r="T305" s="79">
        <v>44040</v>
      </c>
      <c r="U305" s="16">
        <f>COUNTIFS(A:A,A305,C:C,C305)</f>
        <v>1</v>
      </c>
      <c r="V305" s="34">
        <f t="shared" si="83"/>
        <v>0.18836648583484028</v>
      </c>
      <c r="W305" s="3" t="str">
        <f>VLOOKUP(A305,Data_echipe!A:O,15,0)</f>
        <v>X Æ A-12</v>
      </c>
      <c r="X305" s="3">
        <f t="shared" si="81"/>
        <v>1</v>
      </c>
    </row>
    <row r="306" spans="1:24">
      <c r="A306" s="74" t="s">
        <v>54</v>
      </c>
      <c r="B306" s="24" t="str">
        <f>VLOOKUP(A306,Participanti!A:B,2,0)</f>
        <v>M</v>
      </c>
      <c r="C306" s="75">
        <v>9</v>
      </c>
      <c r="D306" s="76">
        <v>15.65</v>
      </c>
      <c r="E306" s="77">
        <v>6.2152777777777779E-2</v>
      </c>
      <c r="F306" s="78">
        <v>259</v>
      </c>
      <c r="G306" s="20">
        <f t="shared" ref="G306" si="96">E306/D306</f>
        <v>3.971423500177494E-3</v>
      </c>
      <c r="H306" s="16">
        <f>IF(B306="F",IF(G306&gt;Barem!$AC$2,0,IF(B306="F",VLOOKUP(D306,Barem!$B$2:$C$11,2,1))),IF(G306&gt;Barem!$AC$3,0,VLOOKUP(D306,Barem!$B$12:$C$21,2,1)))</f>
        <v>3.5</v>
      </c>
      <c r="I306" s="16">
        <f>IF(H306=0,0,IF(B306="F",VLOOKUP(G306,Barem!$G$2:$H$11,2,1),VLOOKUP(G306,Barem!$G$12:$H$21,2,1)))</f>
        <v>1.5</v>
      </c>
      <c r="J306" s="75"/>
      <c r="K306" s="82" t="str">
        <f>VLOOKUP($C306,Barem!$L$2:$R$13,7,0)</f>
        <v>V</v>
      </c>
      <c r="L306" s="17">
        <f t="shared" si="87"/>
        <v>0.25</v>
      </c>
      <c r="M306" s="17">
        <f t="shared" si="87"/>
        <v>0.5</v>
      </c>
      <c r="N306" s="17">
        <f t="shared" si="87"/>
        <v>0.25</v>
      </c>
      <c r="O306" s="81">
        <f t="shared" ref="O306" si="97">IF(F306&lt;-49,F306/1500,IF(F306&gt;99,F306/1500,0))</f>
        <v>0.17266666666666666</v>
      </c>
      <c r="P306" s="36">
        <f>IF(D306&gt;21,VLOOKUP(D306,Barem!$T$1:$U$39,2,1),0)</f>
        <v>0</v>
      </c>
      <c r="Q306" s="32">
        <f>IF(D306&lt;1.609,0,IF(B306="F",VLOOKUP(G306,Barem!$X$2:$Z$13,2,1),VLOOKUP(G306,Barem!$X$14:$Z$25,2,1)))</f>
        <v>0</v>
      </c>
      <c r="R306" s="36">
        <f>VLOOKUP(A306,Participanti!A:C,3,0)</f>
        <v>0.5</v>
      </c>
      <c r="S306" s="29">
        <f t="shared" ref="S306" si="98">H306*L306+I306*M306+J306*N306+O306+P306+Q306+R306</f>
        <v>2.2976666666666667</v>
      </c>
      <c r="T306" s="79">
        <v>44041</v>
      </c>
      <c r="U306" s="16">
        <f>COUNTIFS(A:A,A306,C:C,C306)</f>
        <v>1</v>
      </c>
      <c r="V306" s="34">
        <f t="shared" ref="V306" si="99">S306/D306</f>
        <v>0.14681576144834932</v>
      </c>
      <c r="W306" s="3" t="str">
        <f>VLOOKUP(A306,Data_echipe!A:O,15,0)</f>
        <v>Serioranistii</v>
      </c>
      <c r="X306" s="3">
        <f t="shared" si="81"/>
        <v>1</v>
      </c>
    </row>
    <row r="307" spans="1:24">
      <c r="A307" s="74" t="s">
        <v>203</v>
      </c>
      <c r="B307" s="24" t="str">
        <f>VLOOKUP(A307,Participanti!A:B,2,0)</f>
        <v>M</v>
      </c>
      <c r="C307" s="75">
        <v>9</v>
      </c>
      <c r="D307" s="76">
        <v>11.28</v>
      </c>
      <c r="E307" s="77">
        <v>3.8692129629629632E-2</v>
      </c>
      <c r="F307" s="78">
        <v>19</v>
      </c>
      <c r="G307" s="20">
        <f t="shared" si="85"/>
        <v>3.430153335960074E-3</v>
      </c>
      <c r="H307" s="16">
        <f>IF(B307="F",IF(G307&gt;Barem!$AC$2,0,IF(B307="F",VLOOKUP(D307,Barem!$B$2:$C$11,2,1))),IF(G307&gt;Barem!$AC$3,0,VLOOKUP(D307,Barem!$B$12:$C$21,2,1)))</f>
        <v>2.5</v>
      </c>
      <c r="I307" s="16">
        <f>IF(H307=0,0,IF(B307="F",VLOOKUP(G307,Barem!$G$2:$H$11,2,1),VLOOKUP(G307,Barem!$G$12:$H$21,2,1)))</f>
        <v>3</v>
      </c>
      <c r="J307" s="75">
        <v>2</v>
      </c>
      <c r="K307" s="82" t="str">
        <f>VLOOKUP($C307,Barem!$L$2:$R$13,7,0)</f>
        <v>V</v>
      </c>
      <c r="L307" s="17">
        <f t="shared" si="87"/>
        <v>0.25</v>
      </c>
      <c r="M307" s="17">
        <f t="shared" si="87"/>
        <v>0.5</v>
      </c>
      <c r="N307" s="17">
        <f t="shared" si="87"/>
        <v>0.25</v>
      </c>
      <c r="O307" s="81">
        <f t="shared" si="86"/>
        <v>0</v>
      </c>
      <c r="P307" s="36">
        <f>IF(D307&gt;21,VLOOKUP(D307,Barem!$T$1:$U$39,2,1),0)</f>
        <v>0</v>
      </c>
      <c r="Q307" s="32">
        <f>IF(D307&lt;1.609,0,IF(B307="F",VLOOKUP(G307,Barem!$X$2:$Z$13,2,1),VLOOKUP(G307,Barem!$X$14:$Z$25,2,1)))</f>
        <v>0</v>
      </c>
      <c r="R307" s="36">
        <f>VLOOKUP(A307,Participanti!A:C,3,0)</f>
        <v>0</v>
      </c>
      <c r="S307" s="29">
        <f t="shared" ref="S307:S338" si="100">H307*L307+I307*M307+J307*N307+O307+P307+Q307+R307</f>
        <v>2.625</v>
      </c>
      <c r="T307" s="79">
        <v>44042</v>
      </c>
      <c r="U307" s="16">
        <f>COUNTIFS(A:A,A307,C:C,C307)</f>
        <v>1</v>
      </c>
      <c r="V307" s="34">
        <f t="shared" ref="V307:V338" si="101">S307/D307</f>
        <v>0.23271276595744683</v>
      </c>
      <c r="W307" s="3" t="str">
        <f>VLOOKUP(A307,Data_echipe!A:O,15,0)</f>
        <v>Tenchei</v>
      </c>
      <c r="X307" s="3">
        <f t="shared" si="81"/>
        <v>1</v>
      </c>
    </row>
    <row r="308" spans="1:24">
      <c r="A308" s="74" t="s">
        <v>57</v>
      </c>
      <c r="B308" s="24" t="str">
        <f>VLOOKUP(A308,Participanti!A:B,2,0)</f>
        <v>M</v>
      </c>
      <c r="C308" s="75">
        <v>9</v>
      </c>
      <c r="D308" s="76">
        <v>16.68</v>
      </c>
      <c r="E308" s="77">
        <v>5.6828703703703708E-2</v>
      </c>
      <c r="F308" s="78">
        <v>172</v>
      </c>
      <c r="G308" s="20">
        <f t="shared" ref="G308" si="102">E308/D308</f>
        <v>3.4069966249222847E-3</v>
      </c>
      <c r="H308" s="16">
        <f>IF(B308="F",IF(G308&gt;Barem!$AC$2,0,IF(B308="F",VLOOKUP(D308,Barem!$B$2:$C$11,2,1))),IF(G308&gt;Barem!$AC$3,0,VLOOKUP(D308,Barem!$B$12:$C$21,2,1)))</f>
        <v>3.5</v>
      </c>
      <c r="I308" s="16">
        <f>IF(H308=0,0,IF(B308="F",VLOOKUP(G308,Barem!$G$2:$H$11,2,1),VLOOKUP(G308,Barem!$G$12:$H$21,2,1)))</f>
        <v>3</v>
      </c>
      <c r="J308" s="75">
        <v>4</v>
      </c>
      <c r="K308" s="83" t="s">
        <v>184</v>
      </c>
      <c r="L308" s="17">
        <f t="shared" si="87"/>
        <v>0.25</v>
      </c>
      <c r="M308" s="17">
        <f t="shared" si="87"/>
        <v>0.25</v>
      </c>
      <c r="N308" s="17">
        <f t="shared" si="87"/>
        <v>0.5</v>
      </c>
      <c r="O308" s="81">
        <f t="shared" ref="O308" si="103">IF(F308&lt;-49,F308/1500,IF(F308&gt;99,F308/1500,0))</f>
        <v>0.11466666666666667</v>
      </c>
      <c r="P308" s="36">
        <f>IF(D308&gt;21,VLOOKUP(D308,Barem!$T$1:$U$39,2,1),0)</f>
        <v>0</v>
      </c>
      <c r="Q308" s="32">
        <f>IF(D308&lt;1.609,0,IF(B308="F",VLOOKUP(G308,Barem!$X$2:$Z$13,2,1),VLOOKUP(G308,Barem!$X$14:$Z$25,2,1)))</f>
        <v>0</v>
      </c>
      <c r="R308" s="36">
        <f>VLOOKUP(A308,Participanti!A:C,3,0)</f>
        <v>0</v>
      </c>
      <c r="S308" s="29">
        <f t="shared" ref="S308" si="104">H308*L308+I308*M308+J308*N308+O308+P308+Q308+R308</f>
        <v>3.7396666666666665</v>
      </c>
      <c r="T308" s="79">
        <v>44041</v>
      </c>
      <c r="U308" s="16">
        <f>COUNTIFS(A:A,A308,C:C,C308)</f>
        <v>1</v>
      </c>
      <c r="V308" s="34">
        <f t="shared" ref="V308" si="105">S308/D308</f>
        <v>0.22420063948840926</v>
      </c>
      <c r="W308" s="3" t="str">
        <f>VLOOKUP(A308,Data_echipe!A:O,15,0)</f>
        <v>Tenchei</v>
      </c>
      <c r="X308" s="3">
        <f t="shared" si="81"/>
        <v>1</v>
      </c>
    </row>
    <row r="309" spans="1:24">
      <c r="A309" s="74" t="s">
        <v>55</v>
      </c>
      <c r="B309" s="24" t="str">
        <f>VLOOKUP(A309,Participanti!A:B,2,0)</f>
        <v>M</v>
      </c>
      <c r="C309" s="75">
        <v>9</v>
      </c>
      <c r="D309" s="76">
        <v>29</v>
      </c>
      <c r="E309" s="77">
        <v>0.14581018518518518</v>
      </c>
      <c r="F309" s="78">
        <v>1003</v>
      </c>
      <c r="G309" s="20">
        <f t="shared" si="85"/>
        <v>5.0279374201787994E-3</v>
      </c>
      <c r="H309" s="16">
        <f>IF(B309="F",IF(G309&gt;Barem!$AC$2,0,IF(B309="F",VLOOKUP(D309,Barem!$B$2:$C$11,2,1))),IF(G309&gt;Barem!$AC$3,0,VLOOKUP(D309,Barem!$B$12:$C$21,2,1)))</f>
        <v>5</v>
      </c>
      <c r="I309" s="16">
        <f>IF(H309=0,0,IF(B309="F",VLOOKUP(G309,Barem!$G$2:$H$11,2,1),VLOOKUP(G309,Barem!$G$12:$H$21,2,1)))</f>
        <v>1</v>
      </c>
      <c r="J309" s="75">
        <v>4</v>
      </c>
      <c r="K309" s="83" t="s">
        <v>182</v>
      </c>
      <c r="L309" s="17">
        <f t="shared" si="87"/>
        <v>0.5</v>
      </c>
      <c r="M309" s="17">
        <f t="shared" si="87"/>
        <v>0.25</v>
      </c>
      <c r="N309" s="17">
        <f t="shared" si="87"/>
        <v>0.25</v>
      </c>
      <c r="O309" s="81">
        <f t="shared" si="86"/>
        <v>0.66866666666666663</v>
      </c>
      <c r="P309" s="36">
        <f>IF(D309&gt;21,VLOOKUP(D309,Barem!$T$1:$U$39,2,1),0)</f>
        <v>0.1</v>
      </c>
      <c r="Q309" s="32">
        <f>IF(D309&lt;1.609,0,IF(B309="F",VLOOKUP(G309,Barem!$X$2:$Z$13,2,1),VLOOKUP(G309,Barem!$X$14:$Z$25,2,1)))</f>
        <v>0</v>
      </c>
      <c r="R309" s="36">
        <f>VLOOKUP(A309,Participanti!A:C,3,0)</f>
        <v>0</v>
      </c>
      <c r="S309" s="29">
        <f t="shared" si="100"/>
        <v>4.5186666666666664</v>
      </c>
      <c r="T309" s="79">
        <v>44045</v>
      </c>
      <c r="U309" s="16">
        <f>COUNTIFS(A:A,A309,C:C,C309)</f>
        <v>1</v>
      </c>
      <c r="V309" s="34">
        <f t="shared" si="101"/>
        <v>0.15581609195402299</v>
      </c>
      <c r="W309" s="3" t="str">
        <f>VLOOKUP(A309,Data_echipe!A:O,15,0)</f>
        <v>Serioranistii</v>
      </c>
      <c r="X309" s="3">
        <f t="shared" si="81"/>
        <v>1</v>
      </c>
    </row>
    <row r="310" spans="1:24">
      <c r="A310" s="74" t="s">
        <v>202</v>
      </c>
      <c r="B310" s="24" t="str">
        <f>VLOOKUP(A310,Participanti!A:B,2,0)</f>
        <v>M</v>
      </c>
      <c r="C310" s="75">
        <v>9</v>
      </c>
      <c r="D310" s="76">
        <v>11.69</v>
      </c>
      <c r="E310" s="77">
        <v>4.1006944444444443E-2</v>
      </c>
      <c r="F310" s="78">
        <v>152</v>
      </c>
      <c r="G310" s="20">
        <f t="shared" si="85"/>
        <v>3.5078652219370783E-3</v>
      </c>
      <c r="H310" s="16">
        <f>IF(B310="F",IF(G310&gt;Barem!$AC$2,0,IF(B310="F",VLOOKUP(D310,Barem!$B$2:$C$11,2,1))),IF(G310&gt;Barem!$AC$3,0,VLOOKUP(D310,Barem!$B$12:$C$21,2,1)))</f>
        <v>2.5</v>
      </c>
      <c r="I310" s="16">
        <f>IF(H310=0,0,IF(B310="F",VLOOKUP(G310,Barem!$G$2:$H$11,2,1),VLOOKUP(G310,Barem!$G$12:$H$21,2,1)))</f>
        <v>2.5</v>
      </c>
      <c r="J310" s="75">
        <v>4</v>
      </c>
      <c r="K310" s="83" t="s">
        <v>184</v>
      </c>
      <c r="L310" s="17">
        <f t="shared" si="87"/>
        <v>0.25</v>
      </c>
      <c r="M310" s="17">
        <f t="shared" si="87"/>
        <v>0.25</v>
      </c>
      <c r="N310" s="17">
        <f t="shared" si="87"/>
        <v>0.5</v>
      </c>
      <c r="O310" s="81">
        <f t="shared" si="86"/>
        <v>0.10133333333333333</v>
      </c>
      <c r="P310" s="36">
        <f>IF(D310&gt;21,VLOOKUP(D310,Barem!$T$1:$U$39,2,1),0)</f>
        <v>0</v>
      </c>
      <c r="Q310" s="32">
        <f>IF(D310&lt;1.609,0,IF(B310="F",VLOOKUP(G310,Barem!$X$2:$Z$13,2,1),VLOOKUP(G310,Barem!$X$14:$Z$25,2,1)))</f>
        <v>0</v>
      </c>
      <c r="R310" s="36">
        <f>VLOOKUP(A310,Participanti!A:C,3,0)</f>
        <v>0</v>
      </c>
      <c r="S310" s="29">
        <f t="shared" si="100"/>
        <v>3.3513333333333333</v>
      </c>
      <c r="T310" s="79">
        <v>44041</v>
      </c>
      <c r="U310" s="16">
        <f>COUNTIFS(A:A,A310,C:C,C310)</f>
        <v>1</v>
      </c>
      <c r="V310" s="34">
        <f t="shared" si="101"/>
        <v>0.28668377530652983</v>
      </c>
      <c r="W310" s="3" t="str">
        <f>VLOOKUP(A310,Data_echipe!A:O,15,0)</f>
        <v>X Æ A-12</v>
      </c>
      <c r="X310" s="3">
        <f t="shared" si="81"/>
        <v>1</v>
      </c>
    </row>
    <row r="311" spans="1:24">
      <c r="A311" s="74" t="s">
        <v>67</v>
      </c>
      <c r="B311" s="24" t="str">
        <f>VLOOKUP(A311,Participanti!A:B,2,0)</f>
        <v>F</v>
      </c>
      <c r="C311" s="75">
        <v>9</v>
      </c>
      <c r="D311" s="76">
        <v>4.09</v>
      </c>
      <c r="E311" s="77">
        <v>1.5347222222222222E-2</v>
      </c>
      <c r="F311" s="78">
        <v>0</v>
      </c>
      <c r="G311" s="20">
        <f t="shared" ref="G311" si="106">E311/D311</f>
        <v>3.7523770714479763E-3</v>
      </c>
      <c r="H311" s="16">
        <f>IF(B311="F",IF(G311&gt;Barem!$AC$2,0,IF(B311="F",VLOOKUP(D311,Barem!$B$2:$C$11,2,1))),IF(G311&gt;Barem!$AC$3,0,VLOOKUP(D311,Barem!$B$12:$C$21,2,1)))</f>
        <v>1</v>
      </c>
      <c r="I311" s="16">
        <f>IF(H311=0,0,IF(B311="F",VLOOKUP(G311,Barem!$G$2:$H$11,2,1),VLOOKUP(G311,Barem!$G$12:$H$21,2,1)))</f>
        <v>3</v>
      </c>
      <c r="J311" s="75">
        <v>4</v>
      </c>
      <c r="K311" s="82" t="str">
        <f>VLOOKUP($C311,Barem!$L$2:$R$13,7,0)</f>
        <v>V</v>
      </c>
      <c r="L311" s="17">
        <f t="shared" si="87"/>
        <v>0.25</v>
      </c>
      <c r="M311" s="17">
        <f t="shared" si="87"/>
        <v>0.5</v>
      </c>
      <c r="N311" s="17">
        <f t="shared" si="87"/>
        <v>0.25</v>
      </c>
      <c r="O311" s="81">
        <f t="shared" ref="O311" si="107">IF(F311&lt;-49,F311/1500,IF(F311&gt;99,F311/1500,0))</f>
        <v>0</v>
      </c>
      <c r="P311" s="36">
        <f>IF(D311&gt;21,VLOOKUP(D311,Barem!$T$1:$U$39,2,1),0)</f>
        <v>0</v>
      </c>
      <c r="Q311" s="32">
        <f>IF(D311&lt;1.609,0,IF(B311="F",VLOOKUP(G311,Barem!$X$2:$Z$13,2,1),VLOOKUP(G311,Barem!$X$14:$Z$25,2,1)))</f>
        <v>0</v>
      </c>
      <c r="R311" s="36">
        <f>VLOOKUP(A311,Participanti!A:C,3,0)</f>
        <v>0</v>
      </c>
      <c r="S311" s="29">
        <f t="shared" ref="S311" si="108">H311*L311+I311*M311+J311*N311+O311+P311+Q311+R311</f>
        <v>2.75</v>
      </c>
      <c r="T311" s="79">
        <v>44042</v>
      </c>
      <c r="U311" s="16">
        <f>COUNTIFS(A:A,A311,C:C,C311)</f>
        <v>1</v>
      </c>
      <c r="V311" s="34">
        <f t="shared" ref="V311" si="109">S311/D311</f>
        <v>0.67237163814180934</v>
      </c>
      <c r="W311" s="3" t="str">
        <f>VLOOKUP(A311,Data_echipe!A:O,15,0)</f>
        <v>X Æ A-12</v>
      </c>
      <c r="X311" s="3">
        <f t="shared" si="81"/>
        <v>1</v>
      </c>
    </row>
    <row r="312" spans="1:24">
      <c r="A312" s="74" t="s">
        <v>65</v>
      </c>
      <c r="B312" s="24" t="str">
        <f>VLOOKUP(A312,Participanti!A:B,2,0)</f>
        <v>M</v>
      </c>
      <c r="C312" s="75">
        <v>9</v>
      </c>
      <c r="D312" s="76">
        <v>14.04</v>
      </c>
      <c r="E312" s="77">
        <v>4.7500000000000007E-2</v>
      </c>
      <c r="F312" s="78">
        <v>35</v>
      </c>
      <c r="G312" s="20">
        <f t="shared" si="85"/>
        <v>3.383190883190884E-3</v>
      </c>
      <c r="H312" s="16">
        <f>IF(B312="F",IF(G312&gt;Barem!$AC$2,0,IF(B312="F",VLOOKUP(D312,Barem!$B$2:$C$11,2,1))),IF(G312&gt;Barem!$AC$3,0,VLOOKUP(D312,Barem!$B$12:$C$21,2,1)))</f>
        <v>3</v>
      </c>
      <c r="I312" s="16">
        <f>IF(H312=0,0,IF(B312="F",VLOOKUP(G312,Barem!$G$2:$H$11,2,1),VLOOKUP(G312,Barem!$G$12:$H$21,2,1)))</f>
        <v>3</v>
      </c>
      <c r="J312" s="75">
        <v>3.5</v>
      </c>
      <c r="K312" s="83" t="s">
        <v>184</v>
      </c>
      <c r="L312" s="17">
        <f t="shared" si="87"/>
        <v>0.25</v>
      </c>
      <c r="M312" s="17">
        <f t="shared" si="87"/>
        <v>0.25</v>
      </c>
      <c r="N312" s="17">
        <f t="shared" si="87"/>
        <v>0.5</v>
      </c>
      <c r="O312" s="81">
        <f t="shared" si="86"/>
        <v>0</v>
      </c>
      <c r="P312" s="36">
        <f>IF(D312&gt;21,VLOOKUP(D312,Barem!$T$1:$U$39,2,1),0)</f>
        <v>0</v>
      </c>
      <c r="Q312" s="32">
        <f>IF(D312&lt;1.609,0,IF(B312="F",VLOOKUP(G312,Barem!$X$2:$Z$13,2,1),VLOOKUP(G312,Barem!$X$14:$Z$25,2,1)))</f>
        <v>0</v>
      </c>
      <c r="R312" s="36">
        <f>VLOOKUP(A312,Participanti!A:C,3,0)</f>
        <v>0</v>
      </c>
      <c r="S312" s="29">
        <f t="shared" si="100"/>
        <v>3.25</v>
      </c>
      <c r="T312" s="79">
        <v>44044</v>
      </c>
      <c r="U312" s="16">
        <f>COUNTIFS(A:A,A312,C:C,C312)</f>
        <v>1</v>
      </c>
      <c r="V312" s="34">
        <f t="shared" si="101"/>
        <v>0.23148148148148148</v>
      </c>
      <c r="W312" s="3" t="str">
        <f>VLOOKUP(A312,Data_echipe!A:O,15,0)</f>
        <v>X Æ A-12</v>
      </c>
      <c r="X312" s="3">
        <f t="shared" si="81"/>
        <v>1</v>
      </c>
    </row>
    <row r="313" spans="1:24" s="110" customFormat="1" ht="12.75" thickBot="1">
      <c r="A313" s="94" t="s">
        <v>83</v>
      </c>
      <c r="B313" s="95" t="str">
        <f>VLOOKUP(A313,Participanti!A:B,2,0)</f>
        <v>F</v>
      </c>
      <c r="C313" s="96">
        <v>9</v>
      </c>
      <c r="D313" s="97">
        <v>5.9</v>
      </c>
      <c r="E313" s="98">
        <v>2.9479166666666667E-2</v>
      </c>
      <c r="F313" s="99">
        <v>7</v>
      </c>
      <c r="G313" s="100">
        <f t="shared" si="85"/>
        <v>4.9964689265536719E-3</v>
      </c>
      <c r="H313" s="101">
        <f>IF(B313="F",IF(G313&gt;Barem!$AC$2,0,IF(B313="F",VLOOKUP(D313,Barem!$B$2:$C$11,2,1))),IF(G313&gt;Barem!$AC$3,0,VLOOKUP(D313,Barem!$B$12:$C$21,2,1)))</f>
        <v>1.5</v>
      </c>
      <c r="I313" s="101">
        <f>IF(H313=0,0,IF(B313="F",VLOOKUP(G313,Barem!$G$2:$H$11,2,1),VLOOKUP(G313,Barem!$G$12:$H$21,2,1)))</f>
        <v>1</v>
      </c>
      <c r="J313" s="96">
        <v>3</v>
      </c>
      <c r="K313" s="102" t="str">
        <f>VLOOKUP($C313,Barem!$L$2:$R$13,7,0)</f>
        <v>V</v>
      </c>
      <c r="L313" s="103">
        <f t="shared" si="87"/>
        <v>0.25</v>
      </c>
      <c r="M313" s="103">
        <f t="shared" si="87"/>
        <v>0.5</v>
      </c>
      <c r="N313" s="103">
        <f t="shared" si="87"/>
        <v>0.25</v>
      </c>
      <c r="O313" s="104">
        <f t="shared" si="86"/>
        <v>0</v>
      </c>
      <c r="P313" s="105">
        <f>IF(D313&gt;21,VLOOKUP(D313,Barem!$T$1:$U$39,2,1),0)</f>
        <v>0</v>
      </c>
      <c r="Q313" s="106">
        <f>IF(D313&lt;1.609,0,IF(B313="F",VLOOKUP(G313,Barem!$X$2:$Z$13,2,1),VLOOKUP(G313,Barem!$X$14:$Z$25,2,1)))</f>
        <v>0</v>
      </c>
      <c r="R313" s="105">
        <f>VLOOKUP(A313,Participanti!A:C,3,0)</f>
        <v>0.75</v>
      </c>
      <c r="S313" s="107">
        <f t="shared" si="100"/>
        <v>2.375</v>
      </c>
      <c r="T313" s="108">
        <v>44044</v>
      </c>
      <c r="U313" s="101">
        <f>COUNTIFS(A:A,A313,C:C,C313)</f>
        <v>1</v>
      </c>
      <c r="V313" s="109">
        <f t="shared" si="101"/>
        <v>0.40254237288135591</v>
      </c>
      <c r="W313" s="110" t="str">
        <f>VLOOKUP(A313,Data_echipe!A:O,15,0)</f>
        <v>Tenchei</v>
      </c>
      <c r="X313" s="3">
        <f t="shared" si="81"/>
        <v>1</v>
      </c>
    </row>
    <row r="314" spans="1:24">
      <c r="A314" s="74" t="s">
        <v>6</v>
      </c>
      <c r="B314" s="24" t="str">
        <f>VLOOKUP(A314,Participanti!A:B,2,0)</f>
        <v>F</v>
      </c>
      <c r="C314" s="75">
        <v>10</v>
      </c>
      <c r="D314" s="76">
        <v>11.01</v>
      </c>
      <c r="E314" s="77">
        <v>3.6666666666666667E-2</v>
      </c>
      <c r="F314" s="78">
        <v>24</v>
      </c>
      <c r="G314" s="20">
        <f t="shared" si="85"/>
        <v>3.3303057826218588E-3</v>
      </c>
      <c r="H314" s="16">
        <f>IF(B314="F",IF(G314&gt;Barem!$AC$2,0,IF(B314="F",VLOOKUP(D314,Barem!$B$2:$C$11,2,1))),IF(G314&gt;Barem!$AC$3,0,VLOOKUP(D314,Barem!$B$12:$C$21,2,1)))</f>
        <v>2.5</v>
      </c>
      <c r="I314" s="16">
        <f>IF(H314=0,0,IF(B314="F",VLOOKUP(G314,Barem!$G$2:$H$11,2,1),VLOOKUP(G314,Barem!$G$12:$H$21,2,1)))</f>
        <v>4</v>
      </c>
      <c r="J314" s="75">
        <v>4</v>
      </c>
      <c r="K314" s="82" t="str">
        <f>VLOOKUP($C314,Barem!$L$2:$R$13,7,0)</f>
        <v>P</v>
      </c>
      <c r="L314" s="17">
        <f t="shared" ref="L314:N327" si="110">IF($K314=L$1,50%,25%)</f>
        <v>0.25</v>
      </c>
      <c r="M314" s="17">
        <f t="shared" si="110"/>
        <v>0.25</v>
      </c>
      <c r="N314" s="17">
        <f t="shared" si="110"/>
        <v>0.5</v>
      </c>
      <c r="O314" s="81">
        <f t="shared" si="86"/>
        <v>0</v>
      </c>
      <c r="P314" s="36">
        <f>IF(D314&gt;21,VLOOKUP(D314,Barem!$T$1:$U$39,2,1),0)</f>
        <v>0</v>
      </c>
      <c r="Q314" s="32">
        <f>IF(D314&lt;1.609,0,IF(B314="F",VLOOKUP(G314,Barem!$X$2:$Z$13,2,1),VLOOKUP(G314,Barem!$X$14:$Z$25,2,1)))</f>
        <v>0</v>
      </c>
      <c r="R314" s="36">
        <f>VLOOKUP(A314,Participanti!A:C,3,0)</f>
        <v>0</v>
      </c>
      <c r="S314" s="29">
        <f t="shared" si="100"/>
        <v>3.625</v>
      </c>
      <c r="T314" s="79">
        <v>44052</v>
      </c>
      <c r="U314" s="16">
        <f>COUNTIFS(A:A,A314,C:C,C314)</f>
        <v>1</v>
      </c>
      <c r="V314" s="34">
        <f t="shared" si="101"/>
        <v>0.3292461398728429</v>
      </c>
      <c r="W314" s="3" t="str">
        <f>VLOOKUP(A314,Data_echipe!A:O,15,0)</f>
        <v>Unicornii</v>
      </c>
      <c r="X314" s="3">
        <f t="shared" si="81"/>
        <v>1</v>
      </c>
    </row>
    <row r="315" spans="1:24">
      <c r="A315" s="74" t="s">
        <v>82</v>
      </c>
      <c r="B315" s="24" t="str">
        <f>VLOOKUP(A315,Participanti!A:B,2,0)</f>
        <v>M</v>
      </c>
      <c r="C315" s="75">
        <v>10</v>
      </c>
      <c r="D315" s="76">
        <v>111.18</v>
      </c>
      <c r="E315" s="77">
        <v>1.0418055555555557</v>
      </c>
      <c r="F315" s="78">
        <v>6541</v>
      </c>
      <c r="G315" s="20">
        <f t="shared" si="85"/>
        <v>9.3704403269972616E-3</v>
      </c>
      <c r="H315" s="16">
        <f>IF(B315="F",IF(G315&gt;Barem!$AC$2,0,IF(B315="F",VLOOKUP(D315,Barem!$B$2:$C$11,2,1))),IF(G315&gt;Barem!$AC$3,0,VLOOKUP(D315,Barem!$B$12:$C$21,2,1)))</f>
        <v>0</v>
      </c>
      <c r="I315" s="16">
        <f>IF(H315=0,0,IF(B315="F",VLOOKUP(G315,Barem!$G$2:$H$11,2,1),VLOOKUP(G315,Barem!$G$12:$H$21,2,1)))</f>
        <v>0</v>
      </c>
      <c r="J315" s="75">
        <v>5</v>
      </c>
      <c r="K315" s="82" t="str">
        <f>VLOOKUP($C315,Barem!$L$2:$R$13,7,0)</f>
        <v>P</v>
      </c>
      <c r="L315" s="17">
        <f t="shared" si="110"/>
        <v>0.25</v>
      </c>
      <c r="M315" s="17">
        <f t="shared" si="110"/>
        <v>0.25</v>
      </c>
      <c r="N315" s="17">
        <f t="shared" si="110"/>
        <v>0.5</v>
      </c>
      <c r="O315" s="81">
        <f t="shared" si="86"/>
        <v>4.3606666666666669</v>
      </c>
      <c r="P315" s="36">
        <f>IF(D315&gt;21,VLOOKUP(D315,Barem!$T$1:$U$39,2,1),0)</f>
        <v>1.8</v>
      </c>
      <c r="Q315" s="32">
        <f>IF(D315&lt;1.609,0,IF(B315="F",VLOOKUP(G315,Barem!$X$2:$Z$13,2,1),VLOOKUP(G315,Barem!$X$14:$Z$25,2,1)))</f>
        <v>0</v>
      </c>
      <c r="R315" s="36">
        <f>VLOOKUP(A315,Participanti!A:C,3,0)</f>
        <v>0</v>
      </c>
      <c r="S315" s="29">
        <f t="shared" si="100"/>
        <v>8.6606666666666676</v>
      </c>
      <c r="T315" s="79">
        <v>44051</v>
      </c>
      <c r="U315" s="16">
        <v>0</v>
      </c>
      <c r="V315" s="34">
        <f t="shared" si="101"/>
        <v>7.7897703423877196E-2</v>
      </c>
      <c r="W315" s="3" t="str">
        <f>VLOOKUP(A315,Data_echipe!A:O,15,0)</f>
        <v xml:space="preserve"> Let it run</v>
      </c>
      <c r="X315" s="3">
        <f t="shared" si="81"/>
        <v>0</v>
      </c>
    </row>
    <row r="316" spans="1:24">
      <c r="A316" s="74" t="s">
        <v>115</v>
      </c>
      <c r="B316" s="24" t="str">
        <f>VLOOKUP(A316,Participanti!A:B,2,0)</f>
        <v>M</v>
      </c>
      <c r="C316" s="75">
        <v>10</v>
      </c>
      <c r="D316" s="76">
        <v>42.79</v>
      </c>
      <c r="E316" s="77">
        <v>0.30763888888888891</v>
      </c>
      <c r="F316" s="78">
        <v>1285</v>
      </c>
      <c r="G316" s="20">
        <f t="shared" ref="G316:G347" si="111">E316/D316</f>
        <v>7.1895042974734497E-3</v>
      </c>
      <c r="H316" s="16">
        <f>IF(B316="F",IF(G316&gt;Barem!$AC$2,0,IF(B316="F",VLOOKUP(D316,Barem!$B$2:$C$11,2,1))),IF(G316&gt;Barem!$AC$3,0,VLOOKUP(D316,Barem!$B$12:$C$21,2,1)))</f>
        <v>5</v>
      </c>
      <c r="I316" s="16">
        <f>IF(H316=0,0,IF(B316="F",VLOOKUP(G316,Barem!$G$2:$H$11,2,1),VLOOKUP(G316,Barem!$G$12:$H$21,2,1)))</f>
        <v>0</v>
      </c>
      <c r="J316" s="75">
        <v>4</v>
      </c>
      <c r="K316" s="83" t="s">
        <v>183</v>
      </c>
      <c r="L316" s="17">
        <f t="shared" si="110"/>
        <v>0.25</v>
      </c>
      <c r="M316" s="17">
        <f t="shared" si="110"/>
        <v>0.5</v>
      </c>
      <c r="N316" s="17">
        <f t="shared" si="110"/>
        <v>0.25</v>
      </c>
      <c r="O316" s="81">
        <f t="shared" ref="O316:O347" si="112">IF(F316&lt;-49,F316/1500,IF(F316&gt;99,F316/1500,0))</f>
        <v>0.85666666666666669</v>
      </c>
      <c r="P316" s="36">
        <f>IF(D316&gt;21,VLOOKUP(D316,Barem!$T$1:$U$39,2,1),0)</f>
        <v>0.4</v>
      </c>
      <c r="Q316" s="32">
        <f>IF(D316&lt;1.609,0,IF(B316="F",VLOOKUP(G316,Barem!$X$2:$Z$13,2,1),VLOOKUP(G316,Barem!$X$14:$Z$25,2,1)))</f>
        <v>0</v>
      </c>
      <c r="R316" s="36">
        <f>VLOOKUP(A316,Participanti!A:C,3,0)</f>
        <v>0.5</v>
      </c>
      <c r="S316" s="29">
        <f t="shared" si="100"/>
        <v>4.0066666666666659</v>
      </c>
      <c r="T316" s="79">
        <v>44051</v>
      </c>
      <c r="U316" s="16">
        <v>1</v>
      </c>
      <c r="V316" s="34">
        <f t="shared" si="101"/>
        <v>9.3635584638155314E-2</v>
      </c>
      <c r="W316" s="3" t="str">
        <f>VLOOKUP(A316,Data_echipe!A:O,15,0)</f>
        <v xml:space="preserve"> Let it run</v>
      </c>
      <c r="X316" s="3">
        <f t="shared" si="81"/>
        <v>0</v>
      </c>
    </row>
    <row r="317" spans="1:24">
      <c r="A317" s="74" t="s">
        <v>8</v>
      </c>
      <c r="B317" s="24" t="str">
        <f>VLOOKUP(A317,Participanti!A:B,2,0)</f>
        <v>M</v>
      </c>
      <c r="C317" s="75">
        <v>10</v>
      </c>
      <c r="D317" s="76">
        <v>6.89</v>
      </c>
      <c r="E317" s="77">
        <v>2.6400462962962962E-2</v>
      </c>
      <c r="F317" s="78">
        <v>5</v>
      </c>
      <c r="G317" s="20">
        <f t="shared" si="111"/>
        <v>3.8317072515185722E-3</v>
      </c>
      <c r="H317" s="16">
        <f>IF(B317="F",IF(G317&gt;Barem!$AC$2,0,IF(B317="F",VLOOKUP(D317,Barem!$B$2:$C$11,2,1))),IF(G317&gt;Barem!$AC$3,0,VLOOKUP(D317,Barem!$B$12:$C$21,2,1)))</f>
        <v>1.5</v>
      </c>
      <c r="I317" s="16">
        <f>IF(H317=0,0,IF(B317="F",VLOOKUP(G317,Barem!$G$2:$H$11,2,1),VLOOKUP(G317,Barem!$G$12:$H$21,2,1)))</f>
        <v>1.5</v>
      </c>
      <c r="J317" s="75">
        <v>3.5</v>
      </c>
      <c r="K317" s="83" t="s">
        <v>183</v>
      </c>
      <c r="L317" s="17">
        <f t="shared" si="110"/>
        <v>0.25</v>
      </c>
      <c r="M317" s="17">
        <f t="shared" si="110"/>
        <v>0.5</v>
      </c>
      <c r="N317" s="17">
        <f t="shared" si="110"/>
        <v>0.25</v>
      </c>
      <c r="O317" s="81">
        <f t="shared" si="112"/>
        <v>0</v>
      </c>
      <c r="P317" s="36">
        <f>IF(D317&gt;21,VLOOKUP(D317,Barem!$T$1:$U$39,2,1),0)</f>
        <v>0</v>
      </c>
      <c r="Q317" s="32">
        <f>IF(D317&lt;1.609,0,IF(B317="F",VLOOKUP(G317,Barem!$X$2:$Z$13,2,1),VLOOKUP(G317,Barem!$X$14:$Z$25,2,1)))</f>
        <v>0</v>
      </c>
      <c r="R317" s="36">
        <f>VLOOKUP(A317,Participanti!A:C,3,0)</f>
        <v>0</v>
      </c>
      <c r="S317" s="29">
        <f t="shared" si="100"/>
        <v>2</v>
      </c>
      <c r="T317" s="79">
        <v>44051</v>
      </c>
      <c r="U317" s="16">
        <f>COUNTIFS(A:A,A317,C:C,C317)</f>
        <v>1</v>
      </c>
      <c r="V317" s="34">
        <f t="shared" si="101"/>
        <v>0.29027576197387517</v>
      </c>
      <c r="W317" s="3" t="str">
        <f>VLOOKUP(A317,Data_echipe!A:O,15,0)</f>
        <v xml:space="preserve"> Let it run</v>
      </c>
      <c r="X317" s="3">
        <f t="shared" si="81"/>
        <v>1</v>
      </c>
    </row>
    <row r="318" spans="1:24">
      <c r="A318" s="74" t="s">
        <v>131</v>
      </c>
      <c r="B318" s="24" t="str">
        <f>VLOOKUP(A318,Participanti!A:B,2,0)</f>
        <v>M</v>
      </c>
      <c r="C318" s="75">
        <v>10</v>
      </c>
      <c r="D318" s="76">
        <v>3.01</v>
      </c>
      <c r="E318" s="77">
        <v>1.0729166666666666E-2</v>
      </c>
      <c r="F318" s="78">
        <v>14</v>
      </c>
      <c r="G318" s="20">
        <f t="shared" si="111"/>
        <v>3.5645071982281285E-3</v>
      </c>
      <c r="H318" s="16">
        <f>IF(B318="F",IF(G318&gt;Barem!$AC$2,0,IF(B318="F",VLOOKUP(D318,Barem!$B$2:$C$11,2,1))),IF(G318&gt;Barem!$AC$3,0,VLOOKUP(D318,Barem!$B$12:$C$21,2,1)))</f>
        <v>1</v>
      </c>
      <c r="I318" s="16">
        <f>IF(H318=0,0,IF(B318="F",VLOOKUP(G318,Barem!$G$2:$H$11,2,1),VLOOKUP(G318,Barem!$G$12:$H$21,2,1)))</f>
        <v>2.5</v>
      </c>
      <c r="J318" s="75">
        <v>4</v>
      </c>
      <c r="K318" s="83" t="s">
        <v>183</v>
      </c>
      <c r="L318" s="17">
        <f t="shared" si="110"/>
        <v>0.25</v>
      </c>
      <c r="M318" s="17">
        <f t="shared" si="110"/>
        <v>0.5</v>
      </c>
      <c r="N318" s="17">
        <f t="shared" si="110"/>
        <v>0.25</v>
      </c>
      <c r="O318" s="81">
        <f t="shared" si="112"/>
        <v>0</v>
      </c>
      <c r="P318" s="36">
        <f>IF(D318&gt;21,VLOOKUP(D318,Barem!$T$1:$U$39,2,1),0)</f>
        <v>0</v>
      </c>
      <c r="Q318" s="32">
        <f>IF(D318&lt;1.609,0,IF(B318="F",VLOOKUP(G318,Barem!$X$2:$Z$13,2,1),VLOOKUP(G318,Barem!$X$14:$Z$25,2,1)))</f>
        <v>0</v>
      </c>
      <c r="R318" s="36">
        <f>VLOOKUP(A318,Participanti!A:C,3,0)</f>
        <v>0</v>
      </c>
      <c r="S318" s="29">
        <f t="shared" si="100"/>
        <v>2.5</v>
      </c>
      <c r="T318" s="79">
        <v>44052</v>
      </c>
      <c r="U318" s="16">
        <f>COUNTIFS(A:A,A318,C:C,C318)</f>
        <v>1</v>
      </c>
      <c r="V318" s="34">
        <f t="shared" si="101"/>
        <v>0.83056478405315626</v>
      </c>
      <c r="W318" s="3" t="str">
        <f>VLOOKUP(A318,Data_echipe!A:O,15,0)</f>
        <v xml:space="preserve"> Let it run</v>
      </c>
      <c r="X318" s="3">
        <f t="shared" si="81"/>
        <v>1</v>
      </c>
    </row>
    <row r="319" spans="1:24">
      <c r="A319" s="74" t="s">
        <v>50</v>
      </c>
      <c r="B319" s="24" t="str">
        <f>VLOOKUP(A319,Participanti!A:B,2,0)</f>
        <v>F</v>
      </c>
      <c r="C319" s="75">
        <v>10</v>
      </c>
      <c r="D319" s="76">
        <v>14.06</v>
      </c>
      <c r="E319" s="77">
        <v>6.3819444444444443E-2</v>
      </c>
      <c r="F319" s="78">
        <v>98</v>
      </c>
      <c r="G319" s="20">
        <f t="shared" si="111"/>
        <v>4.5390785522364469E-3</v>
      </c>
      <c r="H319" s="16">
        <f>IF(B319="F",IF(G319&gt;Barem!$AC$2,0,IF(B319="F",VLOOKUP(D319,Barem!$B$2:$C$11,2,1))),IF(G319&gt;Barem!$AC$3,0,VLOOKUP(D319,Barem!$B$12:$C$21,2,1)))</f>
        <v>3.5</v>
      </c>
      <c r="I319" s="16">
        <f>IF(H319=0,0,IF(B319="F",VLOOKUP(G319,Barem!$G$2:$H$11,2,1),VLOOKUP(G319,Barem!$G$12:$H$21,2,1)))</f>
        <v>1</v>
      </c>
      <c r="J319" s="75">
        <v>2.5</v>
      </c>
      <c r="K319" s="82" t="str">
        <f>VLOOKUP($C319,Barem!$L$2:$R$13,7,0)</f>
        <v>P</v>
      </c>
      <c r="L319" s="17">
        <f t="shared" si="110"/>
        <v>0.25</v>
      </c>
      <c r="M319" s="17">
        <f t="shared" si="110"/>
        <v>0.25</v>
      </c>
      <c r="N319" s="17">
        <f t="shared" si="110"/>
        <v>0.5</v>
      </c>
      <c r="O319" s="81">
        <f t="shared" si="112"/>
        <v>0</v>
      </c>
      <c r="P319" s="36">
        <f>IF(D319&gt;21,VLOOKUP(D319,Barem!$T$1:$U$39,2,1),0)</f>
        <v>0</v>
      </c>
      <c r="Q319" s="32">
        <f>IF(D319&lt;1.609,0,IF(B319="F",VLOOKUP(G319,Barem!$X$2:$Z$13,2,1),VLOOKUP(G319,Barem!$X$14:$Z$25,2,1)))</f>
        <v>0</v>
      </c>
      <c r="R319" s="36">
        <f>VLOOKUP(A319,Participanti!A:C,3,0)</f>
        <v>0</v>
      </c>
      <c r="S319" s="29">
        <f t="shared" si="100"/>
        <v>2.375</v>
      </c>
      <c r="T319" s="79">
        <v>44049</v>
      </c>
      <c r="U319" s="16">
        <f>COUNTIFS(A:A,A319,C:C,C319)</f>
        <v>1</v>
      </c>
      <c r="V319" s="34">
        <f t="shared" si="101"/>
        <v>0.16891891891891891</v>
      </c>
      <c r="W319" s="3" t="str">
        <f>VLOOKUP(A319,Data_echipe!A:O,15,0)</f>
        <v>Serioranistii</v>
      </c>
      <c r="X319" s="3">
        <f t="shared" si="81"/>
        <v>1</v>
      </c>
    </row>
    <row r="320" spans="1:24">
      <c r="A320" s="74" t="s">
        <v>209</v>
      </c>
      <c r="B320" s="24" t="str">
        <f>VLOOKUP(A320,Participanti!A:B,2,0)</f>
        <v>M</v>
      </c>
      <c r="C320" s="75">
        <v>10</v>
      </c>
      <c r="D320" s="76">
        <v>22.15</v>
      </c>
      <c r="E320" s="77">
        <v>6.987268518518519E-2</v>
      </c>
      <c r="F320" s="78">
        <v>37</v>
      </c>
      <c r="G320" s="20">
        <f t="shared" si="111"/>
        <v>3.1545230331912052E-3</v>
      </c>
      <c r="H320" s="16">
        <f>IF(B320="F",IF(G320&gt;Barem!$AC$2,0,IF(B320="F",VLOOKUP(D320,Barem!$B$2:$C$11,2,1))),IF(G320&gt;Barem!$AC$3,0,VLOOKUP(D320,Barem!$B$12:$C$21,2,1)))</f>
        <v>5</v>
      </c>
      <c r="I320" s="16">
        <f>IF(H320=0,0,IF(B320="F",VLOOKUP(G320,Barem!$G$2:$H$11,2,1),VLOOKUP(G320,Barem!$G$12:$H$21,2,1)))</f>
        <v>3.5</v>
      </c>
      <c r="J320" s="75">
        <v>2</v>
      </c>
      <c r="K320" s="83" t="s">
        <v>182</v>
      </c>
      <c r="L320" s="17">
        <f t="shared" si="110"/>
        <v>0.5</v>
      </c>
      <c r="M320" s="17">
        <f t="shared" si="110"/>
        <v>0.25</v>
      </c>
      <c r="N320" s="17">
        <f t="shared" si="110"/>
        <v>0.25</v>
      </c>
      <c r="O320" s="81">
        <f t="shared" si="112"/>
        <v>0</v>
      </c>
      <c r="P320" s="36">
        <f>IF(D320&gt;21,VLOOKUP(D320,Barem!$T$1:$U$39,2,1),0)</f>
        <v>0</v>
      </c>
      <c r="Q320" s="32">
        <f>IF(D320&lt;1.609,0,IF(B320="F",VLOOKUP(G320,Barem!$X$2:$Z$13,2,1),VLOOKUP(G320,Barem!$X$14:$Z$25,2,1)))</f>
        <v>0</v>
      </c>
      <c r="R320" s="36">
        <f>VLOOKUP(A320,Participanti!A:C,3,0)</f>
        <v>0</v>
      </c>
      <c r="S320" s="29">
        <f t="shared" si="100"/>
        <v>3.875</v>
      </c>
      <c r="T320" s="79">
        <v>44052</v>
      </c>
      <c r="U320" s="16">
        <f>COUNTIFS(A:A,A320,C:C,C320)</f>
        <v>1</v>
      </c>
      <c r="V320" s="34">
        <f t="shared" si="101"/>
        <v>0.17494356659142213</v>
      </c>
      <c r="W320" s="3" t="str">
        <f>VLOOKUP(A320,Data_echipe!A:O,15,0)</f>
        <v>Serioranistii</v>
      </c>
      <c r="X320" s="3">
        <f t="shared" si="81"/>
        <v>1</v>
      </c>
    </row>
    <row r="321" spans="1:24">
      <c r="A321" s="74" t="s">
        <v>210</v>
      </c>
      <c r="B321" s="24" t="str">
        <f>VLOOKUP(A321,Participanti!A:B,2,0)</f>
        <v>F</v>
      </c>
      <c r="C321" s="75">
        <v>10</v>
      </c>
      <c r="D321" s="76">
        <v>5.01</v>
      </c>
      <c r="E321" s="77">
        <v>2.1354166666666664E-2</v>
      </c>
      <c r="F321" s="78">
        <v>12</v>
      </c>
      <c r="G321" s="20">
        <f t="shared" si="111"/>
        <v>4.2623087159015301E-3</v>
      </c>
      <c r="H321" s="16">
        <f>IF(B321="F",IF(G321&gt;Barem!$AC$2,0,IF(B321="F",VLOOKUP(D321,Barem!$B$2:$C$11,2,1))),IF(G321&gt;Barem!$AC$3,0,VLOOKUP(D321,Barem!$B$12:$C$21,2,1)))</f>
        <v>1.5</v>
      </c>
      <c r="I321" s="16">
        <f>IF(H321=0,0,IF(B321="F",VLOOKUP(G321,Barem!$G$2:$H$11,2,1),VLOOKUP(G321,Barem!$G$12:$H$21,2,1)))</f>
        <v>1.5</v>
      </c>
      <c r="J321" s="75">
        <v>3.5</v>
      </c>
      <c r="K321" s="83" t="s">
        <v>182</v>
      </c>
      <c r="L321" s="17">
        <f t="shared" si="110"/>
        <v>0.5</v>
      </c>
      <c r="M321" s="17">
        <f t="shared" si="110"/>
        <v>0.25</v>
      </c>
      <c r="N321" s="17">
        <f t="shared" si="110"/>
        <v>0.25</v>
      </c>
      <c r="O321" s="81">
        <f t="shared" si="112"/>
        <v>0</v>
      </c>
      <c r="P321" s="36">
        <f>IF(D321&gt;21,VLOOKUP(D321,Barem!$T$1:$U$39,2,1),0)</f>
        <v>0</v>
      </c>
      <c r="Q321" s="32">
        <f>IF(D321&lt;1.609,0,IF(B321="F",VLOOKUP(G321,Barem!$X$2:$Z$13,2,1),VLOOKUP(G321,Barem!$X$14:$Z$25,2,1)))</f>
        <v>0</v>
      </c>
      <c r="R321" s="36">
        <f>VLOOKUP(A321,Participanti!A:C,3,0)</f>
        <v>0</v>
      </c>
      <c r="S321" s="29">
        <f t="shared" si="100"/>
        <v>2</v>
      </c>
      <c r="T321" s="79">
        <v>44052</v>
      </c>
      <c r="U321" s="16">
        <f>COUNTIFS(A:A,A321,C:C,C321)</f>
        <v>1</v>
      </c>
      <c r="V321" s="34">
        <f t="shared" si="101"/>
        <v>0.39920159680638723</v>
      </c>
      <c r="W321" s="3" t="str">
        <f>VLOOKUP(A321,Data_echipe!A:O,15,0)</f>
        <v>X Æ A-12</v>
      </c>
      <c r="X321" s="3">
        <f t="shared" si="81"/>
        <v>1</v>
      </c>
    </row>
    <row r="322" spans="1:24">
      <c r="A322" s="74" t="s">
        <v>66</v>
      </c>
      <c r="B322" s="24" t="str">
        <f>VLOOKUP(A322,Participanti!A:B,2,0)</f>
        <v>M</v>
      </c>
      <c r="C322" s="75">
        <v>10</v>
      </c>
      <c r="D322" s="76">
        <v>12.49</v>
      </c>
      <c r="E322" s="77">
        <v>4.762731481481481E-2</v>
      </c>
      <c r="F322" s="78">
        <v>0</v>
      </c>
      <c r="G322" s="20">
        <f t="shared" si="111"/>
        <v>3.813235773804228E-3</v>
      </c>
      <c r="H322" s="16">
        <f>IF(B322="F",IF(G322&gt;Barem!$AC$2,0,IF(B322="F",VLOOKUP(D322,Barem!$B$2:$C$11,2,1))),IF(G322&gt;Barem!$AC$3,0,VLOOKUP(D322,Barem!$B$12:$C$21,2,1)))</f>
        <v>3</v>
      </c>
      <c r="I322" s="16">
        <f>IF(H322=0,0,IF(B322="F",VLOOKUP(G322,Barem!$G$2:$H$11,2,1),VLOOKUP(G322,Barem!$G$12:$H$21,2,1)))</f>
        <v>2</v>
      </c>
      <c r="J322" s="75">
        <v>2</v>
      </c>
      <c r="K322" s="82" t="str">
        <f>VLOOKUP($C322,Barem!$L$2:$R$13,7,0)</f>
        <v>P</v>
      </c>
      <c r="L322" s="17">
        <f t="shared" si="110"/>
        <v>0.25</v>
      </c>
      <c r="M322" s="17">
        <f t="shared" si="110"/>
        <v>0.25</v>
      </c>
      <c r="N322" s="17">
        <f t="shared" si="110"/>
        <v>0.5</v>
      </c>
      <c r="O322" s="81">
        <f t="shared" si="112"/>
        <v>0</v>
      </c>
      <c r="P322" s="36">
        <f>IF(D322&gt;21,VLOOKUP(D322,Barem!$T$1:$U$39,2,1),0)</f>
        <v>0</v>
      </c>
      <c r="Q322" s="32">
        <f>IF(D322&lt;1.609,0,IF(B322="F",VLOOKUP(G322,Barem!$X$2:$Z$13,2,1),VLOOKUP(G322,Barem!$X$14:$Z$25,2,1)))</f>
        <v>0</v>
      </c>
      <c r="R322" s="36">
        <f>VLOOKUP(A322,Participanti!A:C,3,0)</f>
        <v>0</v>
      </c>
      <c r="S322" s="29">
        <f t="shared" si="100"/>
        <v>2.25</v>
      </c>
      <c r="T322" s="79">
        <v>44048</v>
      </c>
      <c r="U322" s="16">
        <f>COUNTIFS(A:A,A322,C:C,C322)</f>
        <v>1</v>
      </c>
      <c r="V322" s="34">
        <f t="shared" si="101"/>
        <v>0.18014411529223379</v>
      </c>
      <c r="W322" s="3" t="str">
        <f>VLOOKUP(A322,Data_echipe!A:O,15,0)</f>
        <v>X Æ A-12</v>
      </c>
      <c r="X322" s="3">
        <f t="shared" si="81"/>
        <v>1</v>
      </c>
    </row>
    <row r="323" spans="1:24">
      <c r="A323" s="74" t="s">
        <v>208</v>
      </c>
      <c r="B323" s="24" t="str">
        <f>VLOOKUP(A323,Participanti!A:B,2,0)</f>
        <v>M</v>
      </c>
      <c r="C323" s="75">
        <v>10</v>
      </c>
      <c r="D323" s="76">
        <v>20.51</v>
      </c>
      <c r="E323" s="77">
        <v>7.4479166666666666E-2</v>
      </c>
      <c r="F323" s="78">
        <v>77</v>
      </c>
      <c r="G323" s="20">
        <f t="shared" si="111"/>
        <v>3.6313586868194372E-3</v>
      </c>
      <c r="H323" s="16">
        <f>IF(B323="F",IF(G323&gt;Barem!$AC$2,0,IF(B323="F",VLOOKUP(D323,Barem!$B$2:$C$11,2,1))),IF(G323&gt;Barem!$AC$3,0,VLOOKUP(D323,Barem!$B$12:$C$21,2,1)))</f>
        <v>4.5</v>
      </c>
      <c r="I323" s="16">
        <f>IF(H323=0,0,IF(B323="F",VLOOKUP(G323,Barem!$G$2:$H$11,2,1),VLOOKUP(G323,Barem!$G$12:$H$21,2,1)))</f>
        <v>2.5</v>
      </c>
      <c r="J323" s="75">
        <v>4</v>
      </c>
      <c r="K323" s="82" t="str">
        <f>VLOOKUP($C323,Barem!$L$2:$R$13,7,0)</f>
        <v>P</v>
      </c>
      <c r="L323" s="17">
        <f t="shared" si="110"/>
        <v>0.25</v>
      </c>
      <c r="M323" s="17">
        <f t="shared" si="110"/>
        <v>0.25</v>
      </c>
      <c r="N323" s="17">
        <f t="shared" si="110"/>
        <v>0.5</v>
      </c>
      <c r="O323" s="81">
        <f t="shared" si="112"/>
        <v>0</v>
      </c>
      <c r="P323" s="36">
        <f>IF(D323&gt;21,VLOOKUP(D323,Barem!$T$1:$U$39,2,1),0)</f>
        <v>0</v>
      </c>
      <c r="Q323" s="32">
        <f>IF(D323&lt;1.609,0,IF(B323="F",VLOOKUP(G323,Barem!$X$2:$Z$13,2,1),VLOOKUP(G323,Barem!$X$14:$Z$25,2,1)))</f>
        <v>0</v>
      </c>
      <c r="R323" s="36">
        <f>VLOOKUP(A323,Participanti!A:C,3,0)</f>
        <v>0</v>
      </c>
      <c r="S323" s="29">
        <f t="shared" si="100"/>
        <v>3.75</v>
      </c>
      <c r="T323" s="79">
        <v>44051</v>
      </c>
      <c r="U323" s="16">
        <f>COUNTIFS(A:A,A323,C:C,C323)</f>
        <v>1</v>
      </c>
      <c r="V323" s="34">
        <f t="shared" si="101"/>
        <v>0.18283764017552412</v>
      </c>
      <c r="W323" s="3" t="str">
        <f>VLOOKUP(A323,Data_echipe!A:O,15,0)</f>
        <v xml:space="preserve"> Let it run</v>
      </c>
      <c r="X323" s="3">
        <f t="shared" ref="X323:X386" si="113">IF(I323&gt;0,1,0)</f>
        <v>1</v>
      </c>
    </row>
    <row r="324" spans="1:24">
      <c r="A324" s="74" t="s">
        <v>169</v>
      </c>
      <c r="B324" s="24" t="str">
        <f>VLOOKUP(A324,Participanti!A:B,2,0)</f>
        <v>F</v>
      </c>
      <c r="C324" s="75">
        <v>10</v>
      </c>
      <c r="D324" s="76">
        <v>6.72</v>
      </c>
      <c r="E324" s="77">
        <v>4.8206018518518523E-2</v>
      </c>
      <c r="F324" s="78">
        <v>49</v>
      </c>
      <c r="G324" s="20">
        <f t="shared" si="111"/>
        <v>7.1735146604938278E-3</v>
      </c>
      <c r="H324" s="16">
        <f>IF(B324="F",IF(G324&gt;Barem!$AC$2,0,IF(B324="F",VLOOKUP(D324,Barem!$B$2:$C$11,2,1))),IF(G324&gt;Barem!$AC$3,0,VLOOKUP(D324,Barem!$B$12:$C$21,2,1)))</f>
        <v>2</v>
      </c>
      <c r="I324" s="16">
        <f>IF(H324=0,0,IF(B324="F",VLOOKUP(G324,Barem!$G$2:$H$11,2,1),VLOOKUP(G324,Barem!$G$12:$H$21,2,1)))</f>
        <v>0</v>
      </c>
      <c r="J324" s="75">
        <v>1</v>
      </c>
      <c r="K324" s="82" t="str">
        <f>VLOOKUP($C324,Barem!$L$2:$R$13,7,0)</f>
        <v>P</v>
      </c>
      <c r="L324" s="17">
        <f t="shared" si="110"/>
        <v>0.25</v>
      </c>
      <c r="M324" s="17">
        <f t="shared" si="110"/>
        <v>0.25</v>
      </c>
      <c r="N324" s="17">
        <f t="shared" si="110"/>
        <v>0.5</v>
      </c>
      <c r="O324" s="81">
        <f t="shared" si="112"/>
        <v>0</v>
      </c>
      <c r="P324" s="36">
        <f>IF(D324&gt;21,VLOOKUP(D324,Barem!$T$1:$U$39,2,1),0)</f>
        <v>0</v>
      </c>
      <c r="Q324" s="32">
        <f>IF(D324&lt;1.609,0,IF(B324="F",VLOOKUP(G324,Barem!$X$2:$Z$13,2,1),VLOOKUP(G324,Barem!$X$14:$Z$25,2,1)))</f>
        <v>0</v>
      </c>
      <c r="R324" s="36">
        <f>VLOOKUP(A324,Participanti!A:C,3,0)</f>
        <v>0.5</v>
      </c>
      <c r="S324" s="29">
        <f t="shared" si="100"/>
        <v>1.5</v>
      </c>
      <c r="T324" s="79">
        <v>44050</v>
      </c>
      <c r="U324" s="16">
        <f>COUNTIFS(A:A,A324,C:C,C324)</f>
        <v>1</v>
      </c>
      <c r="V324" s="34">
        <f t="shared" si="101"/>
        <v>0.22321428571428573</v>
      </c>
      <c r="W324" s="3" t="str">
        <f>VLOOKUP(A324,Data_echipe!A:O,15,0)</f>
        <v>Serioranistii</v>
      </c>
      <c r="X324" s="3">
        <f t="shared" si="113"/>
        <v>0</v>
      </c>
    </row>
    <row r="325" spans="1:24">
      <c r="A325" s="74" t="s">
        <v>53</v>
      </c>
      <c r="B325" s="24" t="str">
        <f>VLOOKUP(A325,Participanti!A:B,2,0)</f>
        <v>M</v>
      </c>
      <c r="C325" s="75">
        <v>10</v>
      </c>
      <c r="D325" s="76">
        <v>10</v>
      </c>
      <c r="E325" s="77">
        <v>3.1689814814814816E-2</v>
      </c>
      <c r="F325" s="78">
        <v>0</v>
      </c>
      <c r="G325" s="20">
        <f t="shared" si="111"/>
        <v>3.1689814814814818E-3</v>
      </c>
      <c r="H325" s="16">
        <f>IF(B325="F",IF(G325&gt;Barem!$AC$2,0,IF(B325="F",VLOOKUP(D325,Barem!$B$2:$C$11,2,1))),IF(G325&gt;Barem!$AC$3,0,VLOOKUP(D325,Barem!$B$12:$C$21,2,1)))</f>
        <v>2.5</v>
      </c>
      <c r="I325" s="16">
        <f>IF(H325=0,0,IF(B325="F",VLOOKUP(G325,Barem!$G$2:$H$11,2,1),VLOOKUP(G325,Barem!$G$12:$H$21,2,1)))</f>
        <v>3.5</v>
      </c>
      <c r="J325" s="75">
        <v>1</v>
      </c>
      <c r="K325" s="82" t="str">
        <f>VLOOKUP($C325,Barem!$L$2:$R$13,7,0)</f>
        <v>P</v>
      </c>
      <c r="L325" s="17">
        <f t="shared" si="110"/>
        <v>0.25</v>
      </c>
      <c r="M325" s="17">
        <f t="shared" si="110"/>
        <v>0.25</v>
      </c>
      <c r="N325" s="17">
        <f t="shared" si="110"/>
        <v>0.5</v>
      </c>
      <c r="O325" s="81">
        <f t="shared" si="112"/>
        <v>0</v>
      </c>
      <c r="P325" s="36">
        <f>IF(D325&gt;21,VLOOKUP(D325,Barem!$T$1:$U$39,2,1),0)</f>
        <v>0</v>
      </c>
      <c r="Q325" s="32">
        <f>IF(D325&lt;1.609,0,IF(B325="F",VLOOKUP(G325,Barem!$X$2:$Z$13,2,1),VLOOKUP(G325,Barem!$X$14:$Z$25,2,1)))</f>
        <v>0</v>
      </c>
      <c r="R325" s="36">
        <f>VLOOKUP(A325,Participanti!A:C,3,0)</f>
        <v>0</v>
      </c>
      <c r="S325" s="29">
        <f t="shared" si="100"/>
        <v>2</v>
      </c>
      <c r="T325" s="79">
        <v>44047</v>
      </c>
      <c r="U325" s="16">
        <f>COUNTIFS(A:A,A325,C:C,C325)</f>
        <v>1</v>
      </c>
      <c r="V325" s="34">
        <f t="shared" si="101"/>
        <v>0.2</v>
      </c>
      <c r="W325" s="3" t="str">
        <f>VLOOKUP(A325,Data_echipe!A:O,15,0)</f>
        <v>Tenchei</v>
      </c>
      <c r="X325" s="3">
        <f t="shared" si="113"/>
        <v>1</v>
      </c>
    </row>
    <row r="326" spans="1:24">
      <c r="A326" s="74" t="s">
        <v>62</v>
      </c>
      <c r="B326" s="24" t="str">
        <f>VLOOKUP(A326,Participanti!A:B,2,0)</f>
        <v>M</v>
      </c>
      <c r="C326" s="75">
        <v>10</v>
      </c>
      <c r="D326" s="76">
        <v>15.05</v>
      </c>
      <c r="E326" s="77">
        <v>6.9548611111111117E-2</v>
      </c>
      <c r="F326" s="78">
        <v>225</v>
      </c>
      <c r="G326" s="20">
        <f t="shared" si="111"/>
        <v>4.6211701734957551E-3</v>
      </c>
      <c r="H326" s="16">
        <f>IF(B326="F",IF(G326&gt;Barem!$AC$2,0,IF(B326="F",VLOOKUP(D326,Barem!$B$2:$C$11,2,1))),IF(G326&gt;Barem!$AC$3,0,VLOOKUP(D326,Barem!$B$12:$C$21,2,1)))</f>
        <v>3.5</v>
      </c>
      <c r="I326" s="16">
        <f>IF(H326=0,0,IF(B326="F",VLOOKUP(G326,Barem!$G$2:$H$11,2,1),VLOOKUP(G326,Barem!$G$12:$H$21,2,1)))</f>
        <v>1</v>
      </c>
      <c r="J326" s="75">
        <v>4</v>
      </c>
      <c r="K326" s="83" t="s">
        <v>182</v>
      </c>
      <c r="L326" s="17">
        <f t="shared" si="110"/>
        <v>0.5</v>
      </c>
      <c r="M326" s="17">
        <f t="shared" si="110"/>
        <v>0.25</v>
      </c>
      <c r="N326" s="17">
        <f t="shared" si="110"/>
        <v>0.25</v>
      </c>
      <c r="O326" s="81">
        <f t="shared" si="112"/>
        <v>0.15</v>
      </c>
      <c r="P326" s="36">
        <f>IF(D326&gt;21,VLOOKUP(D326,Barem!$T$1:$U$39,2,1),0)</f>
        <v>0</v>
      </c>
      <c r="Q326" s="32">
        <f>IF(D326&lt;1.609,0,IF(B326="F",VLOOKUP(G326,Barem!$X$2:$Z$13,2,1),VLOOKUP(G326,Barem!$X$14:$Z$25,2,1)))</f>
        <v>0</v>
      </c>
      <c r="R326" s="36">
        <f>VLOOKUP(A326,Participanti!A:C,3,0)</f>
        <v>0</v>
      </c>
      <c r="S326" s="29">
        <f t="shared" si="100"/>
        <v>3.15</v>
      </c>
      <c r="T326" s="79">
        <v>44046</v>
      </c>
      <c r="U326" s="16">
        <f>COUNTIFS(A:A,A326,C:C,C326)</f>
        <v>1</v>
      </c>
      <c r="V326" s="34">
        <f t="shared" si="101"/>
        <v>0.20930232558139533</v>
      </c>
      <c r="W326" s="3" t="str">
        <f>VLOOKUP(A326,Data_echipe!A:O,15,0)</f>
        <v>Serioranistii</v>
      </c>
      <c r="X326" s="3">
        <f t="shared" si="113"/>
        <v>1</v>
      </c>
    </row>
    <row r="327" spans="1:24">
      <c r="A327" s="74" t="s">
        <v>52</v>
      </c>
      <c r="B327" s="24" t="str">
        <f>VLOOKUP(A327,Participanti!A:B,2,0)</f>
        <v>M</v>
      </c>
      <c r="C327" s="75">
        <v>10</v>
      </c>
      <c r="D327" s="76">
        <v>20.010000000000002</v>
      </c>
      <c r="E327" s="77">
        <v>7.5081018518518519E-2</v>
      </c>
      <c r="F327" s="78">
        <v>424</v>
      </c>
      <c r="G327" s="20">
        <f t="shared" si="111"/>
        <v>3.7521748385066721E-3</v>
      </c>
      <c r="H327" s="16">
        <f>IF(B327="F",IF(G327&gt;Barem!$AC$2,0,IF(B327="F",VLOOKUP(D327,Barem!$B$2:$C$11,2,1))),IF(G327&gt;Barem!$AC$3,0,VLOOKUP(D327,Barem!$B$12:$C$21,2,1)))</f>
        <v>4.5</v>
      </c>
      <c r="I327" s="16">
        <f>IF(H327=0,0,IF(B327="F",VLOOKUP(G327,Barem!$G$2:$H$11,2,1),VLOOKUP(G327,Barem!$G$12:$H$21,2,1)))</f>
        <v>2</v>
      </c>
      <c r="J327" s="75">
        <v>1.5</v>
      </c>
      <c r="K327" s="82" t="str">
        <f>VLOOKUP($C327,Barem!$L$2:$R$13,7,0)</f>
        <v>P</v>
      </c>
      <c r="L327" s="17">
        <f t="shared" si="110"/>
        <v>0.25</v>
      </c>
      <c r="M327" s="17">
        <f t="shared" si="110"/>
        <v>0.25</v>
      </c>
      <c r="N327" s="17">
        <f t="shared" si="110"/>
        <v>0.5</v>
      </c>
      <c r="O327" s="81">
        <f t="shared" si="112"/>
        <v>0.28266666666666668</v>
      </c>
      <c r="P327" s="36">
        <f>IF(D327&gt;21,VLOOKUP(D327,Barem!$T$1:$U$39,2,1),0)</f>
        <v>0</v>
      </c>
      <c r="Q327" s="32">
        <f>IF(D327&lt;1.609,0,IF(B327="F",VLOOKUP(G327,Barem!$X$2:$Z$13,2,1),VLOOKUP(G327,Barem!$X$14:$Z$25,2,1)))</f>
        <v>0</v>
      </c>
      <c r="R327" s="36">
        <f>VLOOKUP(A327,Participanti!A:C,3,0)</f>
        <v>0</v>
      </c>
      <c r="S327" s="29">
        <f t="shared" si="100"/>
        <v>2.6576666666666666</v>
      </c>
      <c r="T327" s="79">
        <v>44052</v>
      </c>
      <c r="U327" s="16">
        <f>COUNTIFS(A:A,A327,C:C,C327)</f>
        <v>1</v>
      </c>
      <c r="V327" s="34">
        <f t="shared" si="101"/>
        <v>0.13281692487089788</v>
      </c>
      <c r="W327" s="3" t="str">
        <f>VLOOKUP(A327,Data_echipe!A:O,15,0)</f>
        <v xml:space="preserve"> Let it run</v>
      </c>
      <c r="X327" s="3">
        <f t="shared" si="113"/>
        <v>1</v>
      </c>
    </row>
    <row r="328" spans="1:24">
      <c r="A328" s="74" t="s">
        <v>68</v>
      </c>
      <c r="B328" s="24" t="str">
        <f>VLOOKUP(A328,Participanti!A:B,2,0)</f>
        <v>M</v>
      </c>
      <c r="C328" s="75">
        <v>10</v>
      </c>
      <c r="D328" s="76">
        <v>5.14</v>
      </c>
      <c r="E328" s="77">
        <v>1.6736111111111111E-2</v>
      </c>
      <c r="F328" s="78">
        <v>8</v>
      </c>
      <c r="G328" s="20">
        <f t="shared" si="111"/>
        <v>3.2560527453523564E-3</v>
      </c>
      <c r="H328" s="16">
        <f>IF(B328="F",IF(G328&gt;Barem!$AC$2,0,IF(B328="F",VLOOKUP(D328,Barem!$B$2:$C$11,2,1))),IF(G328&gt;Barem!$AC$3,0,VLOOKUP(D328,Barem!$B$12:$C$21,2,1)))</f>
        <v>1.5</v>
      </c>
      <c r="I328" s="16">
        <f>IF(H328=0,0,IF(B328="F",VLOOKUP(G328,Barem!$G$2:$H$11,2,1),VLOOKUP(G328,Barem!$G$12:$H$21,2,1)))</f>
        <v>3.5</v>
      </c>
      <c r="J328" s="75">
        <v>2</v>
      </c>
      <c r="K328" s="83" t="s">
        <v>183</v>
      </c>
      <c r="L328" s="17">
        <f t="shared" ref="L328:N345" si="114">IF($K328=L$1,50%,25%)</f>
        <v>0.25</v>
      </c>
      <c r="M328" s="17">
        <f t="shared" si="114"/>
        <v>0.5</v>
      </c>
      <c r="N328" s="17">
        <f t="shared" si="114"/>
        <v>0.25</v>
      </c>
      <c r="O328" s="81">
        <f t="shared" si="112"/>
        <v>0</v>
      </c>
      <c r="P328" s="36">
        <f>IF(D328&gt;21,VLOOKUP(D328,Barem!$T$1:$U$39,2,1),0)</f>
        <v>0</v>
      </c>
      <c r="Q328" s="32">
        <f>IF(D328&lt;1.609,0,IF(B328="F",VLOOKUP(G328,Barem!$X$2:$Z$13,2,1),VLOOKUP(G328,Barem!$X$14:$Z$25,2,1)))</f>
        <v>0</v>
      </c>
      <c r="R328" s="36">
        <f>VLOOKUP(A328,Participanti!A:C,3,0)</f>
        <v>0</v>
      </c>
      <c r="S328" s="29">
        <f t="shared" si="100"/>
        <v>2.625</v>
      </c>
      <c r="T328" s="79">
        <v>44052</v>
      </c>
      <c r="U328" s="16">
        <f>COUNTIFS(A:A,A328,C:C,C328)</f>
        <v>1</v>
      </c>
      <c r="V328" s="34">
        <f t="shared" si="101"/>
        <v>0.51070038910505844</v>
      </c>
      <c r="W328" s="3" t="str">
        <f>VLOOKUP(A328,Data_echipe!A:O,15,0)</f>
        <v>Unicornii</v>
      </c>
      <c r="X328" s="3">
        <f t="shared" si="113"/>
        <v>1</v>
      </c>
    </row>
    <row r="329" spans="1:24">
      <c r="A329" s="74" t="s">
        <v>86</v>
      </c>
      <c r="B329" s="24" t="str">
        <f>VLOOKUP(A329,Participanti!A:B,2,0)</f>
        <v>M</v>
      </c>
      <c r="C329" s="75">
        <v>10</v>
      </c>
      <c r="D329" s="76">
        <v>27.5</v>
      </c>
      <c r="E329" s="77">
        <v>0.20100694444444445</v>
      </c>
      <c r="F329" s="78">
        <v>1511</v>
      </c>
      <c r="G329" s="20">
        <f t="shared" si="111"/>
        <v>7.3093434343434347E-3</v>
      </c>
      <c r="H329" s="16">
        <f>IF(B329="F",IF(G329&gt;Barem!$AC$2,0,IF(B329="F",VLOOKUP(D329,Barem!$B$2:$C$11,2,1))),IF(G329&gt;Barem!$AC$3,0,VLOOKUP(D329,Barem!$B$12:$C$21,2,1)))</f>
        <v>5</v>
      </c>
      <c r="I329" s="16">
        <f>IF(H329=0,0,IF(B329="F",VLOOKUP(G329,Barem!$G$2:$H$11,2,1),VLOOKUP(G329,Barem!$G$12:$H$21,2,1)))</f>
        <v>0</v>
      </c>
      <c r="J329" s="75">
        <v>4.5</v>
      </c>
      <c r="K329" s="82" t="str">
        <f>VLOOKUP($C329,Barem!$L$2:$R$13,7,0)</f>
        <v>P</v>
      </c>
      <c r="L329" s="17">
        <f t="shared" si="114"/>
        <v>0.25</v>
      </c>
      <c r="M329" s="17">
        <f t="shared" si="114"/>
        <v>0.25</v>
      </c>
      <c r="N329" s="17">
        <f t="shared" si="114"/>
        <v>0.5</v>
      </c>
      <c r="O329" s="81">
        <f t="shared" si="112"/>
        <v>1.0073333333333334</v>
      </c>
      <c r="P329" s="36">
        <f>IF(D329&gt;21,VLOOKUP(D329,Barem!$T$1:$U$39,2,1),0)</f>
        <v>0.1</v>
      </c>
      <c r="Q329" s="32">
        <f>IF(D329&lt;1.609,0,IF(B329="F",VLOOKUP(G329,Barem!$X$2:$Z$13,2,1),VLOOKUP(G329,Barem!$X$14:$Z$25,2,1)))</f>
        <v>0</v>
      </c>
      <c r="R329" s="36">
        <f>VLOOKUP(A329,Participanti!A:C,3,0)</f>
        <v>0</v>
      </c>
      <c r="S329" s="29">
        <f t="shared" si="100"/>
        <v>4.6073333333333331</v>
      </c>
      <c r="T329" s="79">
        <v>44051</v>
      </c>
      <c r="U329" s="16">
        <f>COUNTIFS(A:A,A329,C:C,C329)</f>
        <v>1</v>
      </c>
      <c r="V329" s="34">
        <f t="shared" si="101"/>
        <v>0.16753939393939393</v>
      </c>
      <c r="W329" s="3" t="str">
        <f>VLOOKUP(A329,Data_echipe!A:O,15,0)</f>
        <v>Unicornii</v>
      </c>
      <c r="X329" s="3">
        <f t="shared" si="113"/>
        <v>0</v>
      </c>
    </row>
    <row r="330" spans="1:24">
      <c r="A330" s="74" t="s">
        <v>172</v>
      </c>
      <c r="B330" s="24" t="str">
        <f>VLOOKUP(A330,Participanti!A:B,2,0)</f>
        <v>F</v>
      </c>
      <c r="C330" s="75">
        <v>10</v>
      </c>
      <c r="D330" s="76">
        <v>30.01</v>
      </c>
      <c r="E330" s="77">
        <v>0.12010416666666668</v>
      </c>
      <c r="F330" s="78">
        <v>6</v>
      </c>
      <c r="G330" s="20">
        <f t="shared" si="111"/>
        <v>4.002138176163501E-3</v>
      </c>
      <c r="H330" s="16">
        <f>IF(B330="F",IF(G330&gt;Barem!$AC$2,0,IF(B330="F",VLOOKUP(D330,Barem!$B$2:$C$11,2,1))),IF(G330&gt;Barem!$AC$3,0,VLOOKUP(D330,Barem!$B$12:$C$21,2,1)))</f>
        <v>5</v>
      </c>
      <c r="I330" s="16">
        <f>IF(H330=0,0,IF(B330="F",VLOOKUP(G330,Barem!$G$2:$H$11,2,1),VLOOKUP(G330,Barem!$G$12:$H$21,2,1)))</f>
        <v>2.5</v>
      </c>
      <c r="J330" s="75">
        <v>3.5</v>
      </c>
      <c r="K330" s="82" t="str">
        <f>VLOOKUP($C330,Barem!$L$2:$R$13,7,0)</f>
        <v>P</v>
      </c>
      <c r="L330" s="17">
        <f t="shared" si="114"/>
        <v>0.25</v>
      </c>
      <c r="M330" s="17">
        <f t="shared" si="114"/>
        <v>0.25</v>
      </c>
      <c r="N330" s="17">
        <f t="shared" si="114"/>
        <v>0.5</v>
      </c>
      <c r="O330" s="81">
        <f t="shared" si="112"/>
        <v>0</v>
      </c>
      <c r="P330" s="36">
        <f>IF(D330&gt;21,VLOOKUP(D330,Barem!$T$1:$U$39,2,1),0)</f>
        <v>0.1</v>
      </c>
      <c r="Q330" s="32">
        <f>IF(D330&lt;1.609,0,IF(B330="F",VLOOKUP(G330,Barem!$X$2:$Z$13,2,1),VLOOKUP(G330,Barem!$X$14:$Z$25,2,1)))</f>
        <v>0</v>
      </c>
      <c r="R330" s="36">
        <f>VLOOKUP(A330,Participanti!A:C,3,0)</f>
        <v>0</v>
      </c>
      <c r="S330" s="29">
        <f t="shared" si="100"/>
        <v>3.7250000000000001</v>
      </c>
      <c r="T330" s="79">
        <v>44051</v>
      </c>
      <c r="U330" s="16">
        <f>COUNTIFS(A:A,A330,C:C,C330)</f>
        <v>1</v>
      </c>
      <c r="V330" s="34">
        <f t="shared" si="101"/>
        <v>0.12412529156947684</v>
      </c>
      <c r="W330" s="3" t="str">
        <f>VLOOKUP(A330,Data_echipe!A:O,15,0)</f>
        <v>Unicornii</v>
      </c>
      <c r="X330" s="3">
        <f t="shared" si="113"/>
        <v>1</v>
      </c>
    </row>
    <row r="331" spans="1:24">
      <c r="A331" s="74" t="s">
        <v>201</v>
      </c>
      <c r="B331" s="24" t="str">
        <f>VLOOKUP(A331,Participanti!A:B,2,0)</f>
        <v>F</v>
      </c>
      <c r="C331" s="75">
        <v>10</v>
      </c>
      <c r="D331" s="76">
        <v>13.58</v>
      </c>
      <c r="E331" s="77">
        <v>0.10543981481481481</v>
      </c>
      <c r="F331" s="78">
        <v>935</v>
      </c>
      <c r="G331" s="20">
        <f t="shared" si="111"/>
        <v>7.7643457153766422E-3</v>
      </c>
      <c r="H331" s="16">
        <f>IF(B331="F",IF(G331&gt;Barem!$AC$2,0,IF(B331="F",VLOOKUP(D331,Barem!$B$2:$C$11,2,1))),IF(G331&gt;Barem!$AC$3,0,VLOOKUP(D331,Barem!$B$12:$C$21,2,1)))</f>
        <v>3</v>
      </c>
      <c r="I331" s="16">
        <f>IF(H331=0,0,IF(B331="F",VLOOKUP(G331,Barem!$G$2:$H$11,2,1),VLOOKUP(G331,Barem!$G$12:$H$21,2,1)))</f>
        <v>0</v>
      </c>
      <c r="J331" s="75">
        <v>4</v>
      </c>
      <c r="K331" s="82" t="str">
        <f>VLOOKUP($C331,Barem!$L$2:$R$13,7,0)</f>
        <v>P</v>
      </c>
      <c r="L331" s="17">
        <f t="shared" si="114"/>
        <v>0.25</v>
      </c>
      <c r="M331" s="17">
        <f t="shared" si="114"/>
        <v>0.25</v>
      </c>
      <c r="N331" s="17">
        <f t="shared" si="114"/>
        <v>0.5</v>
      </c>
      <c r="O331" s="81">
        <f t="shared" si="112"/>
        <v>0.62333333333333329</v>
      </c>
      <c r="P331" s="36">
        <f>IF(D331&gt;21,VLOOKUP(D331,Barem!$T$1:$U$39,2,1),0)</f>
        <v>0</v>
      </c>
      <c r="Q331" s="32">
        <f>IF(D331&lt;1.609,0,IF(B331="F",VLOOKUP(G331,Barem!$X$2:$Z$13,2,1),VLOOKUP(G331,Barem!$X$14:$Z$25,2,1)))</f>
        <v>0</v>
      </c>
      <c r="R331" s="36">
        <f>VLOOKUP(A331,Participanti!A:C,3,0)</f>
        <v>0</v>
      </c>
      <c r="S331" s="29">
        <f t="shared" si="100"/>
        <v>3.3733333333333331</v>
      </c>
      <c r="T331" s="79">
        <v>44052</v>
      </c>
      <c r="U331" s="16">
        <f>COUNTIFS(A:A,A331,C:C,C331)</f>
        <v>1</v>
      </c>
      <c r="V331" s="34">
        <f t="shared" si="101"/>
        <v>0.24840451644575354</v>
      </c>
      <c r="W331" s="3" t="str">
        <f>VLOOKUP(A331,Data_echipe!A:O,15,0)</f>
        <v>X Æ A-12</v>
      </c>
      <c r="X331" s="3">
        <f t="shared" si="113"/>
        <v>0</v>
      </c>
    </row>
    <row r="332" spans="1:24">
      <c r="A332" s="74" t="s">
        <v>171</v>
      </c>
      <c r="B332" s="24" t="str">
        <f>VLOOKUP(A332,Participanti!A:B,2,0)</f>
        <v>M</v>
      </c>
      <c r="C332" s="75">
        <v>10</v>
      </c>
      <c r="D332" s="76">
        <v>14.71</v>
      </c>
      <c r="E332" s="77">
        <v>4.6446759259259257E-2</v>
      </c>
      <c r="F332" s="78">
        <v>63</v>
      </c>
      <c r="G332" s="20">
        <f t="shared" si="111"/>
        <v>3.1574955308809826E-3</v>
      </c>
      <c r="H332" s="16">
        <f>IF(B332="F",IF(G332&gt;Barem!$AC$2,0,IF(B332="F",VLOOKUP(D332,Barem!$B$2:$C$11,2,1))),IF(G332&gt;Barem!$AC$3,0,VLOOKUP(D332,Barem!$B$12:$C$21,2,1)))</f>
        <v>3</v>
      </c>
      <c r="I332" s="16">
        <f>IF(H332=0,0,IF(B332="F",VLOOKUP(G332,Barem!$G$2:$H$11,2,1),VLOOKUP(G332,Barem!$G$12:$H$21,2,1)))</f>
        <v>3.5</v>
      </c>
      <c r="J332" s="75">
        <v>3.5</v>
      </c>
      <c r="K332" s="82" t="str">
        <f>VLOOKUP($C332,Barem!$L$2:$R$13,7,0)</f>
        <v>P</v>
      </c>
      <c r="L332" s="17">
        <f t="shared" si="114"/>
        <v>0.25</v>
      </c>
      <c r="M332" s="17">
        <f t="shared" si="114"/>
        <v>0.25</v>
      </c>
      <c r="N332" s="17">
        <f t="shared" si="114"/>
        <v>0.5</v>
      </c>
      <c r="O332" s="81">
        <f t="shared" si="112"/>
        <v>0</v>
      </c>
      <c r="P332" s="36">
        <f>IF(D332&gt;21,VLOOKUP(D332,Barem!$T$1:$U$39,2,1),0)</f>
        <v>0</v>
      </c>
      <c r="Q332" s="32">
        <f>IF(D332&lt;1.609,0,IF(B332="F",VLOOKUP(G332,Barem!$X$2:$Z$13,2,1),VLOOKUP(G332,Barem!$X$14:$Z$25,2,1)))</f>
        <v>0</v>
      </c>
      <c r="R332" s="36">
        <f>VLOOKUP(A332,Participanti!A:C,3,0)</f>
        <v>0</v>
      </c>
      <c r="S332" s="29">
        <f t="shared" si="100"/>
        <v>3.375</v>
      </c>
      <c r="T332" s="79">
        <v>44049</v>
      </c>
      <c r="U332" s="16">
        <f>COUNTIFS(A:A,A332,C:C,C332)</f>
        <v>1</v>
      </c>
      <c r="V332" s="34">
        <f t="shared" si="101"/>
        <v>0.22943575798776342</v>
      </c>
      <c r="W332" s="3" t="str">
        <f>VLOOKUP(A332,Data_echipe!A:O,15,0)</f>
        <v>X Æ A-12</v>
      </c>
      <c r="X332" s="3">
        <f t="shared" si="113"/>
        <v>1</v>
      </c>
    </row>
    <row r="333" spans="1:24">
      <c r="A333" s="74" t="s">
        <v>60</v>
      </c>
      <c r="B333" s="24" t="str">
        <f>VLOOKUP(A333,Participanti!A:B,2,0)</f>
        <v>M</v>
      </c>
      <c r="C333" s="75">
        <v>10</v>
      </c>
      <c r="D333" s="76">
        <v>35.049999999999997</v>
      </c>
      <c r="E333" s="77">
        <v>0.13965277777777776</v>
      </c>
      <c r="F333" s="78">
        <v>187</v>
      </c>
      <c r="G333" s="20">
        <f t="shared" si="111"/>
        <v>3.9843873831035027E-3</v>
      </c>
      <c r="H333" s="16">
        <f>IF(B333="F",IF(G333&gt;Barem!$AC$2,0,IF(B333="F",VLOOKUP(D333,Barem!$B$2:$C$11,2,1))),IF(G333&gt;Barem!$AC$3,0,VLOOKUP(D333,Barem!$B$12:$C$21,2,1)))</f>
        <v>5</v>
      </c>
      <c r="I333" s="16">
        <f>IF(H333=0,0,IF(B333="F",VLOOKUP(G333,Barem!$G$2:$H$11,2,1),VLOOKUP(G333,Barem!$G$12:$H$21,2,1)))</f>
        <v>1.5</v>
      </c>
      <c r="J333" s="75">
        <v>3.5</v>
      </c>
      <c r="K333" s="82" t="str">
        <f>VLOOKUP($C333,Barem!$L$2:$R$13,7,0)</f>
        <v>P</v>
      </c>
      <c r="L333" s="17">
        <f t="shared" si="114"/>
        <v>0.25</v>
      </c>
      <c r="M333" s="17">
        <f t="shared" si="114"/>
        <v>0.25</v>
      </c>
      <c r="N333" s="17">
        <f t="shared" si="114"/>
        <v>0.5</v>
      </c>
      <c r="O333" s="81">
        <f t="shared" si="112"/>
        <v>0.12466666666666666</v>
      </c>
      <c r="P333" s="36">
        <f>IF(D333&gt;21,VLOOKUP(D333,Barem!$T$1:$U$39,2,1),0)</f>
        <v>0.2</v>
      </c>
      <c r="Q333" s="32">
        <f>IF(D333&lt;1.609,0,IF(B333="F",VLOOKUP(G333,Barem!$X$2:$Z$13,2,1),VLOOKUP(G333,Barem!$X$14:$Z$25,2,1)))</f>
        <v>0</v>
      </c>
      <c r="R333" s="36">
        <f>VLOOKUP(A333,Participanti!A:C,3,0)</f>
        <v>0</v>
      </c>
      <c r="S333" s="29">
        <f t="shared" si="100"/>
        <v>3.6996666666666669</v>
      </c>
      <c r="T333" s="79">
        <v>44051</v>
      </c>
      <c r="U333" s="16">
        <f>COUNTIFS(A:A,A333,C:C,C333)</f>
        <v>1</v>
      </c>
      <c r="V333" s="34">
        <f t="shared" si="101"/>
        <v>0.1055539705183072</v>
      </c>
      <c r="W333" s="3" t="str">
        <f>VLOOKUP(A333,Data_echipe!A:O,15,0)</f>
        <v>Tenchei</v>
      </c>
      <c r="X333" s="3">
        <f t="shared" si="113"/>
        <v>1</v>
      </c>
    </row>
    <row r="334" spans="1:24">
      <c r="A334" s="74" t="s">
        <v>200</v>
      </c>
      <c r="B334" s="24" t="str">
        <f>VLOOKUP(A334,Participanti!A:B,2,0)</f>
        <v>M</v>
      </c>
      <c r="C334" s="75">
        <v>10</v>
      </c>
      <c r="D334" s="76">
        <v>21.92</v>
      </c>
      <c r="E334" s="77">
        <v>0.10339120370370369</v>
      </c>
      <c r="F334" s="78">
        <v>961</v>
      </c>
      <c r="G334" s="20">
        <f t="shared" si="111"/>
        <v>4.7167519937821025E-3</v>
      </c>
      <c r="H334" s="16">
        <f>IF(B334="F",IF(G334&gt;Barem!$AC$2,0,IF(B334="F",VLOOKUP(D334,Barem!$B$2:$C$11,2,1))),IF(G334&gt;Barem!$AC$3,0,VLOOKUP(D334,Barem!$B$12:$C$21,2,1)))</f>
        <v>5</v>
      </c>
      <c r="I334" s="16">
        <f>IF(H334=0,0,IF(B334="F",VLOOKUP(G334,Barem!$G$2:$H$11,2,1),VLOOKUP(G334,Barem!$G$12:$H$21,2,1)))</f>
        <v>1</v>
      </c>
      <c r="J334" s="75">
        <v>4</v>
      </c>
      <c r="K334" s="82" t="str">
        <f>VLOOKUP($C334,Barem!$L$2:$R$13,7,0)</f>
        <v>P</v>
      </c>
      <c r="L334" s="17">
        <f t="shared" si="114"/>
        <v>0.25</v>
      </c>
      <c r="M334" s="17">
        <f t="shared" si="114"/>
        <v>0.25</v>
      </c>
      <c r="N334" s="17">
        <f t="shared" si="114"/>
        <v>0.5</v>
      </c>
      <c r="O334" s="81">
        <f t="shared" si="112"/>
        <v>0.64066666666666672</v>
      </c>
      <c r="P334" s="36">
        <f>IF(D334&gt;21,VLOOKUP(D334,Barem!$T$1:$U$39,2,1),0)</f>
        <v>0</v>
      </c>
      <c r="Q334" s="32">
        <f>IF(D334&lt;1.609,0,IF(B334="F",VLOOKUP(G334,Barem!$X$2:$Z$13,2,1),VLOOKUP(G334,Barem!$X$14:$Z$25,2,1)))</f>
        <v>0</v>
      </c>
      <c r="R334" s="36">
        <f>VLOOKUP(A334,Participanti!A:C,3,0)</f>
        <v>0</v>
      </c>
      <c r="S334" s="29">
        <f t="shared" si="100"/>
        <v>4.1406666666666663</v>
      </c>
      <c r="T334" s="79">
        <v>44051</v>
      </c>
      <c r="U334" s="16">
        <f>COUNTIFS(A:A,A334,C:C,C334)</f>
        <v>1</v>
      </c>
      <c r="V334" s="34">
        <f t="shared" si="101"/>
        <v>0.18889902676399023</v>
      </c>
      <c r="W334" s="3" t="str">
        <f>VLOOKUP(A334,Data_echipe!A:O,15,0)</f>
        <v xml:space="preserve"> Let it run</v>
      </c>
      <c r="X334" s="3">
        <f t="shared" si="113"/>
        <v>1</v>
      </c>
    </row>
    <row r="335" spans="1:24">
      <c r="A335" s="74" t="s">
        <v>59</v>
      </c>
      <c r="B335" s="24" t="str">
        <f>VLOOKUP(A335,Participanti!A:B,2,0)</f>
        <v>M</v>
      </c>
      <c r="C335" s="75">
        <v>10</v>
      </c>
      <c r="D335" s="76">
        <v>21.11</v>
      </c>
      <c r="E335" s="77">
        <v>8.863425925925926E-2</v>
      </c>
      <c r="F335" s="78">
        <v>0</v>
      </c>
      <c r="G335" s="20">
        <f t="shared" si="111"/>
        <v>4.1986858957488993E-3</v>
      </c>
      <c r="H335" s="16">
        <f>IF(B335="F",IF(G335&gt;Barem!$AC$2,0,IF(B335="F",VLOOKUP(D335,Barem!$B$2:$C$11,2,1))),IF(G335&gt;Barem!$AC$3,0,VLOOKUP(D335,Barem!$B$12:$C$21,2,1)))</f>
        <v>5</v>
      </c>
      <c r="I335" s="16">
        <f>IF(H335=0,0,IF(B335="F",VLOOKUP(G335,Barem!$G$2:$H$11,2,1),VLOOKUP(G335,Barem!$G$12:$H$21,2,1)))</f>
        <v>1</v>
      </c>
      <c r="J335" s="75">
        <v>1.5</v>
      </c>
      <c r="K335" s="82" t="str">
        <f>VLOOKUP($C335,Barem!$L$2:$R$13,7,0)</f>
        <v>P</v>
      </c>
      <c r="L335" s="17">
        <f t="shared" si="114"/>
        <v>0.25</v>
      </c>
      <c r="M335" s="17">
        <f t="shared" si="114"/>
        <v>0.25</v>
      </c>
      <c r="N335" s="17">
        <f t="shared" si="114"/>
        <v>0.5</v>
      </c>
      <c r="O335" s="81">
        <f t="shared" si="112"/>
        <v>0</v>
      </c>
      <c r="P335" s="36">
        <f>IF(D335&gt;21,VLOOKUP(D335,Barem!$T$1:$U$39,2,1),0)</f>
        <v>0</v>
      </c>
      <c r="Q335" s="32">
        <f>IF(D335&lt;1.609,0,IF(B335="F",VLOOKUP(G335,Barem!$X$2:$Z$13,2,1),VLOOKUP(G335,Barem!$X$14:$Z$25,2,1)))</f>
        <v>0</v>
      </c>
      <c r="R335" s="36">
        <f>VLOOKUP(A335,Participanti!A:C,3,0)</f>
        <v>0</v>
      </c>
      <c r="S335" s="29">
        <f t="shared" si="100"/>
        <v>2.25</v>
      </c>
      <c r="T335" s="79">
        <v>44049</v>
      </c>
      <c r="U335" s="16">
        <f>COUNTIFS(A:A,A335,C:C,C335)</f>
        <v>1</v>
      </c>
      <c r="V335" s="34">
        <f t="shared" si="101"/>
        <v>0.10658455708195168</v>
      </c>
      <c r="W335" s="3" t="str">
        <f>VLOOKUP(A335,Data_echipe!A:O,15,0)</f>
        <v>Tenchei</v>
      </c>
      <c r="X335" s="3">
        <f t="shared" si="113"/>
        <v>1</v>
      </c>
    </row>
    <row r="336" spans="1:24">
      <c r="A336" s="74" t="s">
        <v>114</v>
      </c>
      <c r="B336" s="24" t="str">
        <f>VLOOKUP(A336,Participanti!A:B,2,0)</f>
        <v>M</v>
      </c>
      <c r="C336" s="75">
        <v>10</v>
      </c>
      <c r="D336" s="76">
        <v>21.11</v>
      </c>
      <c r="E336" s="77">
        <v>7.2847222222222216E-2</v>
      </c>
      <c r="F336" s="78">
        <v>513</v>
      </c>
      <c r="G336" s="20">
        <f t="shared" si="111"/>
        <v>3.4508395178693614E-3</v>
      </c>
      <c r="H336" s="16">
        <f>IF(B336="F",IF(G336&gt;Barem!$AC$2,0,IF(B336="F",VLOOKUP(D336,Barem!$B$2:$C$11,2,1))),IF(G336&gt;Barem!$AC$3,0,VLOOKUP(D336,Barem!$B$12:$C$21,2,1)))</f>
        <v>5</v>
      </c>
      <c r="I336" s="16">
        <f>IF(H336=0,0,IF(B336="F",VLOOKUP(G336,Barem!$G$2:$H$11,2,1),VLOOKUP(G336,Barem!$G$12:$H$21,2,1)))</f>
        <v>3</v>
      </c>
      <c r="J336" s="75">
        <v>3.5</v>
      </c>
      <c r="K336" s="82" t="str">
        <f>VLOOKUP($C336,Barem!$L$2:$R$13,7,0)</f>
        <v>P</v>
      </c>
      <c r="L336" s="17">
        <f t="shared" si="114"/>
        <v>0.25</v>
      </c>
      <c r="M336" s="17">
        <f t="shared" si="114"/>
        <v>0.25</v>
      </c>
      <c r="N336" s="17">
        <f t="shared" si="114"/>
        <v>0.5</v>
      </c>
      <c r="O336" s="81">
        <f t="shared" si="112"/>
        <v>0.34200000000000003</v>
      </c>
      <c r="P336" s="36">
        <f>IF(D336&gt;21,VLOOKUP(D336,Barem!$T$1:$U$39,2,1),0)</f>
        <v>0</v>
      </c>
      <c r="Q336" s="32">
        <f>IF(D336&lt;1.609,0,IF(B336="F",VLOOKUP(G336,Barem!$X$2:$Z$13,2,1),VLOOKUP(G336,Barem!$X$14:$Z$25,2,1)))</f>
        <v>0</v>
      </c>
      <c r="R336" s="36">
        <f>VLOOKUP(A336,Participanti!A:C,3,0)</f>
        <v>0</v>
      </c>
      <c r="S336" s="29">
        <f t="shared" si="100"/>
        <v>4.0919999999999996</v>
      </c>
      <c r="T336" s="79">
        <v>44050</v>
      </c>
      <c r="U336" s="16">
        <f>COUNTIFS(A:A,A336,C:C,C336)</f>
        <v>1</v>
      </c>
      <c r="V336" s="34">
        <f t="shared" si="101"/>
        <v>0.19384178114637612</v>
      </c>
      <c r="W336" s="3" t="str">
        <f>VLOOKUP(A336,Data_echipe!A:O,15,0)</f>
        <v>Serioranistii</v>
      </c>
      <c r="X336" s="3">
        <f t="shared" si="113"/>
        <v>1</v>
      </c>
    </row>
    <row r="337" spans="1:24">
      <c r="A337" s="74" t="s">
        <v>47</v>
      </c>
      <c r="B337" s="24" t="str">
        <f>VLOOKUP(A337,Participanti!A:B,2,0)</f>
        <v>M</v>
      </c>
      <c r="C337" s="75">
        <v>10</v>
      </c>
      <c r="D337" s="76">
        <v>15.12</v>
      </c>
      <c r="E337" s="77">
        <v>5.1284722222222225E-2</v>
      </c>
      <c r="F337" s="78">
        <v>20</v>
      </c>
      <c r="G337" s="20">
        <f t="shared" si="111"/>
        <v>3.3918467078189302E-3</v>
      </c>
      <c r="H337" s="16">
        <f>IF(B337="F",IF(G337&gt;Barem!$AC$2,0,IF(B337="F",VLOOKUP(D337,Barem!$B$2:$C$11,2,1))),IF(G337&gt;Barem!$AC$3,0,VLOOKUP(D337,Barem!$B$12:$C$21,2,1)))</f>
        <v>3.5</v>
      </c>
      <c r="I337" s="16">
        <f>IF(H337=0,0,IF(B337="F",VLOOKUP(G337,Barem!$G$2:$H$11,2,1),VLOOKUP(G337,Barem!$G$12:$H$21,2,1)))</f>
        <v>3</v>
      </c>
      <c r="J337" s="75">
        <v>3.5</v>
      </c>
      <c r="K337" s="83" t="s">
        <v>183</v>
      </c>
      <c r="L337" s="17">
        <f t="shared" si="114"/>
        <v>0.25</v>
      </c>
      <c r="M337" s="17">
        <f t="shared" si="114"/>
        <v>0.5</v>
      </c>
      <c r="N337" s="17">
        <f t="shared" si="114"/>
        <v>0.25</v>
      </c>
      <c r="O337" s="81">
        <f t="shared" si="112"/>
        <v>0</v>
      </c>
      <c r="P337" s="36">
        <f>IF(D337&gt;21,VLOOKUP(D337,Barem!$T$1:$U$39,2,1),0)</f>
        <v>0</v>
      </c>
      <c r="Q337" s="32">
        <f>IF(D337&lt;1.609,0,IF(B337="F",VLOOKUP(G337,Barem!$X$2:$Z$13,2,1),VLOOKUP(G337,Barem!$X$14:$Z$25,2,1)))</f>
        <v>0</v>
      </c>
      <c r="R337" s="36">
        <f>VLOOKUP(A337,Participanti!A:C,3,0)</f>
        <v>0</v>
      </c>
      <c r="S337" s="29">
        <f t="shared" si="100"/>
        <v>3.25</v>
      </c>
      <c r="T337" s="79">
        <v>44046</v>
      </c>
      <c r="U337" s="16">
        <f>COUNTIFS(A:A,A337,C:C,C337)</f>
        <v>1</v>
      </c>
      <c r="V337" s="34">
        <f t="shared" si="101"/>
        <v>0.21494708994708997</v>
      </c>
      <c r="W337" s="3" t="str">
        <f>VLOOKUP(A337,Data_echipe!A:O,15,0)</f>
        <v>X Æ A-12</v>
      </c>
      <c r="X337" s="3">
        <f t="shared" si="113"/>
        <v>1</v>
      </c>
    </row>
    <row r="338" spans="1:24">
      <c r="A338" s="74" t="s">
        <v>54</v>
      </c>
      <c r="B338" s="24" t="str">
        <f>VLOOKUP(A338,Participanti!A:B,2,0)</f>
        <v>M</v>
      </c>
      <c r="C338" s="75">
        <v>10</v>
      </c>
      <c r="D338" s="76">
        <v>13.28</v>
      </c>
      <c r="E338" s="77">
        <v>5.0034722222222223E-2</v>
      </c>
      <c r="F338" s="78">
        <v>211</v>
      </c>
      <c r="G338" s="20">
        <f t="shared" si="111"/>
        <v>3.7676748661311919E-3</v>
      </c>
      <c r="H338" s="16">
        <f>IF(B338="F",IF(G338&gt;Barem!$AC$2,0,IF(B338="F",VLOOKUP(D338,Barem!$B$2:$C$11,2,1))),IF(G338&gt;Barem!$AC$3,0,VLOOKUP(D338,Barem!$B$12:$C$21,2,1)))</f>
        <v>3</v>
      </c>
      <c r="I338" s="16">
        <f>IF(H338=0,0,IF(B338="F",VLOOKUP(G338,Barem!$G$2:$H$11,2,1),VLOOKUP(G338,Barem!$G$12:$H$21,2,1)))</f>
        <v>2</v>
      </c>
      <c r="J338" s="75">
        <v>3</v>
      </c>
      <c r="K338" s="83" t="s">
        <v>183</v>
      </c>
      <c r="L338" s="17">
        <f t="shared" si="114"/>
        <v>0.25</v>
      </c>
      <c r="M338" s="17">
        <f t="shared" si="114"/>
        <v>0.5</v>
      </c>
      <c r="N338" s="17">
        <f t="shared" si="114"/>
        <v>0.25</v>
      </c>
      <c r="O338" s="81">
        <f t="shared" si="112"/>
        <v>0.14066666666666666</v>
      </c>
      <c r="P338" s="36">
        <f>IF(D338&gt;21,VLOOKUP(D338,Barem!$T$1:$U$39,2,1),0)</f>
        <v>0</v>
      </c>
      <c r="Q338" s="32">
        <f>IF(D338&lt;1.609,0,IF(B338="F",VLOOKUP(G338,Barem!$X$2:$Z$13,2,1),VLOOKUP(G338,Barem!$X$14:$Z$25,2,1)))</f>
        <v>0</v>
      </c>
      <c r="R338" s="36">
        <f>VLOOKUP(A338,Participanti!A:C,3,0)</f>
        <v>0.5</v>
      </c>
      <c r="S338" s="29">
        <f t="shared" si="100"/>
        <v>3.1406666666666667</v>
      </c>
      <c r="T338" s="79">
        <v>44049</v>
      </c>
      <c r="U338" s="16">
        <f>COUNTIFS(A:A,A338,C:C,C338)</f>
        <v>1</v>
      </c>
      <c r="V338" s="34">
        <f t="shared" si="101"/>
        <v>0.23649598393574298</v>
      </c>
      <c r="W338" s="3" t="str">
        <f>VLOOKUP(A338,Data_echipe!A:O,15,0)</f>
        <v>Serioranistii</v>
      </c>
      <c r="X338" s="3">
        <f t="shared" si="113"/>
        <v>1</v>
      </c>
    </row>
    <row r="339" spans="1:24">
      <c r="A339" s="74" t="s">
        <v>203</v>
      </c>
      <c r="B339" s="24" t="str">
        <f>VLOOKUP(A339,Participanti!A:B,2,0)</f>
        <v>M</v>
      </c>
      <c r="C339" s="75">
        <v>10</v>
      </c>
      <c r="D339" s="76">
        <v>14.15</v>
      </c>
      <c r="E339" s="77">
        <v>5.2314814814814814E-2</v>
      </c>
      <c r="F339" s="78">
        <v>450</v>
      </c>
      <c r="G339" s="20">
        <f t="shared" si="111"/>
        <v>3.6971600575840856E-3</v>
      </c>
      <c r="H339" s="16">
        <f>IF(B339="F",IF(G339&gt;Barem!$AC$2,0,IF(B339="F",VLOOKUP(D339,Barem!$B$2:$C$11,2,1))),IF(G339&gt;Barem!$AC$3,0,VLOOKUP(D339,Barem!$B$12:$C$21,2,1)))</f>
        <v>3</v>
      </c>
      <c r="I339" s="16">
        <f>IF(H339=0,0,IF(B339="F",VLOOKUP(G339,Barem!$G$2:$H$11,2,1),VLOOKUP(G339,Barem!$G$12:$H$21,2,1)))</f>
        <v>2</v>
      </c>
      <c r="J339" s="75">
        <v>3.5</v>
      </c>
      <c r="K339" s="83" t="s">
        <v>182</v>
      </c>
      <c r="L339" s="17">
        <f t="shared" si="114"/>
        <v>0.5</v>
      </c>
      <c r="M339" s="17">
        <f t="shared" si="114"/>
        <v>0.25</v>
      </c>
      <c r="N339" s="17">
        <f t="shared" si="114"/>
        <v>0.25</v>
      </c>
      <c r="O339" s="81">
        <f t="shared" si="112"/>
        <v>0.3</v>
      </c>
      <c r="P339" s="36">
        <f>IF(D339&gt;21,VLOOKUP(D339,Barem!$T$1:$U$39,2,1),0)</f>
        <v>0</v>
      </c>
      <c r="Q339" s="32">
        <f>IF(D339&lt;1.609,0,IF(B339="F",VLOOKUP(G339,Barem!$X$2:$Z$13,2,1),VLOOKUP(G339,Barem!$X$14:$Z$25,2,1)))</f>
        <v>0</v>
      </c>
      <c r="R339" s="36">
        <f>VLOOKUP(A339,Participanti!A:C,3,0)</f>
        <v>0</v>
      </c>
      <c r="S339" s="29">
        <f t="shared" ref="S339:S370" si="115">H339*L339+I339*M339+J339*N339+O339+P339+Q339+R339</f>
        <v>3.1749999999999998</v>
      </c>
      <c r="T339" s="79">
        <v>44048</v>
      </c>
      <c r="U339" s="16">
        <f>COUNTIFS(A:A,A339,C:C,C339)</f>
        <v>1</v>
      </c>
      <c r="V339" s="34">
        <f t="shared" ref="V339:V370" si="116">S339/D339</f>
        <v>0.2243816254416961</v>
      </c>
      <c r="W339" s="3" t="str">
        <f>VLOOKUP(A339,Data_echipe!A:O,15,0)</f>
        <v>Tenchei</v>
      </c>
      <c r="X339" s="3">
        <f t="shared" si="113"/>
        <v>1</v>
      </c>
    </row>
    <row r="340" spans="1:24">
      <c r="A340" s="74" t="s">
        <v>57</v>
      </c>
      <c r="B340" s="24" t="str">
        <f>VLOOKUP(A340,Participanti!A:B,2,0)</f>
        <v>M</v>
      </c>
      <c r="C340" s="75">
        <v>10</v>
      </c>
      <c r="D340" s="76">
        <v>22.01</v>
      </c>
      <c r="E340" s="77">
        <v>8.3495370370370373E-2</v>
      </c>
      <c r="F340" s="78">
        <v>526</v>
      </c>
      <c r="G340" s="20">
        <f t="shared" si="111"/>
        <v>3.7935197805711207E-3</v>
      </c>
      <c r="H340" s="16">
        <f>IF(B340="F",IF(G340&gt;Barem!$AC$2,0,IF(B340="F",VLOOKUP(D340,Barem!$B$2:$C$11,2,1))),IF(G340&gt;Barem!$AC$3,0,VLOOKUP(D340,Barem!$B$12:$C$21,2,1)))</f>
        <v>5</v>
      </c>
      <c r="I340" s="16">
        <f>IF(H340=0,0,IF(B340="F",VLOOKUP(G340,Barem!$G$2:$H$11,2,1),VLOOKUP(G340,Barem!$G$12:$H$21,2,1)))</f>
        <v>2</v>
      </c>
      <c r="J340" s="75">
        <v>4.5</v>
      </c>
      <c r="K340" s="83" t="s">
        <v>183</v>
      </c>
      <c r="L340" s="17">
        <f t="shared" si="114"/>
        <v>0.25</v>
      </c>
      <c r="M340" s="17">
        <f t="shared" si="114"/>
        <v>0.5</v>
      </c>
      <c r="N340" s="17">
        <f t="shared" si="114"/>
        <v>0.25</v>
      </c>
      <c r="O340" s="81">
        <f t="shared" si="112"/>
        <v>0.35066666666666668</v>
      </c>
      <c r="P340" s="36">
        <f>IF(D340&gt;21,VLOOKUP(D340,Barem!$T$1:$U$39,2,1),0)</f>
        <v>0</v>
      </c>
      <c r="Q340" s="32">
        <f>IF(D340&lt;1.609,0,IF(B340="F",VLOOKUP(G340,Barem!$X$2:$Z$13,2,1),VLOOKUP(G340,Barem!$X$14:$Z$25,2,1)))</f>
        <v>0</v>
      </c>
      <c r="R340" s="36">
        <f>VLOOKUP(A340,Participanti!A:C,3,0)</f>
        <v>0</v>
      </c>
      <c r="S340" s="29">
        <f t="shared" si="115"/>
        <v>3.7256666666666667</v>
      </c>
      <c r="T340" s="79">
        <v>44052</v>
      </c>
      <c r="U340" s="16">
        <f>COUNTIFS(A:A,A340,C:C,C340)</f>
        <v>1</v>
      </c>
      <c r="V340" s="34">
        <f t="shared" si="116"/>
        <v>0.16927154323792215</v>
      </c>
      <c r="W340" s="3" t="str">
        <f>VLOOKUP(A340,Data_echipe!A:O,15,0)</f>
        <v>Tenchei</v>
      </c>
      <c r="X340" s="3">
        <f t="shared" si="113"/>
        <v>1</v>
      </c>
    </row>
    <row r="341" spans="1:24">
      <c r="A341" s="74" t="s">
        <v>204</v>
      </c>
      <c r="B341" s="24" t="str">
        <f>VLOOKUP(A341,Participanti!A:B,2,0)</f>
        <v>M</v>
      </c>
      <c r="C341" s="75">
        <v>10</v>
      </c>
      <c r="D341" s="76">
        <v>10.09</v>
      </c>
      <c r="E341" s="77">
        <v>3.318287037037037E-2</v>
      </c>
      <c r="F341" s="78">
        <v>31</v>
      </c>
      <c r="G341" s="20">
        <f t="shared" ref="G341" si="117">E341/D341</f>
        <v>3.2886888374995412E-3</v>
      </c>
      <c r="H341" s="16">
        <f>IF(B341="F",IF(G341&gt;Barem!$AC$2,0,IF(B341="F",VLOOKUP(D341,Barem!$B$2:$C$11,2,1))),IF(G341&gt;Barem!$AC$3,0,VLOOKUP(D341,Barem!$B$12:$C$21,2,1)))</f>
        <v>2.5</v>
      </c>
      <c r="I341" s="16">
        <f>IF(H341=0,0,IF(B341="F",VLOOKUP(G341,Barem!$G$2:$H$11,2,1),VLOOKUP(G341,Barem!$G$12:$H$21,2,1)))</f>
        <v>3.5</v>
      </c>
      <c r="J341" s="75">
        <v>4</v>
      </c>
      <c r="K341" s="82" t="str">
        <f>VLOOKUP($C341,Barem!$L$2:$R$13,7,0)</f>
        <v>P</v>
      </c>
      <c r="L341" s="17">
        <f t="shared" si="114"/>
        <v>0.25</v>
      </c>
      <c r="M341" s="17">
        <f t="shared" si="114"/>
        <v>0.25</v>
      </c>
      <c r="N341" s="17">
        <f t="shared" si="114"/>
        <v>0.5</v>
      </c>
      <c r="O341" s="81">
        <f t="shared" ref="O341" si="118">IF(F341&lt;-49,F341/1500,IF(F341&gt;99,F341/1500,0))</f>
        <v>0</v>
      </c>
      <c r="P341" s="36">
        <f>IF(D341&gt;21,VLOOKUP(D341,Barem!$T$1:$U$39,2,1),0)</f>
        <v>0</v>
      </c>
      <c r="Q341" s="32">
        <f>IF(D341&lt;1.609,0,IF(B341="F",VLOOKUP(G341,Barem!$X$2:$Z$13,2,1),VLOOKUP(G341,Barem!$X$14:$Z$25,2,1)))</f>
        <v>0</v>
      </c>
      <c r="R341" s="36">
        <f>VLOOKUP(A341,Participanti!A:C,3,0)</f>
        <v>0</v>
      </c>
      <c r="S341" s="29">
        <f t="shared" ref="S341" si="119">H341*L341+I341*M341+J341*N341+O341+P341+Q341+R341</f>
        <v>3.5</v>
      </c>
      <c r="T341" s="79">
        <v>44047</v>
      </c>
      <c r="U341" s="16">
        <f>COUNTIFS(A:A,A341,C:C,C341)</f>
        <v>1</v>
      </c>
      <c r="V341" s="34">
        <f t="shared" ref="V341" si="120">S341/D341</f>
        <v>0.3468780971258672</v>
      </c>
      <c r="W341" s="3" t="str">
        <f>VLOOKUP(A341,Data_echipe!A:O,15,0)</f>
        <v>Unicornii</v>
      </c>
      <c r="X341" s="3">
        <f t="shared" si="113"/>
        <v>1</v>
      </c>
    </row>
    <row r="342" spans="1:24">
      <c r="A342" s="74" t="s">
        <v>55</v>
      </c>
      <c r="B342" s="24" t="str">
        <f>VLOOKUP(A342,Participanti!A:B,2,0)</f>
        <v>M</v>
      </c>
      <c r="C342" s="75">
        <v>10</v>
      </c>
      <c r="D342" s="76">
        <v>34.19</v>
      </c>
      <c r="E342" s="77">
        <v>0.17868055555555554</v>
      </c>
      <c r="F342" s="78">
        <v>1706</v>
      </c>
      <c r="G342" s="20">
        <f t="shared" si="111"/>
        <v>5.2261057489194369E-3</v>
      </c>
      <c r="H342" s="16">
        <f>IF(B342="F",IF(G342&gt;Barem!$AC$2,0,IF(B342="F",VLOOKUP(D342,Barem!$B$2:$C$11,2,1))),IF(G342&gt;Barem!$AC$3,0,VLOOKUP(D342,Barem!$B$12:$C$21,2,1)))</f>
        <v>5</v>
      </c>
      <c r="I342" s="16">
        <f>IF(H342=0,0,IF(B342="F",VLOOKUP(G342,Barem!$G$2:$H$11,2,1),VLOOKUP(G342,Barem!$G$12:$H$21,2,1)))</f>
        <v>1</v>
      </c>
      <c r="J342" s="75">
        <v>4.5</v>
      </c>
      <c r="K342" s="83" t="s">
        <v>183</v>
      </c>
      <c r="L342" s="17">
        <f t="shared" si="114"/>
        <v>0.25</v>
      </c>
      <c r="M342" s="17">
        <f t="shared" si="114"/>
        <v>0.5</v>
      </c>
      <c r="N342" s="17">
        <f t="shared" si="114"/>
        <v>0.25</v>
      </c>
      <c r="O342" s="81">
        <f t="shared" si="112"/>
        <v>1.1373333333333333</v>
      </c>
      <c r="P342" s="36">
        <f>IF(D342&gt;21,VLOOKUP(D342,Barem!$T$1:$U$39,2,1),0)</f>
        <v>0.2</v>
      </c>
      <c r="Q342" s="32">
        <f>IF(D342&lt;1.609,0,IF(B342="F",VLOOKUP(G342,Barem!$X$2:$Z$13,2,1),VLOOKUP(G342,Barem!$X$14:$Z$25,2,1)))</f>
        <v>0</v>
      </c>
      <c r="R342" s="36">
        <f>VLOOKUP(A342,Participanti!A:C,3,0)</f>
        <v>0</v>
      </c>
      <c r="S342" s="29">
        <f t="shared" si="115"/>
        <v>4.2123333333333335</v>
      </c>
      <c r="T342" s="79">
        <v>44052</v>
      </c>
      <c r="U342" s="16">
        <f>COUNTIFS(A:A,A342,C:C,C342)</f>
        <v>1</v>
      </c>
      <c r="V342" s="34">
        <f t="shared" si="116"/>
        <v>0.12320366578921713</v>
      </c>
      <c r="W342" s="3" t="str">
        <f>VLOOKUP(A342,Data_echipe!A:O,15,0)</f>
        <v>Serioranistii</v>
      </c>
      <c r="X342" s="3">
        <f t="shared" si="113"/>
        <v>1</v>
      </c>
    </row>
    <row r="343" spans="1:24">
      <c r="A343" s="74" t="s">
        <v>67</v>
      </c>
      <c r="B343" s="24" t="str">
        <f>VLOOKUP(A343,Participanti!A:B,2,0)</f>
        <v>F</v>
      </c>
      <c r="C343" s="75">
        <v>10</v>
      </c>
      <c r="D343" s="76">
        <v>9.9499999999999993</v>
      </c>
      <c r="E343" s="77">
        <v>3.8993055555555552E-2</v>
      </c>
      <c r="F343" s="78">
        <v>10</v>
      </c>
      <c r="G343" s="20">
        <f t="shared" si="111"/>
        <v>3.9189000558347287E-3</v>
      </c>
      <c r="H343" s="16">
        <f>IF(B343="F",IF(G343&gt;Barem!$AC$2,0,IF(B343="F",VLOOKUP(D343,Barem!$B$2:$C$11,2,1))),IF(G343&gt;Barem!$AC$3,0,VLOOKUP(D343,Barem!$B$12:$C$21,2,1)))</f>
        <v>2.5</v>
      </c>
      <c r="I343" s="16">
        <f>IF(H343=0,0,IF(B343="F",VLOOKUP(G343,Barem!$G$2:$H$11,2,1),VLOOKUP(G343,Barem!$G$12:$H$21,2,1)))</f>
        <v>2.5</v>
      </c>
      <c r="J343" s="75">
        <v>3.5</v>
      </c>
      <c r="K343" s="82" t="str">
        <f>VLOOKUP($C343,Barem!$L$2:$R$13,7,0)</f>
        <v>P</v>
      </c>
      <c r="L343" s="17">
        <f t="shared" si="114"/>
        <v>0.25</v>
      </c>
      <c r="M343" s="17">
        <f t="shared" si="114"/>
        <v>0.25</v>
      </c>
      <c r="N343" s="17">
        <f t="shared" si="114"/>
        <v>0.5</v>
      </c>
      <c r="O343" s="81">
        <f t="shared" si="112"/>
        <v>0</v>
      </c>
      <c r="P343" s="36">
        <f>IF(D343&gt;21,VLOOKUP(D343,Barem!$T$1:$U$39,2,1),0)</f>
        <v>0</v>
      </c>
      <c r="Q343" s="32">
        <f>IF(D343&lt;1.609,0,IF(B343="F",VLOOKUP(G343,Barem!$X$2:$Z$13,2,1),VLOOKUP(G343,Barem!$X$14:$Z$25,2,1)))</f>
        <v>0</v>
      </c>
      <c r="R343" s="36">
        <f>VLOOKUP(A343,Participanti!A:C,3,0)</f>
        <v>0</v>
      </c>
      <c r="S343" s="29">
        <f t="shared" si="115"/>
        <v>3</v>
      </c>
      <c r="T343" s="79">
        <v>44052</v>
      </c>
      <c r="U343" s="16">
        <f>COUNTIFS(A:A,A343,C:C,C343)</f>
        <v>1</v>
      </c>
      <c r="V343" s="34">
        <f t="shared" si="116"/>
        <v>0.30150753768844224</v>
      </c>
      <c r="W343" s="3" t="str">
        <f>VLOOKUP(A343,Data_echipe!A:O,15,0)</f>
        <v>X Æ A-12</v>
      </c>
      <c r="X343" s="3">
        <f t="shared" si="113"/>
        <v>1</v>
      </c>
    </row>
    <row r="344" spans="1:24">
      <c r="A344" s="74" t="s">
        <v>65</v>
      </c>
      <c r="B344" s="24" t="str">
        <f>VLOOKUP(A344,Participanti!A:B,2,0)</f>
        <v>M</v>
      </c>
      <c r="C344" s="75">
        <v>10</v>
      </c>
      <c r="D344" s="76">
        <v>6.39</v>
      </c>
      <c r="E344" s="77">
        <v>2.013888888888889E-2</v>
      </c>
      <c r="F344" s="78">
        <v>0</v>
      </c>
      <c r="G344" s="20">
        <f t="shared" si="111"/>
        <v>3.151625804207964E-3</v>
      </c>
      <c r="H344" s="16">
        <f>IF(B344="F",IF(G344&gt;Barem!$AC$2,0,IF(B344="F",VLOOKUP(D344,Barem!$B$2:$C$11,2,1))),IF(G344&gt;Barem!$AC$3,0,VLOOKUP(D344,Barem!$B$12:$C$21,2,1)))</f>
        <v>1.5</v>
      </c>
      <c r="I344" s="16">
        <f>IF(H344=0,0,IF(B344="F",VLOOKUP(G344,Barem!$G$2:$H$11,2,1),VLOOKUP(G344,Barem!$G$12:$H$21,2,1)))</f>
        <v>3.5</v>
      </c>
      <c r="J344" s="75">
        <v>2</v>
      </c>
      <c r="K344" s="83" t="s">
        <v>183</v>
      </c>
      <c r="L344" s="17">
        <f t="shared" si="114"/>
        <v>0.25</v>
      </c>
      <c r="M344" s="17">
        <f t="shared" si="114"/>
        <v>0.5</v>
      </c>
      <c r="N344" s="17">
        <f t="shared" si="114"/>
        <v>0.25</v>
      </c>
      <c r="O344" s="81">
        <f t="shared" si="112"/>
        <v>0</v>
      </c>
      <c r="P344" s="36">
        <f>IF(D344&gt;21,VLOOKUP(D344,Barem!$T$1:$U$39,2,1),0)</f>
        <v>0</v>
      </c>
      <c r="Q344" s="32">
        <f>IF(D344&lt;1.609,0,IF(B344="F",VLOOKUP(G344,Barem!$X$2:$Z$13,2,1),VLOOKUP(G344,Barem!$X$14:$Z$25,2,1)))</f>
        <v>0</v>
      </c>
      <c r="R344" s="36">
        <f>VLOOKUP(A344,Participanti!A:C,3,0)</f>
        <v>0</v>
      </c>
      <c r="S344" s="29">
        <f t="shared" si="115"/>
        <v>2.625</v>
      </c>
      <c r="T344" s="79">
        <v>44052</v>
      </c>
      <c r="U344" s="16">
        <f>COUNTIFS(A:A,A344,C:C,C344)</f>
        <v>1</v>
      </c>
      <c r="V344" s="34">
        <f t="shared" si="116"/>
        <v>0.41079812206572774</v>
      </c>
      <c r="W344" s="3" t="str">
        <f>VLOOKUP(A344,Data_echipe!A:O,15,0)</f>
        <v>X Æ A-12</v>
      </c>
      <c r="X344" s="3">
        <f t="shared" si="113"/>
        <v>1</v>
      </c>
    </row>
    <row r="345" spans="1:24" ht="12.75" thickBot="1">
      <c r="A345" s="94" t="s">
        <v>83</v>
      </c>
      <c r="B345" s="95" t="str">
        <f>VLOOKUP(A345,Participanti!A:B,2,0)</f>
        <v>F</v>
      </c>
      <c r="C345" s="96">
        <v>10</v>
      </c>
      <c r="D345" s="97">
        <v>8</v>
      </c>
      <c r="E345" s="98">
        <v>3.875E-2</v>
      </c>
      <c r="F345" s="99">
        <v>4</v>
      </c>
      <c r="G345" s="100">
        <f t="shared" si="111"/>
        <v>4.84375E-3</v>
      </c>
      <c r="H345" s="101">
        <f>IF(B345="F",IF(G345&gt;Barem!$AC$2,0,IF(B345="F",VLOOKUP(D345,Barem!$B$2:$C$11,2,1))),IF(G345&gt;Barem!$AC$3,0,VLOOKUP(D345,Barem!$B$12:$C$21,2,1)))</f>
        <v>2</v>
      </c>
      <c r="I345" s="101">
        <f>IF(H345=0,0,IF(B345="F",VLOOKUP(G345,Barem!$G$2:$H$11,2,1),VLOOKUP(G345,Barem!$G$12:$H$21,2,1)))</f>
        <v>1</v>
      </c>
      <c r="J345" s="96">
        <v>2.5</v>
      </c>
      <c r="K345" s="132" t="str">
        <f>VLOOKUP($C345,Barem!$L$2:$R$13,7,0)</f>
        <v>P</v>
      </c>
      <c r="L345" s="103">
        <f t="shared" si="114"/>
        <v>0.25</v>
      </c>
      <c r="M345" s="103">
        <f t="shared" si="114"/>
        <v>0.25</v>
      </c>
      <c r="N345" s="103">
        <f t="shared" si="114"/>
        <v>0.5</v>
      </c>
      <c r="O345" s="104">
        <f t="shared" si="112"/>
        <v>0</v>
      </c>
      <c r="P345" s="105">
        <f>IF(D345&gt;21,VLOOKUP(D345,Barem!$T$1:$U$39,2,1),0)</f>
        <v>0</v>
      </c>
      <c r="Q345" s="106">
        <f>IF(D345&lt;1.609,0,IF(B345="F",VLOOKUP(G345,Barem!$X$2:$Z$13,2,1),VLOOKUP(G345,Barem!$X$14:$Z$25,2,1)))</f>
        <v>0</v>
      </c>
      <c r="R345" s="105">
        <f>VLOOKUP(A345,Participanti!A:C,3,0)</f>
        <v>0.75</v>
      </c>
      <c r="S345" s="107">
        <f t="shared" si="115"/>
        <v>2.75</v>
      </c>
      <c r="T345" s="108">
        <v>44050</v>
      </c>
      <c r="U345" s="101">
        <f>COUNTIFS(A:A,A345,C:C,C345)</f>
        <v>1</v>
      </c>
      <c r="V345" s="109">
        <f t="shared" si="116"/>
        <v>0.34375</v>
      </c>
      <c r="W345" s="110" t="str">
        <f>VLOOKUP(A345,Data_echipe!A:O,15,0)</f>
        <v>Tenchei</v>
      </c>
      <c r="X345" s="3">
        <f t="shared" si="113"/>
        <v>1</v>
      </c>
    </row>
    <row r="346" spans="1:24">
      <c r="A346" s="74" t="s">
        <v>6</v>
      </c>
      <c r="B346" s="24" t="str">
        <f>VLOOKUP(A346,Participanti!A:B,2,0)</f>
        <v>F</v>
      </c>
      <c r="C346" s="75">
        <v>11</v>
      </c>
      <c r="D346" s="76">
        <v>10.84</v>
      </c>
      <c r="E346" s="77">
        <v>3.5879629629629629E-2</v>
      </c>
      <c r="F346" s="78">
        <v>108</v>
      </c>
      <c r="G346" s="20">
        <f t="shared" si="111"/>
        <v>3.3099289326226594E-3</v>
      </c>
      <c r="H346" s="16">
        <f>IF(B346="F",IF(G346&gt;Barem!$AC$2,0,IF(B346="F",VLOOKUP(D346,Barem!$B$2:$C$11,2,1))),IF(G346&gt;Barem!$AC$3,0,VLOOKUP(D346,Barem!$B$12:$C$21,2,1)))</f>
        <v>2.5</v>
      </c>
      <c r="I346" s="16">
        <f>IF(H346=0,0,IF(B346="F",VLOOKUP(G346,Barem!$G$2:$H$11,2,1),VLOOKUP(G346,Barem!$G$12:$H$21,2,1)))</f>
        <v>4.5</v>
      </c>
      <c r="J346" s="75">
        <v>4</v>
      </c>
      <c r="K346" s="83" t="s">
        <v>183</v>
      </c>
      <c r="L346" s="17">
        <f t="shared" ref="L346:N361" si="121">IF($K346=L$1,50%,25%)</f>
        <v>0.25</v>
      </c>
      <c r="M346" s="17">
        <f t="shared" si="121"/>
        <v>0.5</v>
      </c>
      <c r="N346" s="17">
        <f t="shared" si="121"/>
        <v>0.25</v>
      </c>
      <c r="O346" s="81">
        <f t="shared" si="112"/>
        <v>7.1999999999999995E-2</v>
      </c>
      <c r="P346" s="36">
        <f>IF(D346&gt;21,VLOOKUP(D346,Barem!$T$1:$U$39,2,1),0)</f>
        <v>0</v>
      </c>
      <c r="Q346" s="32">
        <f>IF(D346&lt;1.609,0,IF(B346="F",VLOOKUP(G346,Barem!$X$2:$Z$13,2,1),VLOOKUP(G346,Barem!$X$14:$Z$25,2,1)))</f>
        <v>0</v>
      </c>
      <c r="R346" s="36">
        <f>VLOOKUP(A346,Participanti!A:C,3,0)</f>
        <v>0</v>
      </c>
      <c r="S346" s="29">
        <f t="shared" si="115"/>
        <v>3.9470000000000001</v>
      </c>
      <c r="T346" s="79">
        <v>44055</v>
      </c>
      <c r="U346" s="16">
        <f>COUNTIFS(A:A,A346,C:C,C346)</f>
        <v>1</v>
      </c>
      <c r="V346" s="34">
        <f t="shared" si="116"/>
        <v>0.36411439114391148</v>
      </c>
      <c r="W346" s="3" t="str">
        <f>VLOOKUP(A346,Data_echipe!A:O,15,0)</f>
        <v>Unicornii</v>
      </c>
      <c r="X346" s="3">
        <f t="shared" si="113"/>
        <v>1</v>
      </c>
    </row>
    <row r="347" spans="1:24">
      <c r="A347" s="74" t="s">
        <v>82</v>
      </c>
      <c r="B347" s="24" t="str">
        <f>VLOOKUP(A347,Participanti!A:B,2,0)</f>
        <v>M</v>
      </c>
      <c r="C347" s="75">
        <v>11</v>
      </c>
      <c r="D347" s="76">
        <v>5.18</v>
      </c>
      <c r="E347" s="77">
        <v>1.6736111111111111E-2</v>
      </c>
      <c r="F347" s="78">
        <v>21</v>
      </c>
      <c r="G347" s="20">
        <f t="shared" si="111"/>
        <v>3.2309094809094812E-3</v>
      </c>
      <c r="H347" s="16">
        <f>IF(B347="F",IF(G347&gt;Barem!$AC$2,0,IF(B347="F",VLOOKUP(D347,Barem!$B$2:$C$11,2,1))),IF(G347&gt;Barem!$AC$3,0,VLOOKUP(D347,Barem!$B$12:$C$21,2,1)))</f>
        <v>1.5</v>
      </c>
      <c r="I347" s="16">
        <f>IF(H347=0,0,IF(B347="F",VLOOKUP(G347,Barem!$G$2:$H$11,2,1),VLOOKUP(G347,Barem!$G$12:$H$21,2,1)))</f>
        <v>3.5</v>
      </c>
      <c r="J347" s="75">
        <v>3</v>
      </c>
      <c r="K347" s="83" t="s">
        <v>183</v>
      </c>
      <c r="L347" s="17">
        <f t="shared" si="121"/>
        <v>0.25</v>
      </c>
      <c r="M347" s="17">
        <f t="shared" si="121"/>
        <v>0.5</v>
      </c>
      <c r="N347" s="17">
        <f t="shared" si="121"/>
        <v>0.25</v>
      </c>
      <c r="O347" s="81">
        <f t="shared" si="112"/>
        <v>0</v>
      </c>
      <c r="P347" s="36">
        <f>IF(D347&gt;21,VLOOKUP(D347,Barem!$T$1:$U$39,2,1),0)</f>
        <v>0</v>
      </c>
      <c r="Q347" s="32">
        <f>IF(D347&lt;1.609,0,IF(B347="F",VLOOKUP(G347,Barem!$X$2:$Z$13,2,1),VLOOKUP(G347,Barem!$X$14:$Z$25,2,1)))</f>
        <v>0</v>
      </c>
      <c r="R347" s="36">
        <f>VLOOKUP(A347,Participanti!A:C,3,0)</f>
        <v>0</v>
      </c>
      <c r="S347" s="29">
        <f t="shared" si="115"/>
        <v>2.875</v>
      </c>
      <c r="T347" s="79">
        <v>44059</v>
      </c>
      <c r="U347" s="16">
        <v>0</v>
      </c>
      <c r="V347" s="34">
        <f t="shared" si="116"/>
        <v>0.55501930501930508</v>
      </c>
      <c r="W347" s="3" t="str">
        <f>VLOOKUP(A347,Data_echipe!A:O,15,0)</f>
        <v xml:space="preserve"> Let it run</v>
      </c>
      <c r="X347" s="3">
        <f t="shared" si="113"/>
        <v>1</v>
      </c>
    </row>
    <row r="348" spans="1:24">
      <c r="A348" s="74" t="s">
        <v>115</v>
      </c>
      <c r="B348" s="24" t="str">
        <f>VLOOKUP(A348,Participanti!A:B,2,0)</f>
        <v>M</v>
      </c>
      <c r="C348" s="75">
        <v>11</v>
      </c>
      <c r="D348" s="76">
        <v>33.57</v>
      </c>
      <c r="E348" s="77">
        <v>0.24748842592592593</v>
      </c>
      <c r="F348" s="78">
        <v>758</v>
      </c>
      <c r="G348" s="20">
        <f t="shared" ref="G348:G380" si="122">E348/D348</f>
        <v>7.3723093811714603E-3</v>
      </c>
      <c r="H348" s="16">
        <f>IF(B348="F",IF(G348&gt;Barem!$AC$2,0,IF(B348="F",VLOOKUP(D348,Barem!$B$2:$C$11,2,1))),IF(G348&gt;Barem!$AC$3,0,VLOOKUP(D348,Barem!$B$12:$C$21,2,1)))</f>
        <v>5</v>
      </c>
      <c r="I348" s="16">
        <f>IF(H348=0,0,IF(B348="F",VLOOKUP(G348,Barem!$G$2:$H$11,2,1),VLOOKUP(G348,Barem!$G$12:$H$21,2,1)))</f>
        <v>0</v>
      </c>
      <c r="J348" s="75">
        <v>4</v>
      </c>
      <c r="K348" s="82" t="str">
        <f>VLOOKUP($C348,Barem!$L$2:$R$13,7,0)</f>
        <v>D</v>
      </c>
      <c r="L348" s="17">
        <f t="shared" si="121"/>
        <v>0.5</v>
      </c>
      <c r="M348" s="17">
        <f t="shared" si="121"/>
        <v>0.25</v>
      </c>
      <c r="N348" s="17">
        <f t="shared" si="121"/>
        <v>0.25</v>
      </c>
      <c r="O348" s="81">
        <f t="shared" ref="O348:O380" si="123">IF(F348&lt;-49,F348/1500,IF(F348&gt;99,F348/1500,0))</f>
        <v>0.5053333333333333</v>
      </c>
      <c r="P348" s="36">
        <f>IF(D348&gt;21,VLOOKUP(D348,Barem!$T$1:$U$39,2,1),0)</f>
        <v>0.2</v>
      </c>
      <c r="Q348" s="32">
        <f>IF(D348&lt;1.609,0,IF(B348="F",VLOOKUP(G348,Barem!$X$2:$Z$13,2,1),VLOOKUP(G348,Barem!$X$14:$Z$25,2,1)))</f>
        <v>0</v>
      </c>
      <c r="R348" s="36">
        <f>VLOOKUP(A348,Participanti!A:C,3,0)</f>
        <v>0.5</v>
      </c>
      <c r="S348" s="29">
        <f t="shared" si="115"/>
        <v>4.7053333333333338</v>
      </c>
      <c r="T348" s="79">
        <v>44058</v>
      </c>
      <c r="U348" s="16">
        <v>1</v>
      </c>
      <c r="V348" s="34">
        <f t="shared" si="116"/>
        <v>0.14016482970906566</v>
      </c>
      <c r="W348" s="3" t="str">
        <f>VLOOKUP(A348,Data_echipe!A:O,15,0)</f>
        <v xml:space="preserve"> Let it run</v>
      </c>
      <c r="X348" s="3">
        <f t="shared" si="113"/>
        <v>0</v>
      </c>
    </row>
    <row r="349" spans="1:24">
      <c r="A349" s="74" t="s">
        <v>8</v>
      </c>
      <c r="B349" s="24" t="str">
        <f>VLOOKUP(A349,Participanti!A:B,2,0)</f>
        <v>M</v>
      </c>
      <c r="C349" s="75">
        <v>11</v>
      </c>
      <c r="D349" s="76">
        <v>7.99</v>
      </c>
      <c r="E349" s="77">
        <v>2.946759259259259E-2</v>
      </c>
      <c r="F349" s="78">
        <v>12</v>
      </c>
      <c r="G349" s="20">
        <f t="shared" si="122"/>
        <v>3.6880591480090851E-3</v>
      </c>
      <c r="H349" s="16">
        <f>IF(B349="F",IF(G349&gt;Barem!$AC$2,0,IF(B349="F",VLOOKUP(D349,Barem!$B$2:$C$11,2,1))),IF(G349&gt;Barem!$AC$3,0,VLOOKUP(D349,Barem!$B$12:$C$21,2,1)))</f>
        <v>2</v>
      </c>
      <c r="I349" s="16">
        <f>IF(H349=0,0,IF(B349="F",VLOOKUP(G349,Barem!$G$2:$H$11,2,1),VLOOKUP(G349,Barem!$G$12:$H$21,2,1)))</f>
        <v>2</v>
      </c>
      <c r="J349" s="75">
        <v>2.5</v>
      </c>
      <c r="K349" s="83" t="s">
        <v>183</v>
      </c>
      <c r="L349" s="17">
        <f t="shared" si="121"/>
        <v>0.25</v>
      </c>
      <c r="M349" s="17">
        <f t="shared" si="121"/>
        <v>0.5</v>
      </c>
      <c r="N349" s="17">
        <f t="shared" si="121"/>
        <v>0.25</v>
      </c>
      <c r="O349" s="81">
        <f t="shared" si="123"/>
        <v>0</v>
      </c>
      <c r="P349" s="36">
        <f>IF(D349&gt;21,VLOOKUP(D349,Barem!$T$1:$U$39,2,1),0)</f>
        <v>0</v>
      </c>
      <c r="Q349" s="32">
        <f>IF(D349&lt;1.609,0,IF(B349="F",VLOOKUP(G349,Barem!$X$2:$Z$13,2,1),VLOOKUP(G349,Barem!$X$14:$Z$25,2,1)))</f>
        <v>0</v>
      </c>
      <c r="R349" s="36">
        <f>VLOOKUP(A349,Participanti!A:C,3,0)</f>
        <v>0</v>
      </c>
      <c r="S349" s="29">
        <f t="shared" si="115"/>
        <v>2.125</v>
      </c>
      <c r="T349" s="79">
        <v>44056</v>
      </c>
      <c r="U349" s="16">
        <f>COUNTIFS(A:A,A349,C:C,C349)</f>
        <v>1</v>
      </c>
      <c r="V349" s="34">
        <f t="shared" si="116"/>
        <v>0.26595744680851063</v>
      </c>
      <c r="W349" s="3" t="str">
        <f>VLOOKUP(A349,Data_echipe!A:O,15,0)</f>
        <v xml:space="preserve"> Let it run</v>
      </c>
      <c r="X349" s="3">
        <f t="shared" si="113"/>
        <v>1</v>
      </c>
    </row>
    <row r="350" spans="1:24">
      <c r="A350" s="74" t="s">
        <v>131</v>
      </c>
      <c r="B350" s="24" t="str">
        <f>VLOOKUP(A350,Participanti!A:B,2,0)</f>
        <v>M</v>
      </c>
      <c r="C350" s="75">
        <v>11</v>
      </c>
      <c r="D350" s="76">
        <v>5</v>
      </c>
      <c r="E350" s="77">
        <v>1.861111111111111E-2</v>
      </c>
      <c r="F350" s="78">
        <v>0</v>
      </c>
      <c r="G350" s="20">
        <f t="shared" si="122"/>
        <v>3.7222222222222218E-3</v>
      </c>
      <c r="H350" s="16">
        <f>IF(B350="F",IF(G350&gt;Barem!$AC$2,0,IF(B350="F",VLOOKUP(D350,Barem!$B$2:$C$11,2,1))),IF(G350&gt;Barem!$AC$3,0,VLOOKUP(D350,Barem!$B$12:$C$21,2,1)))</f>
        <v>1.5</v>
      </c>
      <c r="I350" s="16">
        <f>IF(H350=0,0,IF(B350="F",VLOOKUP(G350,Barem!$G$2:$H$11,2,1),VLOOKUP(G350,Barem!$G$12:$H$21,2,1)))</f>
        <v>2</v>
      </c>
      <c r="J350" s="75">
        <v>2</v>
      </c>
      <c r="K350" s="83" t="s">
        <v>183</v>
      </c>
      <c r="L350" s="17">
        <f t="shared" si="121"/>
        <v>0.25</v>
      </c>
      <c r="M350" s="17">
        <f t="shared" si="121"/>
        <v>0.5</v>
      </c>
      <c r="N350" s="17">
        <f t="shared" si="121"/>
        <v>0.25</v>
      </c>
      <c r="O350" s="81">
        <f t="shared" si="123"/>
        <v>0</v>
      </c>
      <c r="P350" s="36">
        <f>IF(D350&gt;21,VLOOKUP(D350,Barem!$T$1:$U$39,2,1),0)</f>
        <v>0</v>
      </c>
      <c r="Q350" s="32">
        <f>IF(D350&lt;1.609,0,IF(B350="F",VLOOKUP(G350,Barem!$X$2:$Z$13,2,1),VLOOKUP(G350,Barem!$X$14:$Z$25,2,1)))</f>
        <v>0</v>
      </c>
      <c r="R350" s="36">
        <f>VLOOKUP(A350,Participanti!A:C,3,0)</f>
        <v>0</v>
      </c>
      <c r="S350" s="29">
        <f t="shared" si="115"/>
        <v>1.875</v>
      </c>
      <c r="T350" s="79">
        <v>44056</v>
      </c>
      <c r="U350" s="16">
        <f>COUNTIFS(A:A,A350,C:C,C350)</f>
        <v>1</v>
      </c>
      <c r="V350" s="34">
        <f t="shared" si="116"/>
        <v>0.375</v>
      </c>
      <c r="W350" s="3" t="str">
        <f>VLOOKUP(A350,Data_echipe!A:O,15,0)</f>
        <v xml:space="preserve"> Let it run</v>
      </c>
      <c r="X350" s="3">
        <f t="shared" si="113"/>
        <v>1</v>
      </c>
    </row>
    <row r="351" spans="1:24">
      <c r="A351" s="74" t="s">
        <v>50</v>
      </c>
      <c r="B351" s="24" t="str">
        <f>VLOOKUP(A351,Participanti!A:B,2,0)</f>
        <v>F</v>
      </c>
      <c r="C351" s="75">
        <v>11</v>
      </c>
      <c r="D351" s="76">
        <v>7.9</v>
      </c>
      <c r="E351" s="77">
        <v>3.2696759259259259E-2</v>
      </c>
      <c r="F351" s="78">
        <v>48</v>
      </c>
      <c r="G351" s="20">
        <f t="shared" si="122"/>
        <v>4.1388302859821846E-3</v>
      </c>
      <c r="H351" s="16">
        <f>IF(B351="F",IF(G351&gt;Barem!$AC$2,0,IF(B351="F",VLOOKUP(D351,Barem!$B$2:$C$11,2,1))),IF(G351&gt;Barem!$AC$3,0,VLOOKUP(D351,Barem!$B$12:$C$21,2,1)))</f>
        <v>2</v>
      </c>
      <c r="I351" s="16">
        <f>IF(H351=0,0,IF(B351="F",VLOOKUP(G351,Barem!$G$2:$H$11,2,1),VLOOKUP(G351,Barem!$G$12:$H$21,2,1)))</f>
        <v>2</v>
      </c>
      <c r="J351" s="75">
        <v>3</v>
      </c>
      <c r="K351" s="83" t="s">
        <v>183</v>
      </c>
      <c r="L351" s="17">
        <f t="shared" si="121"/>
        <v>0.25</v>
      </c>
      <c r="M351" s="17">
        <f t="shared" si="121"/>
        <v>0.5</v>
      </c>
      <c r="N351" s="17">
        <f t="shared" si="121"/>
        <v>0.25</v>
      </c>
      <c r="O351" s="81">
        <f t="shared" si="123"/>
        <v>0</v>
      </c>
      <c r="P351" s="36">
        <f>IF(D351&gt;21,VLOOKUP(D351,Barem!$T$1:$U$39,2,1),0)</f>
        <v>0</v>
      </c>
      <c r="Q351" s="32">
        <f>IF(D351&lt;1.609,0,IF(B351="F",VLOOKUP(G351,Barem!$X$2:$Z$13,2,1),VLOOKUP(G351,Barem!$X$14:$Z$25,2,1)))</f>
        <v>0</v>
      </c>
      <c r="R351" s="36">
        <f>VLOOKUP(A351,Participanti!A:C,3,0)</f>
        <v>0</v>
      </c>
      <c r="S351" s="29">
        <f t="shared" si="115"/>
        <v>2.25</v>
      </c>
      <c r="T351" s="79">
        <v>44054</v>
      </c>
      <c r="U351" s="16">
        <f>COUNTIFS(A:A,A351,C:C,C351)</f>
        <v>1</v>
      </c>
      <c r="V351" s="34">
        <f t="shared" si="116"/>
        <v>0.28481012658227844</v>
      </c>
      <c r="W351" s="3" t="str">
        <f>VLOOKUP(A351,Data_echipe!A:O,15,0)</f>
        <v>Serioranistii</v>
      </c>
      <c r="X351" s="3">
        <f t="shared" si="113"/>
        <v>1</v>
      </c>
    </row>
    <row r="352" spans="1:24">
      <c r="A352" s="74" t="s">
        <v>209</v>
      </c>
      <c r="B352" s="24" t="str">
        <f>VLOOKUP(A352,Participanti!A:B,2,0)</f>
        <v>M</v>
      </c>
      <c r="C352" s="75">
        <v>11</v>
      </c>
      <c r="D352" s="76">
        <v>12.45</v>
      </c>
      <c r="E352" s="77">
        <v>4.3645833333333335E-2</v>
      </c>
      <c r="F352" s="78">
        <v>101</v>
      </c>
      <c r="G352" s="20">
        <f t="shared" si="122"/>
        <v>3.5056894243641235E-3</v>
      </c>
      <c r="H352" s="16">
        <f>IF(B352="F",IF(G352&gt;Barem!$AC$2,0,IF(B352="F",VLOOKUP(D352,Barem!$B$2:$C$11,2,1))),IF(G352&gt;Barem!$AC$3,0,VLOOKUP(D352,Barem!$B$12:$C$21,2,1)))</f>
        <v>3</v>
      </c>
      <c r="I352" s="16">
        <f>IF(H352=0,0,IF(B352="F",VLOOKUP(G352,Barem!$G$2:$H$11,2,1),VLOOKUP(G352,Barem!$G$12:$H$21,2,1)))</f>
        <v>2.5</v>
      </c>
      <c r="J352" s="75">
        <v>4</v>
      </c>
      <c r="K352" s="83" t="s">
        <v>184</v>
      </c>
      <c r="L352" s="17">
        <f t="shared" si="121"/>
        <v>0.25</v>
      </c>
      <c r="M352" s="17">
        <f t="shared" si="121"/>
        <v>0.25</v>
      </c>
      <c r="N352" s="17">
        <f t="shared" si="121"/>
        <v>0.5</v>
      </c>
      <c r="O352" s="81">
        <f t="shared" si="123"/>
        <v>6.7333333333333328E-2</v>
      </c>
      <c r="P352" s="36">
        <f>IF(D352&gt;21,VLOOKUP(D352,Barem!$T$1:$U$39,2,1),0)</f>
        <v>0</v>
      </c>
      <c r="Q352" s="32">
        <f>IF(D352&lt;1.609,0,IF(B352="F",VLOOKUP(G352,Barem!$X$2:$Z$13,2,1),VLOOKUP(G352,Barem!$X$14:$Z$25,2,1)))</f>
        <v>0</v>
      </c>
      <c r="R352" s="36">
        <f>VLOOKUP(A352,Participanti!A:C,3,0)</f>
        <v>0</v>
      </c>
      <c r="S352" s="29">
        <f t="shared" si="115"/>
        <v>3.4423333333333335</v>
      </c>
      <c r="T352" s="79">
        <v>44058</v>
      </c>
      <c r="U352" s="16">
        <f>COUNTIFS(A:A,A352,C:C,C352)</f>
        <v>1</v>
      </c>
      <c r="V352" s="34">
        <f t="shared" si="116"/>
        <v>0.2764926372155288</v>
      </c>
      <c r="W352" s="3" t="str">
        <f>VLOOKUP(A352,Data_echipe!A:O,15,0)</f>
        <v>Serioranistii</v>
      </c>
      <c r="X352" s="3">
        <f t="shared" si="113"/>
        <v>1</v>
      </c>
    </row>
    <row r="353" spans="1:24">
      <c r="A353" s="74" t="s">
        <v>210</v>
      </c>
      <c r="B353" s="24" t="str">
        <f>VLOOKUP(A353,Participanti!A:B,2,0)</f>
        <v>F</v>
      </c>
      <c r="C353" s="75">
        <v>11</v>
      </c>
      <c r="D353" s="76">
        <v>5</v>
      </c>
      <c r="E353" s="77">
        <v>2.0300925925925927E-2</v>
      </c>
      <c r="F353" s="78">
        <v>0</v>
      </c>
      <c r="G353" s="20">
        <f t="shared" si="122"/>
        <v>4.0601851851851858E-3</v>
      </c>
      <c r="H353" s="16">
        <f>IF(B353="F",IF(G353&gt;Barem!$AC$2,0,IF(B353="F",VLOOKUP(D353,Barem!$B$2:$C$11,2,1))),IF(G353&gt;Barem!$AC$3,0,VLOOKUP(D353,Barem!$B$12:$C$21,2,1)))</f>
        <v>1.5</v>
      </c>
      <c r="I353" s="16">
        <f>IF(H353=0,0,IF(B353="F",VLOOKUP(G353,Barem!$G$2:$H$11,2,1),VLOOKUP(G353,Barem!$G$12:$H$21,2,1)))</f>
        <v>2</v>
      </c>
      <c r="J353" s="75">
        <v>3.5</v>
      </c>
      <c r="K353" s="82" t="str">
        <f>VLOOKUP($C353,Barem!$L$2:$R$13,7,0)</f>
        <v>D</v>
      </c>
      <c r="L353" s="17">
        <f t="shared" si="121"/>
        <v>0.5</v>
      </c>
      <c r="M353" s="17">
        <f t="shared" si="121"/>
        <v>0.25</v>
      </c>
      <c r="N353" s="17">
        <f t="shared" si="121"/>
        <v>0.25</v>
      </c>
      <c r="O353" s="81">
        <f t="shared" si="123"/>
        <v>0</v>
      </c>
      <c r="P353" s="36">
        <f>IF(D353&gt;21,VLOOKUP(D353,Barem!$T$1:$U$39,2,1),0)</f>
        <v>0</v>
      </c>
      <c r="Q353" s="32">
        <f>IF(D353&lt;1.609,0,IF(B353="F",VLOOKUP(G353,Barem!$X$2:$Z$13,2,1),VLOOKUP(G353,Barem!$X$14:$Z$25,2,1)))</f>
        <v>0</v>
      </c>
      <c r="R353" s="36">
        <f>VLOOKUP(A353,Participanti!A:C,3,0)</f>
        <v>0</v>
      </c>
      <c r="S353" s="29">
        <f t="shared" si="115"/>
        <v>2.125</v>
      </c>
      <c r="T353" s="79">
        <v>44059</v>
      </c>
      <c r="U353" s="16">
        <f>COUNTIFS(A:A,A353,C:C,C353)</f>
        <v>1</v>
      </c>
      <c r="V353" s="34">
        <f t="shared" si="116"/>
        <v>0.42499999999999999</v>
      </c>
      <c r="W353" s="3" t="str">
        <f>VLOOKUP(A353,Data_echipe!A:O,15,0)</f>
        <v>X Æ A-12</v>
      </c>
      <c r="X353" s="3">
        <f t="shared" si="113"/>
        <v>1</v>
      </c>
    </row>
    <row r="354" spans="1:24">
      <c r="A354" s="74" t="s">
        <v>66</v>
      </c>
      <c r="B354" s="24" t="str">
        <f>VLOOKUP(A354,Participanti!A:B,2,0)</f>
        <v>M</v>
      </c>
      <c r="C354" s="75">
        <v>11</v>
      </c>
      <c r="D354" s="76">
        <v>27.36</v>
      </c>
      <c r="E354" s="77">
        <v>0.10689814814814814</v>
      </c>
      <c r="F354" s="78">
        <v>52</v>
      </c>
      <c r="G354" s="20">
        <f t="shared" si="122"/>
        <v>3.9070960580463504E-3</v>
      </c>
      <c r="H354" s="16">
        <f>IF(B354="F",IF(G354&gt;Barem!$AC$2,0,IF(B354="F",VLOOKUP(D354,Barem!$B$2:$C$11,2,1))),IF(G354&gt;Barem!$AC$3,0,VLOOKUP(D354,Barem!$B$12:$C$21,2,1)))</f>
        <v>5</v>
      </c>
      <c r="I354" s="16">
        <f>IF(H354=0,0,IF(B354="F",VLOOKUP(G354,Barem!$G$2:$H$11,2,1),VLOOKUP(G354,Barem!$G$12:$H$21,2,1)))</f>
        <v>1.5</v>
      </c>
      <c r="J354" s="75">
        <v>3</v>
      </c>
      <c r="K354" s="82" t="str">
        <f>VLOOKUP($C354,Barem!$L$2:$R$13,7,0)</f>
        <v>D</v>
      </c>
      <c r="L354" s="17">
        <f t="shared" si="121"/>
        <v>0.5</v>
      </c>
      <c r="M354" s="17">
        <f t="shared" si="121"/>
        <v>0.25</v>
      </c>
      <c r="N354" s="17">
        <f t="shared" si="121"/>
        <v>0.25</v>
      </c>
      <c r="O354" s="81">
        <f t="shared" si="123"/>
        <v>0</v>
      </c>
      <c r="P354" s="36">
        <f>IF(D354&gt;21,VLOOKUP(D354,Barem!$T$1:$U$39,2,1),0)</f>
        <v>0.1</v>
      </c>
      <c r="Q354" s="32">
        <f>IF(D354&lt;1.609,0,IF(B354="F",VLOOKUP(G354,Barem!$X$2:$Z$13,2,1),VLOOKUP(G354,Barem!$X$14:$Z$25,2,1)))</f>
        <v>0</v>
      </c>
      <c r="R354" s="36">
        <f>VLOOKUP(A354,Participanti!A:C,3,0)</f>
        <v>0</v>
      </c>
      <c r="S354" s="29">
        <f t="shared" si="115"/>
        <v>3.7250000000000001</v>
      </c>
      <c r="T354" s="79">
        <v>44058</v>
      </c>
      <c r="U354" s="16">
        <f>COUNTIFS(A:A,A354,C:C,C354)</f>
        <v>1</v>
      </c>
      <c r="V354" s="34">
        <f t="shared" si="116"/>
        <v>0.13614766081871346</v>
      </c>
      <c r="W354" s="3" t="str">
        <f>VLOOKUP(A354,Data_echipe!A:O,15,0)</f>
        <v>X Æ A-12</v>
      </c>
      <c r="X354" s="3">
        <f t="shared" si="113"/>
        <v>1</v>
      </c>
    </row>
    <row r="355" spans="1:24">
      <c r="A355" s="74" t="s">
        <v>208</v>
      </c>
      <c r="B355" s="24" t="str">
        <f>VLOOKUP(A355,Participanti!A:B,2,0)</f>
        <v>M</v>
      </c>
      <c r="C355" s="75">
        <v>11</v>
      </c>
      <c r="D355" s="76">
        <v>21.14</v>
      </c>
      <c r="E355" s="77">
        <v>7.4976851851851864E-2</v>
      </c>
      <c r="F355" s="78">
        <v>51</v>
      </c>
      <c r="G355" s="20">
        <f t="shared" si="122"/>
        <v>3.5466817337678268E-3</v>
      </c>
      <c r="H355" s="16">
        <f>IF(B355="F",IF(G355&gt;Barem!$AC$2,0,IF(B355="F",VLOOKUP(D355,Barem!$B$2:$C$11,2,1))),IF(G355&gt;Barem!$AC$3,0,VLOOKUP(D355,Barem!$B$12:$C$21,2,1)))</f>
        <v>5</v>
      </c>
      <c r="I355" s="16">
        <f>IF(H355=0,0,IF(B355="F",VLOOKUP(G355,Barem!$G$2:$H$11,2,1),VLOOKUP(G355,Barem!$G$12:$H$21,2,1)))</f>
        <v>2.5</v>
      </c>
      <c r="J355" s="75">
        <v>3.5</v>
      </c>
      <c r="K355" s="83" t="s">
        <v>183</v>
      </c>
      <c r="L355" s="17">
        <f t="shared" si="121"/>
        <v>0.25</v>
      </c>
      <c r="M355" s="17">
        <f t="shared" si="121"/>
        <v>0.5</v>
      </c>
      <c r="N355" s="17">
        <f t="shared" si="121"/>
        <v>0.25</v>
      </c>
      <c r="O355" s="81">
        <f t="shared" si="123"/>
        <v>0</v>
      </c>
      <c r="P355" s="36">
        <f>IF(D355&gt;21,VLOOKUP(D355,Barem!$T$1:$U$39,2,1),0)</f>
        <v>0</v>
      </c>
      <c r="Q355" s="32">
        <f>IF(D355&lt;1.609,0,IF(B355="F",VLOOKUP(G355,Barem!$X$2:$Z$13,2,1),VLOOKUP(G355,Barem!$X$14:$Z$25,2,1)))</f>
        <v>0</v>
      </c>
      <c r="R355" s="36">
        <f>VLOOKUP(A355,Participanti!A:C,3,0)</f>
        <v>0</v>
      </c>
      <c r="S355" s="29">
        <f t="shared" si="115"/>
        <v>3.375</v>
      </c>
      <c r="T355" s="79">
        <v>44055</v>
      </c>
      <c r="U355" s="16">
        <f>COUNTIFS(A:A,A355,C:C,C355)</f>
        <v>1</v>
      </c>
      <c r="V355" s="34">
        <f t="shared" si="116"/>
        <v>0.1596499526963103</v>
      </c>
      <c r="W355" s="3" t="str">
        <f>VLOOKUP(A355,Data_echipe!A:O,15,0)</f>
        <v xml:space="preserve"> Let it run</v>
      </c>
      <c r="X355" s="3">
        <f t="shared" si="113"/>
        <v>1</v>
      </c>
    </row>
    <row r="356" spans="1:24">
      <c r="A356" s="74" t="s">
        <v>169</v>
      </c>
      <c r="B356" s="24" t="str">
        <f>VLOOKUP(A356,Participanti!A:B,2,0)</f>
        <v>F</v>
      </c>
      <c r="C356" s="75">
        <v>11</v>
      </c>
      <c r="D356" s="76">
        <v>20.3</v>
      </c>
      <c r="E356" s="77">
        <v>0.12506944444444443</v>
      </c>
      <c r="F356" s="78">
        <v>84</v>
      </c>
      <c r="G356" s="20">
        <f t="shared" si="122"/>
        <v>6.1610563765736167E-3</v>
      </c>
      <c r="H356" s="16">
        <f>IF(B356="F",IF(G356&gt;Barem!$AC$2,0,IF(B356="F",VLOOKUP(D356,Barem!$B$2:$C$11,2,1))),IF(G356&gt;Barem!$AC$3,0,VLOOKUP(D356,Barem!$B$12:$C$21,2,1)))</f>
        <v>5</v>
      </c>
      <c r="I356" s="16">
        <f>IF(H356=0,0,IF(B356="F",VLOOKUP(G356,Barem!$G$2:$H$11,2,1),VLOOKUP(G356,Barem!$G$12:$H$21,2,1)))</f>
        <v>1</v>
      </c>
      <c r="J356" s="75">
        <v>1</v>
      </c>
      <c r="K356" s="82" t="str">
        <f>VLOOKUP($C356,Barem!$L$2:$R$13,7,0)</f>
        <v>D</v>
      </c>
      <c r="L356" s="17">
        <f t="shared" si="121"/>
        <v>0.5</v>
      </c>
      <c r="M356" s="17">
        <f t="shared" si="121"/>
        <v>0.25</v>
      </c>
      <c r="N356" s="17">
        <f t="shared" si="121"/>
        <v>0.25</v>
      </c>
      <c r="O356" s="81">
        <f t="shared" si="123"/>
        <v>0</v>
      </c>
      <c r="P356" s="36">
        <f>IF(D356&gt;21,VLOOKUP(D356,Barem!$T$1:$U$39,2,1),0)</f>
        <v>0</v>
      </c>
      <c r="Q356" s="32">
        <f>IF(D356&lt;1.609,0,IF(B356="F",VLOOKUP(G356,Barem!$X$2:$Z$13,2,1),VLOOKUP(G356,Barem!$X$14:$Z$25,2,1)))</f>
        <v>0</v>
      </c>
      <c r="R356" s="36">
        <f>VLOOKUP(A356,Participanti!A:C,3,0)</f>
        <v>0.5</v>
      </c>
      <c r="S356" s="29">
        <f t="shared" si="115"/>
        <v>3.5</v>
      </c>
      <c r="T356" s="79">
        <v>44054</v>
      </c>
      <c r="U356" s="16">
        <f>COUNTIFS(A:A,A356,C:C,C356)</f>
        <v>1</v>
      </c>
      <c r="V356" s="34">
        <f t="shared" si="116"/>
        <v>0.17241379310344826</v>
      </c>
      <c r="W356" s="3" t="str">
        <f>VLOOKUP(A356,Data_echipe!A:O,15,0)</f>
        <v>Serioranistii</v>
      </c>
      <c r="X356" s="3">
        <f t="shared" si="113"/>
        <v>1</v>
      </c>
    </row>
    <row r="357" spans="1:24">
      <c r="A357" s="74" t="s">
        <v>53</v>
      </c>
      <c r="B357" s="24" t="str">
        <f>VLOOKUP(A357,Participanti!A:B,2,0)</f>
        <v>M</v>
      </c>
      <c r="C357" s="75">
        <v>11</v>
      </c>
      <c r="D357" s="76">
        <v>12.36</v>
      </c>
      <c r="E357" s="77">
        <v>4.1956018518518517E-2</v>
      </c>
      <c r="F357" s="78">
        <v>130</v>
      </c>
      <c r="G357" s="20">
        <f t="shared" si="122"/>
        <v>3.3944998801390389E-3</v>
      </c>
      <c r="H357" s="16">
        <f>IF(B357="F",IF(G357&gt;Barem!$AC$2,0,IF(B357="F",VLOOKUP(D357,Barem!$B$2:$C$11,2,1))),IF(G357&gt;Barem!$AC$3,0,VLOOKUP(D357,Barem!$B$12:$C$21,2,1)))</f>
        <v>3</v>
      </c>
      <c r="I357" s="16">
        <f>IF(H357=0,0,IF(B357="F",VLOOKUP(G357,Barem!$G$2:$H$11,2,1),VLOOKUP(G357,Barem!$G$12:$H$21,2,1)))</f>
        <v>3</v>
      </c>
      <c r="J357" s="75">
        <v>1</v>
      </c>
      <c r="K357" s="82" t="str">
        <f>VLOOKUP($C357,Barem!$L$2:$R$13,7,0)</f>
        <v>D</v>
      </c>
      <c r="L357" s="17">
        <f t="shared" si="121"/>
        <v>0.5</v>
      </c>
      <c r="M357" s="17">
        <f t="shared" si="121"/>
        <v>0.25</v>
      </c>
      <c r="N357" s="17">
        <f t="shared" si="121"/>
        <v>0.25</v>
      </c>
      <c r="O357" s="81">
        <f t="shared" si="123"/>
        <v>8.666666666666667E-2</v>
      </c>
      <c r="P357" s="36">
        <f>IF(D357&gt;21,VLOOKUP(D357,Barem!$T$1:$U$39,2,1),0)</f>
        <v>0</v>
      </c>
      <c r="Q357" s="32">
        <f>IF(D357&lt;1.609,0,IF(B357="F",VLOOKUP(G357,Barem!$X$2:$Z$13,2,1),VLOOKUP(G357,Barem!$X$14:$Z$25,2,1)))</f>
        <v>0</v>
      </c>
      <c r="R357" s="36">
        <f>VLOOKUP(A357,Participanti!A:C,3,0)</f>
        <v>0</v>
      </c>
      <c r="S357" s="29">
        <f t="shared" si="115"/>
        <v>2.5866666666666669</v>
      </c>
      <c r="T357" s="79">
        <v>44056</v>
      </c>
      <c r="U357" s="16">
        <f>COUNTIFS(A:A,A357,C:C,C357)</f>
        <v>1</v>
      </c>
      <c r="V357" s="34">
        <f t="shared" si="116"/>
        <v>0.20927723840345203</v>
      </c>
      <c r="W357" s="3" t="str">
        <f>VLOOKUP(A357,Data_echipe!A:O,15,0)</f>
        <v>Tenchei</v>
      </c>
      <c r="X357" s="3">
        <f t="shared" si="113"/>
        <v>1</v>
      </c>
    </row>
    <row r="358" spans="1:24">
      <c r="A358" s="74" t="s">
        <v>62</v>
      </c>
      <c r="B358" s="24" t="str">
        <f>VLOOKUP(A358,Participanti!A:B,2,0)</f>
        <v>M</v>
      </c>
      <c r="C358" s="75">
        <v>11</v>
      </c>
      <c r="D358" s="76">
        <v>3.02</v>
      </c>
      <c r="E358" s="77">
        <v>8.8888888888888889E-3</v>
      </c>
      <c r="F358" s="78">
        <v>13</v>
      </c>
      <c r="G358" s="20">
        <f t="shared" si="122"/>
        <v>2.9433406916850625E-3</v>
      </c>
      <c r="H358" s="16">
        <f>IF(B358="F",IF(G358&gt;Barem!$AC$2,0,IF(B358="F",VLOOKUP(D358,Barem!$B$2:$C$11,2,1))),IF(G358&gt;Barem!$AC$3,0,VLOOKUP(D358,Barem!$B$12:$C$21,2,1)))</f>
        <v>1</v>
      </c>
      <c r="I358" s="16">
        <f>IF(H358=0,0,IF(B358="F",VLOOKUP(G358,Barem!$G$2:$H$11,2,1),VLOOKUP(G358,Barem!$G$12:$H$21,2,1)))</f>
        <v>4.5</v>
      </c>
      <c r="J358" s="75">
        <v>3</v>
      </c>
      <c r="K358" s="83" t="s">
        <v>183</v>
      </c>
      <c r="L358" s="17">
        <f t="shared" si="121"/>
        <v>0.25</v>
      </c>
      <c r="M358" s="17">
        <f t="shared" si="121"/>
        <v>0.5</v>
      </c>
      <c r="N358" s="17">
        <f t="shared" si="121"/>
        <v>0.25</v>
      </c>
      <c r="O358" s="81">
        <f t="shared" si="123"/>
        <v>0</v>
      </c>
      <c r="P358" s="36">
        <f>IF(D358&gt;21,VLOOKUP(D358,Barem!$T$1:$U$39,2,1),0)</f>
        <v>0</v>
      </c>
      <c r="Q358" s="32">
        <f>IF(D358&lt;1.609,0,IF(B358="F",VLOOKUP(G358,Barem!$X$2:$Z$13,2,1),VLOOKUP(G358,Barem!$X$14:$Z$25,2,1)))</f>
        <v>0</v>
      </c>
      <c r="R358" s="36">
        <f>VLOOKUP(A358,Participanti!A:C,3,0)</f>
        <v>0</v>
      </c>
      <c r="S358" s="29">
        <f t="shared" si="115"/>
        <v>3.25</v>
      </c>
      <c r="T358" s="79">
        <v>44059</v>
      </c>
      <c r="U358" s="16">
        <f>COUNTIFS(A:A,A358,C:C,C358)</f>
        <v>1</v>
      </c>
      <c r="V358" s="34">
        <f t="shared" si="116"/>
        <v>1.076158940397351</v>
      </c>
      <c r="W358" s="3" t="str">
        <f>VLOOKUP(A358,Data_echipe!A:O,15,0)</f>
        <v>Serioranistii</v>
      </c>
      <c r="X358" s="3">
        <f t="shared" si="113"/>
        <v>1</v>
      </c>
    </row>
    <row r="359" spans="1:24">
      <c r="A359" s="74" t="s">
        <v>52</v>
      </c>
      <c r="B359" s="24" t="str">
        <f>VLOOKUP(A359,Participanti!A:B,2,0)</f>
        <v>M</v>
      </c>
      <c r="C359" s="75">
        <v>11</v>
      </c>
      <c r="D359" s="76">
        <v>19.420000000000002</v>
      </c>
      <c r="E359" s="77">
        <v>6.7835648148148145E-2</v>
      </c>
      <c r="F359" s="78">
        <v>309</v>
      </c>
      <c r="G359" s="20">
        <f t="shared" si="122"/>
        <v>3.4930817789983592E-3</v>
      </c>
      <c r="H359" s="16">
        <f>IF(B359="F",IF(G359&gt;Barem!$AC$2,0,IF(B359="F",VLOOKUP(D359,Barem!$B$2:$C$11,2,1))),IF(G359&gt;Barem!$AC$3,0,VLOOKUP(D359,Barem!$B$12:$C$21,2,1)))</f>
        <v>4.5</v>
      </c>
      <c r="I359" s="16">
        <f>IF(H359=0,0,IF(B359="F",VLOOKUP(G359,Barem!$G$2:$H$11,2,1),VLOOKUP(G359,Barem!$G$12:$H$21,2,1)))</f>
        <v>2.5</v>
      </c>
      <c r="J359" s="75">
        <v>2</v>
      </c>
      <c r="K359" s="83" t="s">
        <v>184</v>
      </c>
      <c r="L359" s="17">
        <f t="shared" si="121"/>
        <v>0.25</v>
      </c>
      <c r="M359" s="17">
        <f t="shared" si="121"/>
        <v>0.25</v>
      </c>
      <c r="N359" s="17">
        <f t="shared" si="121"/>
        <v>0.5</v>
      </c>
      <c r="O359" s="81">
        <f t="shared" si="123"/>
        <v>0.20599999999999999</v>
      </c>
      <c r="P359" s="36">
        <f>IF(D359&gt;21,VLOOKUP(D359,Barem!$T$1:$U$39,2,1),0)</f>
        <v>0</v>
      </c>
      <c r="Q359" s="32">
        <f>IF(D359&lt;1.609,0,IF(B359="F",VLOOKUP(G359,Barem!$X$2:$Z$13,2,1),VLOOKUP(G359,Barem!$X$14:$Z$25,2,1)))</f>
        <v>0</v>
      </c>
      <c r="R359" s="36">
        <f>VLOOKUP(A359,Participanti!A:C,3,0)</f>
        <v>0</v>
      </c>
      <c r="S359" s="29">
        <f t="shared" si="115"/>
        <v>2.956</v>
      </c>
      <c r="T359" s="79">
        <v>44059</v>
      </c>
      <c r="U359" s="16">
        <f>COUNTIFS(A:A,A359,C:C,C359)</f>
        <v>1</v>
      </c>
      <c r="V359" s="34">
        <f t="shared" si="116"/>
        <v>0.15221421215242018</v>
      </c>
      <c r="W359" s="3" t="str">
        <f>VLOOKUP(A359,Data_echipe!A:O,15,0)</f>
        <v xml:space="preserve"> Let it run</v>
      </c>
      <c r="X359" s="3">
        <f t="shared" si="113"/>
        <v>1</v>
      </c>
    </row>
    <row r="360" spans="1:24">
      <c r="A360" s="74" t="s">
        <v>68</v>
      </c>
      <c r="B360" s="24" t="str">
        <f>VLOOKUP(A360,Participanti!A:B,2,0)</f>
        <v>M</v>
      </c>
      <c r="C360" s="75">
        <v>11</v>
      </c>
      <c r="D360" s="76">
        <v>21.1</v>
      </c>
      <c r="E360" s="77">
        <v>7.2858796296296297E-2</v>
      </c>
      <c r="F360" s="78">
        <v>50</v>
      </c>
      <c r="G360" s="20">
        <f t="shared" si="122"/>
        <v>3.453023521151483E-3</v>
      </c>
      <c r="H360" s="16">
        <f>IF(B360="F",IF(G360&gt;Barem!$AC$2,0,IF(B360="F",VLOOKUP(D360,Barem!$B$2:$C$11,2,1))),IF(G360&gt;Barem!$AC$3,0,VLOOKUP(D360,Barem!$B$12:$C$21,2,1)))</f>
        <v>5</v>
      </c>
      <c r="I360" s="16">
        <f>IF(H360=0,0,IF(B360="F",VLOOKUP(G360,Barem!$G$2:$H$11,2,1),VLOOKUP(G360,Barem!$G$12:$H$21,2,1)))</f>
        <v>3</v>
      </c>
      <c r="J360" s="75">
        <v>3</v>
      </c>
      <c r="K360" s="82" t="str">
        <f>VLOOKUP($C360,Barem!$L$2:$R$13,7,0)</f>
        <v>D</v>
      </c>
      <c r="L360" s="17">
        <f t="shared" si="121"/>
        <v>0.5</v>
      </c>
      <c r="M360" s="17">
        <f t="shared" si="121"/>
        <v>0.25</v>
      </c>
      <c r="N360" s="17">
        <f t="shared" si="121"/>
        <v>0.25</v>
      </c>
      <c r="O360" s="81">
        <f t="shared" si="123"/>
        <v>0</v>
      </c>
      <c r="P360" s="36">
        <f>IF(D360&gt;21,VLOOKUP(D360,Barem!$T$1:$U$39,2,1),0)</f>
        <v>0</v>
      </c>
      <c r="Q360" s="32">
        <f>IF(D360&lt;1.609,0,IF(B360="F",VLOOKUP(G360,Barem!$X$2:$Z$13,2,1),VLOOKUP(G360,Barem!$X$14:$Z$25,2,1)))</f>
        <v>0</v>
      </c>
      <c r="R360" s="36">
        <f>VLOOKUP(A360,Participanti!A:C,3,0)</f>
        <v>0</v>
      </c>
      <c r="S360" s="29">
        <f t="shared" si="115"/>
        <v>4</v>
      </c>
      <c r="T360" s="79">
        <v>44058</v>
      </c>
      <c r="U360" s="16">
        <f>COUNTIFS(A:A,A360,C:C,C360)</f>
        <v>1</v>
      </c>
      <c r="V360" s="34">
        <f t="shared" si="116"/>
        <v>0.1895734597156398</v>
      </c>
      <c r="W360" s="3" t="str">
        <f>VLOOKUP(A360,Data_echipe!A:O,15,0)</f>
        <v>Unicornii</v>
      </c>
      <c r="X360" s="3">
        <f t="shared" si="113"/>
        <v>1</v>
      </c>
    </row>
    <row r="361" spans="1:24">
      <c r="A361" s="74" t="s">
        <v>86</v>
      </c>
      <c r="B361" s="24" t="str">
        <f>VLOOKUP(A361,Participanti!A:B,2,0)</f>
        <v>M</v>
      </c>
      <c r="C361" s="75">
        <v>11</v>
      </c>
      <c r="D361" s="76">
        <v>21.3</v>
      </c>
      <c r="E361" s="77">
        <v>8.3344907407407409E-2</v>
      </c>
      <c r="F361" s="78">
        <v>85</v>
      </c>
      <c r="G361" s="20">
        <f t="shared" si="122"/>
        <v>3.9129064510519907E-3</v>
      </c>
      <c r="H361" s="16">
        <f>IF(B361="F",IF(G361&gt;Barem!$AC$2,0,IF(B361="F",VLOOKUP(D361,Barem!$B$2:$C$11,2,1))),IF(G361&gt;Barem!$AC$3,0,VLOOKUP(D361,Barem!$B$12:$C$21,2,1)))</f>
        <v>5</v>
      </c>
      <c r="I361" s="16">
        <f>IF(H361=0,0,IF(B361="F",VLOOKUP(G361,Barem!$G$2:$H$11,2,1),VLOOKUP(G361,Barem!$G$12:$H$21,2,1)))</f>
        <v>1.5</v>
      </c>
      <c r="J361" s="75">
        <v>1</v>
      </c>
      <c r="K361" s="82" t="str">
        <f>VLOOKUP($C361,Barem!$L$2:$R$13,7,0)</f>
        <v>D</v>
      </c>
      <c r="L361" s="17">
        <f t="shared" si="121"/>
        <v>0.5</v>
      </c>
      <c r="M361" s="17">
        <f t="shared" si="121"/>
        <v>0.25</v>
      </c>
      <c r="N361" s="17">
        <f t="shared" si="121"/>
        <v>0.25</v>
      </c>
      <c r="O361" s="81">
        <f t="shared" si="123"/>
        <v>0</v>
      </c>
      <c r="P361" s="36">
        <f>IF(D361&gt;21,VLOOKUP(D361,Barem!$T$1:$U$39,2,1),0)</f>
        <v>0</v>
      </c>
      <c r="Q361" s="32">
        <f>IF(D361&lt;1.609,0,IF(B361="F",VLOOKUP(G361,Barem!$X$2:$Z$13,2,1),VLOOKUP(G361,Barem!$X$14:$Z$25,2,1)))</f>
        <v>0</v>
      </c>
      <c r="R361" s="36">
        <f>VLOOKUP(A361,Participanti!A:C,3,0)</f>
        <v>0</v>
      </c>
      <c r="S361" s="29">
        <f t="shared" si="115"/>
        <v>3.125</v>
      </c>
      <c r="T361" s="79">
        <v>44058</v>
      </c>
      <c r="U361" s="16">
        <f>COUNTIFS(A:A,A361,C:C,C361)</f>
        <v>1</v>
      </c>
      <c r="V361" s="34">
        <f t="shared" si="116"/>
        <v>0.14671361502347419</v>
      </c>
      <c r="W361" s="3" t="str">
        <f>VLOOKUP(A361,Data_echipe!A:O,15,0)</f>
        <v>Unicornii</v>
      </c>
      <c r="X361" s="3">
        <f t="shared" si="113"/>
        <v>1</v>
      </c>
    </row>
    <row r="362" spans="1:24">
      <c r="A362" s="74" t="s">
        <v>172</v>
      </c>
      <c r="B362" s="24" t="str">
        <f>VLOOKUP(A362,Participanti!A:B,2,0)</f>
        <v>F</v>
      </c>
      <c r="C362" s="75">
        <v>11</v>
      </c>
      <c r="D362" s="76">
        <v>10.45</v>
      </c>
      <c r="E362" s="77">
        <v>4.2858796296296298E-2</v>
      </c>
      <c r="F362" s="78">
        <v>100</v>
      </c>
      <c r="G362" s="20">
        <f t="shared" si="122"/>
        <v>4.1013202197412724E-3</v>
      </c>
      <c r="H362" s="16">
        <f>IF(B362="F",IF(G362&gt;Barem!$AC$2,0,IF(B362="F",VLOOKUP(D362,Barem!$B$2:$C$11,2,1))),IF(G362&gt;Barem!$AC$3,0,VLOOKUP(D362,Barem!$B$12:$C$21,2,1)))</f>
        <v>2.5</v>
      </c>
      <c r="I362" s="16">
        <f>IF(H362=0,0,IF(B362="F",VLOOKUP(G362,Barem!$G$2:$H$11,2,1),VLOOKUP(G362,Barem!$G$12:$H$21,2,1)))</f>
        <v>2</v>
      </c>
      <c r="J362" s="75">
        <v>4</v>
      </c>
      <c r="K362" s="83" t="s">
        <v>184</v>
      </c>
      <c r="L362" s="17">
        <f t="shared" ref="L362:N378" si="124">IF($K362=L$1,50%,25%)</f>
        <v>0.25</v>
      </c>
      <c r="M362" s="17">
        <f t="shared" si="124"/>
        <v>0.25</v>
      </c>
      <c r="N362" s="17">
        <f t="shared" si="124"/>
        <v>0.5</v>
      </c>
      <c r="O362" s="81">
        <f t="shared" si="123"/>
        <v>6.6666666666666666E-2</v>
      </c>
      <c r="P362" s="36">
        <f>IF(D362&gt;21,VLOOKUP(D362,Barem!$T$1:$U$39,2,1),0)</f>
        <v>0</v>
      </c>
      <c r="Q362" s="32">
        <f>IF(D362&lt;1.609,0,IF(B362="F",VLOOKUP(G362,Barem!$X$2:$Z$13,2,1),VLOOKUP(G362,Barem!$X$14:$Z$25,2,1)))</f>
        <v>0</v>
      </c>
      <c r="R362" s="36">
        <f>VLOOKUP(A362,Participanti!A:C,3,0)</f>
        <v>0</v>
      </c>
      <c r="S362" s="29">
        <f t="shared" si="115"/>
        <v>3.1916666666666669</v>
      </c>
      <c r="T362" s="79">
        <v>44058</v>
      </c>
      <c r="U362" s="16">
        <f>COUNTIFS(A:A,A362,C:C,C362)</f>
        <v>1</v>
      </c>
      <c r="V362" s="34">
        <f t="shared" si="116"/>
        <v>0.30542264752791071</v>
      </c>
      <c r="W362" s="3" t="str">
        <f>VLOOKUP(A362,Data_echipe!A:O,15,0)</f>
        <v>Unicornii</v>
      </c>
      <c r="X362" s="3">
        <f t="shared" si="113"/>
        <v>1</v>
      </c>
    </row>
    <row r="363" spans="1:24">
      <c r="A363" s="74" t="s">
        <v>201</v>
      </c>
      <c r="B363" s="24" t="str">
        <f>VLOOKUP(A363,Participanti!A:B,2,0)</f>
        <v>F</v>
      </c>
      <c r="C363" s="75">
        <v>11</v>
      </c>
      <c r="D363" s="76">
        <v>29.37</v>
      </c>
      <c r="E363" s="77">
        <v>0.43237268518518518</v>
      </c>
      <c r="F363" s="78">
        <v>1743</v>
      </c>
      <c r="G363" s="20">
        <f t="shared" si="122"/>
        <v>1.472157593412275E-2</v>
      </c>
      <c r="H363" s="16">
        <f>IF(B363="F",IF(G363&gt;Barem!$AC$2,0,IF(B363="F",VLOOKUP(D363,Barem!$B$2:$C$11,2,1))),IF(G363&gt;Barem!$AC$3,0,VLOOKUP(D363,Barem!$B$12:$C$21,2,1)))</f>
        <v>0</v>
      </c>
      <c r="I363" s="16">
        <f>IF(H363=0,0,IF(B363="F",VLOOKUP(G363,Barem!$G$2:$H$11,2,1),VLOOKUP(G363,Barem!$G$12:$H$21,2,1)))</f>
        <v>0</v>
      </c>
      <c r="J363" s="75">
        <v>4</v>
      </c>
      <c r="K363" s="83" t="s">
        <v>183</v>
      </c>
      <c r="L363" s="17">
        <f t="shared" si="124"/>
        <v>0.25</v>
      </c>
      <c r="M363" s="17">
        <f t="shared" si="124"/>
        <v>0.5</v>
      </c>
      <c r="N363" s="17">
        <f t="shared" si="124"/>
        <v>0.25</v>
      </c>
      <c r="O363" s="81">
        <f t="shared" si="123"/>
        <v>1.1619999999999999</v>
      </c>
      <c r="P363" s="36">
        <f>IF(D363&gt;21,VLOOKUP(D363,Barem!$T$1:$U$39,2,1),0)</f>
        <v>0.1</v>
      </c>
      <c r="Q363" s="32">
        <f>IF(D363&lt;1.609,0,IF(B363="F",VLOOKUP(G363,Barem!$X$2:$Z$13,2,1),VLOOKUP(G363,Barem!$X$14:$Z$25,2,1)))</f>
        <v>0</v>
      </c>
      <c r="R363" s="36">
        <f>VLOOKUP(A363,Participanti!A:C,3,0)</f>
        <v>0</v>
      </c>
      <c r="S363" s="29">
        <f t="shared" si="115"/>
        <v>2.262</v>
      </c>
      <c r="T363" s="79">
        <v>44059</v>
      </c>
      <c r="U363" s="16">
        <f>COUNTIFS(A:A,A363,C:C,C363)</f>
        <v>1</v>
      </c>
      <c r="V363" s="34">
        <f t="shared" si="116"/>
        <v>7.70173646578141E-2</v>
      </c>
      <c r="W363" s="3" t="str">
        <f>VLOOKUP(A363,Data_echipe!A:O,15,0)</f>
        <v>X Æ A-12</v>
      </c>
      <c r="X363" s="3">
        <f t="shared" si="113"/>
        <v>0</v>
      </c>
    </row>
    <row r="364" spans="1:24">
      <c r="A364" s="74" t="s">
        <v>171</v>
      </c>
      <c r="B364" s="24" t="str">
        <f>VLOOKUP(A364,Participanti!A:B,2,0)</f>
        <v>M</v>
      </c>
      <c r="C364" s="75">
        <v>11</v>
      </c>
      <c r="D364" s="76">
        <v>21.11</v>
      </c>
      <c r="E364" s="77">
        <v>7.4513888888888893E-2</v>
      </c>
      <c r="F364" s="78">
        <v>23</v>
      </c>
      <c r="G364" s="20">
        <f t="shared" si="122"/>
        <v>3.5297910416337707E-3</v>
      </c>
      <c r="H364" s="16">
        <f>IF(B364="F",IF(G364&gt;Barem!$AC$2,0,IF(B364="F",VLOOKUP(D364,Barem!$B$2:$C$11,2,1))),IF(G364&gt;Barem!$AC$3,0,VLOOKUP(D364,Barem!$B$12:$C$21,2,1)))</f>
        <v>5</v>
      </c>
      <c r="I364" s="16">
        <f>IF(H364=0,0,IF(B364="F",VLOOKUP(G364,Barem!$G$2:$H$11,2,1),VLOOKUP(G364,Barem!$G$12:$H$21,2,1)))</f>
        <v>2.5</v>
      </c>
      <c r="J364" s="75">
        <v>3.5</v>
      </c>
      <c r="K364" s="82" t="str">
        <f>VLOOKUP($C364,Barem!$L$2:$R$13,7,0)</f>
        <v>D</v>
      </c>
      <c r="L364" s="17">
        <f t="shared" si="124"/>
        <v>0.5</v>
      </c>
      <c r="M364" s="17">
        <f t="shared" si="124"/>
        <v>0.25</v>
      </c>
      <c r="N364" s="17">
        <f t="shared" si="124"/>
        <v>0.25</v>
      </c>
      <c r="O364" s="81">
        <f t="shared" si="123"/>
        <v>0</v>
      </c>
      <c r="P364" s="36">
        <f>IF(D364&gt;21,VLOOKUP(D364,Barem!$T$1:$U$39,2,1),0)</f>
        <v>0</v>
      </c>
      <c r="Q364" s="32">
        <f>IF(D364&lt;1.609,0,IF(B364="F",VLOOKUP(G364,Barem!$X$2:$Z$13,2,1),VLOOKUP(G364,Barem!$X$14:$Z$25,2,1)))</f>
        <v>0</v>
      </c>
      <c r="R364" s="36">
        <f>VLOOKUP(A364,Participanti!A:C,3,0)</f>
        <v>0</v>
      </c>
      <c r="S364" s="29">
        <f t="shared" si="115"/>
        <v>4</v>
      </c>
      <c r="T364" s="79">
        <v>44058</v>
      </c>
      <c r="U364" s="16">
        <f>COUNTIFS(A:A,A364,C:C,C364)</f>
        <v>1</v>
      </c>
      <c r="V364" s="34">
        <f t="shared" si="116"/>
        <v>0.18948365703458078</v>
      </c>
      <c r="W364" s="3" t="str">
        <f>VLOOKUP(A364,Data_echipe!A:O,15,0)</f>
        <v>X Æ A-12</v>
      </c>
      <c r="X364" s="3">
        <f t="shared" si="113"/>
        <v>1</v>
      </c>
    </row>
    <row r="365" spans="1:24">
      <c r="A365" s="74" t="s">
        <v>60</v>
      </c>
      <c r="B365" s="24" t="str">
        <f>VLOOKUP(A365,Participanti!A:B,2,0)</f>
        <v>M</v>
      </c>
      <c r="C365" s="75">
        <v>11</v>
      </c>
      <c r="D365" s="76">
        <v>25.01</v>
      </c>
      <c r="E365" s="77">
        <v>9.8495370370370372E-2</v>
      </c>
      <c r="F365" s="78">
        <v>54</v>
      </c>
      <c r="G365" s="20">
        <f t="shared" si="122"/>
        <v>3.9382395190072118E-3</v>
      </c>
      <c r="H365" s="16">
        <f>IF(B365="F",IF(G365&gt;Barem!$AC$2,0,IF(B365="F",VLOOKUP(D365,Barem!$B$2:$C$11,2,1))),IF(G365&gt;Barem!$AC$3,0,VLOOKUP(D365,Barem!$B$12:$C$21,2,1)))</f>
        <v>5</v>
      </c>
      <c r="I365" s="16">
        <f>IF(H365=0,0,IF(B365="F",VLOOKUP(G365,Barem!$G$2:$H$11,2,1),VLOOKUP(G365,Barem!$G$12:$H$21,2,1)))</f>
        <v>1.5</v>
      </c>
      <c r="J365" s="75">
        <v>4</v>
      </c>
      <c r="K365" s="82" t="str">
        <f>VLOOKUP($C365,Barem!$L$2:$R$13,7,0)</f>
        <v>D</v>
      </c>
      <c r="L365" s="17">
        <f t="shared" si="124"/>
        <v>0.5</v>
      </c>
      <c r="M365" s="17">
        <f t="shared" si="124"/>
        <v>0.25</v>
      </c>
      <c r="N365" s="17">
        <f t="shared" si="124"/>
        <v>0.25</v>
      </c>
      <c r="O365" s="81">
        <f t="shared" si="123"/>
        <v>0</v>
      </c>
      <c r="P365" s="36">
        <f>IF(D365&gt;21,VLOOKUP(D365,Barem!$T$1:$U$39,2,1),0)</f>
        <v>0</v>
      </c>
      <c r="Q365" s="32">
        <f>IF(D365&lt;1.609,0,IF(B365="F",VLOOKUP(G365,Barem!$X$2:$Z$13,2,1),VLOOKUP(G365,Barem!$X$14:$Z$25,2,1)))</f>
        <v>0</v>
      </c>
      <c r="R365" s="36">
        <f>VLOOKUP(A365,Participanti!A:C,3,0)</f>
        <v>0</v>
      </c>
      <c r="S365" s="29">
        <f t="shared" si="115"/>
        <v>3.875</v>
      </c>
      <c r="T365" s="79">
        <v>44056</v>
      </c>
      <c r="U365" s="16">
        <f>COUNTIFS(A:A,A365,C:C,C365)</f>
        <v>1</v>
      </c>
      <c r="V365" s="34">
        <f t="shared" si="116"/>
        <v>0.15493802479008395</v>
      </c>
      <c r="W365" s="3" t="str">
        <f>VLOOKUP(A365,Data_echipe!A:O,15,0)</f>
        <v>Tenchei</v>
      </c>
      <c r="X365" s="3">
        <f t="shared" si="113"/>
        <v>1</v>
      </c>
    </row>
    <row r="366" spans="1:24">
      <c r="A366" s="74" t="s">
        <v>200</v>
      </c>
      <c r="B366" s="24" t="str">
        <f>VLOOKUP(A366,Participanti!A:B,2,0)</f>
        <v>M</v>
      </c>
      <c r="C366" s="75">
        <v>11</v>
      </c>
      <c r="D366" s="76">
        <v>32.33</v>
      </c>
      <c r="E366" s="77">
        <v>0.11144675925925925</v>
      </c>
      <c r="F366" s="78">
        <v>59</v>
      </c>
      <c r="G366" s="20">
        <f t="shared" si="122"/>
        <v>3.4471623649631688E-3</v>
      </c>
      <c r="H366" s="16">
        <f>IF(B366="F",IF(G366&gt;Barem!$AC$2,0,IF(B366="F",VLOOKUP(D366,Barem!$B$2:$C$11,2,1))),IF(G366&gt;Barem!$AC$3,0,VLOOKUP(D366,Barem!$B$12:$C$21,2,1)))</f>
        <v>5</v>
      </c>
      <c r="I366" s="16">
        <f>IF(H366=0,0,IF(B366="F",VLOOKUP(G366,Barem!$G$2:$H$11,2,1),VLOOKUP(G366,Barem!$G$12:$H$21,2,1)))</f>
        <v>3</v>
      </c>
      <c r="J366" s="75">
        <v>4.5</v>
      </c>
      <c r="K366" s="82" t="str">
        <f>VLOOKUP($C366,Barem!$L$2:$R$13,7,0)</f>
        <v>D</v>
      </c>
      <c r="L366" s="17">
        <f t="shared" si="124"/>
        <v>0.5</v>
      </c>
      <c r="M366" s="17">
        <f t="shared" si="124"/>
        <v>0.25</v>
      </c>
      <c r="N366" s="17">
        <f t="shared" si="124"/>
        <v>0.25</v>
      </c>
      <c r="O366" s="81">
        <f t="shared" si="123"/>
        <v>0</v>
      </c>
      <c r="P366" s="36">
        <f>IF(D366&gt;21,VLOOKUP(D366,Barem!$T$1:$U$39,2,1),0)</f>
        <v>0.2</v>
      </c>
      <c r="Q366" s="32">
        <f>IF(D366&lt;1.609,0,IF(B366="F",VLOOKUP(G366,Barem!$X$2:$Z$13,2,1),VLOOKUP(G366,Barem!$X$14:$Z$25,2,1)))</f>
        <v>0</v>
      </c>
      <c r="R366" s="36">
        <f>VLOOKUP(A366,Participanti!A:C,3,0)</f>
        <v>0</v>
      </c>
      <c r="S366" s="29">
        <f t="shared" si="115"/>
        <v>4.5750000000000002</v>
      </c>
      <c r="T366" s="79">
        <v>44058</v>
      </c>
      <c r="U366" s="16">
        <f>COUNTIFS(A:A,A366,C:C,C366)</f>
        <v>1</v>
      </c>
      <c r="V366" s="34">
        <f t="shared" si="116"/>
        <v>0.14150943396226418</v>
      </c>
      <c r="W366" s="3" t="str">
        <f>VLOOKUP(A366,Data_echipe!A:O,15,0)</f>
        <v xml:space="preserve"> Let it run</v>
      </c>
      <c r="X366" s="3">
        <f t="shared" si="113"/>
        <v>1</v>
      </c>
    </row>
    <row r="367" spans="1:24">
      <c r="A367" s="74" t="s">
        <v>59</v>
      </c>
      <c r="B367" s="24" t="str">
        <f>VLOOKUP(A367,Participanti!A:B,2,0)</f>
        <v>M</v>
      </c>
      <c r="C367" s="75">
        <v>11</v>
      </c>
      <c r="D367" s="76">
        <v>22.01</v>
      </c>
      <c r="E367" s="77">
        <v>0.1021875</v>
      </c>
      <c r="F367" s="78">
        <v>0</v>
      </c>
      <c r="G367" s="20">
        <f t="shared" si="122"/>
        <v>4.6427760109041339E-3</v>
      </c>
      <c r="H367" s="16">
        <f>IF(B367="F",IF(G367&gt;Barem!$AC$2,0,IF(B367="F",VLOOKUP(D367,Barem!$B$2:$C$11,2,1))),IF(G367&gt;Barem!$AC$3,0,VLOOKUP(D367,Barem!$B$12:$C$21,2,1)))</f>
        <v>5</v>
      </c>
      <c r="I367" s="16">
        <f>IF(H367=0,0,IF(B367="F",VLOOKUP(G367,Barem!$G$2:$H$11,2,1),VLOOKUP(G367,Barem!$G$12:$H$21,2,1)))</f>
        <v>1</v>
      </c>
      <c r="J367" s="75">
        <v>3.5</v>
      </c>
      <c r="K367" s="82" t="str">
        <f>VLOOKUP($C367,Barem!$L$2:$R$13,7,0)</f>
        <v>D</v>
      </c>
      <c r="L367" s="17">
        <f t="shared" si="124"/>
        <v>0.5</v>
      </c>
      <c r="M367" s="17">
        <f t="shared" si="124"/>
        <v>0.25</v>
      </c>
      <c r="N367" s="17">
        <f t="shared" si="124"/>
        <v>0.25</v>
      </c>
      <c r="O367" s="81">
        <f t="shared" si="123"/>
        <v>0</v>
      </c>
      <c r="P367" s="36">
        <f>IF(D367&gt;21,VLOOKUP(D367,Barem!$T$1:$U$39,2,1),0)</f>
        <v>0</v>
      </c>
      <c r="Q367" s="32">
        <f>IF(D367&lt;1.609,0,IF(B367="F",VLOOKUP(G367,Barem!$X$2:$Z$13,2,1),VLOOKUP(G367,Barem!$X$14:$Z$25,2,1)))</f>
        <v>0</v>
      </c>
      <c r="R367" s="36">
        <f>VLOOKUP(A367,Participanti!A:C,3,0)</f>
        <v>0</v>
      </c>
      <c r="S367" s="29">
        <f t="shared" si="115"/>
        <v>3.625</v>
      </c>
      <c r="T367" s="79">
        <v>44059</v>
      </c>
      <c r="U367" s="16">
        <f>COUNTIFS(A:A,A367,C:C,C367)</f>
        <v>1</v>
      </c>
      <c r="V367" s="34">
        <f t="shared" si="116"/>
        <v>0.16469786460699681</v>
      </c>
      <c r="W367" s="3" t="str">
        <f>VLOOKUP(A367,Data_echipe!A:O,15,0)</f>
        <v>Tenchei</v>
      </c>
      <c r="X367" s="3">
        <f t="shared" si="113"/>
        <v>1</v>
      </c>
    </row>
    <row r="368" spans="1:24">
      <c r="A368" s="74" t="s">
        <v>114</v>
      </c>
      <c r="B368" s="24" t="str">
        <f>VLOOKUP(A368,Participanti!A:B,2,0)</f>
        <v>M</v>
      </c>
      <c r="C368" s="75">
        <v>11</v>
      </c>
      <c r="D368" s="76">
        <v>20</v>
      </c>
      <c r="E368" s="77">
        <v>6.9062500000000013E-2</v>
      </c>
      <c r="F368" s="78">
        <v>517</v>
      </c>
      <c r="G368" s="20">
        <f t="shared" si="122"/>
        <v>3.4531250000000005E-3</v>
      </c>
      <c r="H368" s="16">
        <f>IF(B368="F",IF(G368&gt;Barem!$AC$2,0,IF(B368="F",VLOOKUP(D368,Barem!$B$2:$C$11,2,1))),IF(G368&gt;Barem!$AC$3,0,VLOOKUP(D368,Barem!$B$12:$C$21,2,1)))</f>
        <v>4.5</v>
      </c>
      <c r="I368" s="16">
        <f>IF(H368=0,0,IF(B368="F",VLOOKUP(G368,Barem!$G$2:$H$11,2,1),VLOOKUP(G368,Barem!$G$12:$H$21,2,1)))</f>
        <v>3</v>
      </c>
      <c r="J368" s="75">
        <v>2</v>
      </c>
      <c r="K368" s="82" t="str">
        <f>VLOOKUP($C368,Barem!$L$2:$R$13,7,0)</f>
        <v>D</v>
      </c>
      <c r="L368" s="17">
        <f t="shared" si="124"/>
        <v>0.5</v>
      </c>
      <c r="M368" s="17">
        <f t="shared" si="124"/>
        <v>0.25</v>
      </c>
      <c r="N368" s="17">
        <f t="shared" si="124"/>
        <v>0.25</v>
      </c>
      <c r="O368" s="81">
        <f t="shared" si="123"/>
        <v>0.34466666666666668</v>
      </c>
      <c r="P368" s="36">
        <f>IF(D368&gt;21,VLOOKUP(D368,Barem!$T$1:$U$39,2,1),0)</f>
        <v>0</v>
      </c>
      <c r="Q368" s="32">
        <f>IF(D368&lt;1.609,0,IF(B368="F",VLOOKUP(G368,Barem!$X$2:$Z$13,2,1),VLOOKUP(G368,Barem!$X$14:$Z$25,2,1)))</f>
        <v>0</v>
      </c>
      <c r="R368" s="36">
        <f>VLOOKUP(A368,Participanti!A:C,3,0)</f>
        <v>0</v>
      </c>
      <c r="S368" s="29">
        <f t="shared" si="115"/>
        <v>3.8446666666666669</v>
      </c>
      <c r="T368" s="79">
        <v>44053</v>
      </c>
      <c r="U368" s="16">
        <f>COUNTIFS(A:A,A368,C:C,C368)</f>
        <v>1</v>
      </c>
      <c r="V368" s="34">
        <f t="shared" si="116"/>
        <v>0.19223333333333334</v>
      </c>
      <c r="W368" s="3" t="str">
        <f>VLOOKUP(A368,Data_echipe!A:O,15,0)</f>
        <v>Serioranistii</v>
      </c>
      <c r="X368" s="3">
        <f t="shared" si="113"/>
        <v>1</v>
      </c>
    </row>
    <row r="369" spans="1:24">
      <c r="A369" s="74" t="s">
        <v>47</v>
      </c>
      <c r="B369" s="24" t="str">
        <f>VLOOKUP(A369,Participanti!A:B,2,0)</f>
        <v>M</v>
      </c>
      <c r="C369" s="75">
        <v>11</v>
      </c>
      <c r="D369" s="76">
        <v>37.01</v>
      </c>
      <c r="E369" s="77">
        <v>0.14368055555555556</v>
      </c>
      <c r="F369" s="78">
        <v>113</v>
      </c>
      <c r="G369" s="20">
        <f t="shared" si="122"/>
        <v>3.8822090125791831E-3</v>
      </c>
      <c r="H369" s="16">
        <f>IF(B369="F",IF(G369&gt;Barem!$AC$2,0,IF(B369="F",VLOOKUP(D369,Barem!$B$2:$C$11,2,1))),IF(G369&gt;Barem!$AC$3,0,VLOOKUP(D369,Barem!$B$12:$C$21,2,1)))</f>
        <v>5</v>
      </c>
      <c r="I369" s="16">
        <f>IF(H369=0,0,IF(B369="F",VLOOKUP(G369,Barem!$G$2:$H$11,2,1),VLOOKUP(G369,Barem!$G$12:$H$21,2,1)))</f>
        <v>1.5</v>
      </c>
      <c r="J369" s="75">
        <v>4.5</v>
      </c>
      <c r="K369" s="82" t="str">
        <f>VLOOKUP($C369,Barem!$L$2:$R$13,7,0)</f>
        <v>D</v>
      </c>
      <c r="L369" s="17">
        <f t="shared" si="124"/>
        <v>0.5</v>
      </c>
      <c r="M369" s="17">
        <f t="shared" si="124"/>
        <v>0.25</v>
      </c>
      <c r="N369" s="17">
        <f t="shared" si="124"/>
        <v>0.25</v>
      </c>
      <c r="O369" s="81">
        <f t="shared" si="123"/>
        <v>7.5333333333333335E-2</v>
      </c>
      <c r="P369" s="36">
        <f>IF(D369&gt;21,VLOOKUP(D369,Barem!$T$1:$U$39,2,1),0)</f>
        <v>0.3</v>
      </c>
      <c r="Q369" s="32">
        <f>IF(D369&lt;1.609,0,IF(B369="F",VLOOKUP(G369,Barem!$X$2:$Z$13,2,1),VLOOKUP(G369,Barem!$X$14:$Z$25,2,1)))</f>
        <v>0</v>
      </c>
      <c r="R369" s="36">
        <f>VLOOKUP(A369,Participanti!A:C,3,0)</f>
        <v>0</v>
      </c>
      <c r="S369" s="29">
        <f t="shared" si="115"/>
        <v>4.3753333333333329</v>
      </c>
      <c r="T369" s="79">
        <v>44059</v>
      </c>
      <c r="U369" s="16">
        <f>COUNTIFS(A:A,A369,C:C,C369)</f>
        <v>1</v>
      </c>
      <c r="V369" s="34">
        <f t="shared" si="116"/>
        <v>0.11822030081959831</v>
      </c>
      <c r="W369" s="3" t="str">
        <f>VLOOKUP(A369,Data_echipe!A:O,15,0)</f>
        <v>X Æ A-12</v>
      </c>
      <c r="X369" s="3">
        <f t="shared" si="113"/>
        <v>1</v>
      </c>
    </row>
    <row r="370" spans="1:24">
      <c r="A370" s="74" t="s">
        <v>54</v>
      </c>
      <c r="B370" s="24" t="str">
        <f>VLOOKUP(A370,Participanti!A:B,2,0)</f>
        <v>M</v>
      </c>
      <c r="C370" s="75">
        <v>11</v>
      </c>
      <c r="D370" s="76">
        <v>13.78</v>
      </c>
      <c r="E370" s="77">
        <v>6.699074074074074E-2</v>
      </c>
      <c r="F370" s="78">
        <v>333</v>
      </c>
      <c r="G370" s="20">
        <f t="shared" si="122"/>
        <v>4.8614470784282106E-3</v>
      </c>
      <c r="H370" s="16">
        <f>IF(B370="F",IF(G370&gt;Barem!$AC$2,0,IF(B370="F",VLOOKUP(D370,Barem!$B$2:$C$11,2,1))),IF(G370&gt;Barem!$AC$3,0,VLOOKUP(D370,Barem!$B$12:$C$21,2,1)))</f>
        <v>3</v>
      </c>
      <c r="I370" s="16">
        <f>IF(H370=0,0,IF(B370="F",VLOOKUP(G370,Barem!$G$2:$H$11,2,1),VLOOKUP(G370,Barem!$G$12:$H$21,2,1)))</f>
        <v>1</v>
      </c>
      <c r="J370" s="75">
        <v>3.5</v>
      </c>
      <c r="K370" s="83" t="s">
        <v>184</v>
      </c>
      <c r="L370" s="17">
        <f t="shared" si="124"/>
        <v>0.25</v>
      </c>
      <c r="M370" s="17">
        <f t="shared" si="124"/>
        <v>0.25</v>
      </c>
      <c r="N370" s="17">
        <f t="shared" si="124"/>
        <v>0.5</v>
      </c>
      <c r="O370" s="81">
        <f t="shared" si="123"/>
        <v>0.222</v>
      </c>
      <c r="P370" s="36">
        <f>IF(D370&gt;21,VLOOKUP(D370,Barem!$T$1:$U$39,2,1),0)</f>
        <v>0</v>
      </c>
      <c r="Q370" s="32">
        <f>IF(D370&lt;1.609,0,IF(B370="F",VLOOKUP(G370,Barem!$X$2:$Z$13,2,1),VLOOKUP(G370,Barem!$X$14:$Z$25,2,1)))</f>
        <v>0</v>
      </c>
      <c r="R370" s="36">
        <f>VLOOKUP(A370,Participanti!A:C,3,0)</f>
        <v>0.5</v>
      </c>
      <c r="S370" s="29">
        <f t="shared" si="115"/>
        <v>3.472</v>
      </c>
      <c r="T370" s="79">
        <v>44059</v>
      </c>
      <c r="U370" s="16">
        <f>COUNTIFS(A:A,A370,C:C,C370)</f>
        <v>1</v>
      </c>
      <c r="V370" s="34">
        <f t="shared" si="116"/>
        <v>0.25195936139332364</v>
      </c>
      <c r="W370" s="3" t="str">
        <f>VLOOKUP(A370,Data_echipe!A:O,15,0)</f>
        <v>Serioranistii</v>
      </c>
      <c r="X370" s="3">
        <f t="shared" si="113"/>
        <v>1</v>
      </c>
    </row>
    <row r="371" spans="1:24">
      <c r="A371" s="74" t="s">
        <v>203</v>
      </c>
      <c r="B371" s="24" t="str">
        <f>VLOOKUP(A371,Participanti!A:B,2,0)</f>
        <v>M</v>
      </c>
      <c r="C371" s="75">
        <v>11</v>
      </c>
      <c r="D371" s="76">
        <v>10</v>
      </c>
      <c r="E371" s="77">
        <v>3.0682870370370371E-2</v>
      </c>
      <c r="F371" s="78">
        <v>31</v>
      </c>
      <c r="G371" s="20">
        <f t="shared" si="122"/>
        <v>3.0682870370370369E-3</v>
      </c>
      <c r="H371" s="16">
        <f>IF(B371="F",IF(G371&gt;Barem!$AC$2,0,IF(B371="F",VLOOKUP(D371,Barem!$B$2:$C$11,2,1))),IF(G371&gt;Barem!$AC$3,0,VLOOKUP(D371,Barem!$B$12:$C$21,2,1)))</f>
        <v>2.5</v>
      </c>
      <c r="I371" s="16">
        <f>IF(H371=0,0,IF(B371="F",VLOOKUP(G371,Barem!$G$2:$H$11,2,1),VLOOKUP(G371,Barem!$G$12:$H$21,2,1)))</f>
        <v>4</v>
      </c>
      <c r="J371" s="75">
        <v>2</v>
      </c>
      <c r="K371" s="82" t="str">
        <f>VLOOKUP($C371,Barem!$L$2:$R$13,7,0)</f>
        <v>D</v>
      </c>
      <c r="L371" s="17">
        <f t="shared" si="124"/>
        <v>0.5</v>
      </c>
      <c r="M371" s="17">
        <f t="shared" si="124"/>
        <v>0.25</v>
      </c>
      <c r="N371" s="17">
        <f t="shared" si="124"/>
        <v>0.25</v>
      </c>
      <c r="O371" s="81">
        <f t="shared" si="123"/>
        <v>0</v>
      </c>
      <c r="P371" s="36">
        <f>IF(D371&gt;21,VLOOKUP(D371,Barem!$T$1:$U$39,2,1),0)</f>
        <v>0</v>
      </c>
      <c r="Q371" s="32">
        <f>IF(D371&lt;1.609,0,IF(B371="F",VLOOKUP(G371,Barem!$X$2:$Z$13,2,1),VLOOKUP(G371,Barem!$X$14:$Z$25,2,1)))</f>
        <v>0</v>
      </c>
      <c r="R371" s="36">
        <f>VLOOKUP(A371,Participanti!A:C,3,0)</f>
        <v>0</v>
      </c>
      <c r="S371" s="29">
        <f t="shared" ref="S371:S403" si="125">H371*L371+I371*M371+J371*N371+O371+P371+Q371+R371</f>
        <v>2.75</v>
      </c>
      <c r="T371" s="79">
        <v>44053</v>
      </c>
      <c r="U371" s="16">
        <f>COUNTIFS(A:A,A371,C:C,C371)</f>
        <v>1</v>
      </c>
      <c r="V371" s="34">
        <f t="shared" ref="V371:V403" si="126">S371/D371</f>
        <v>0.27500000000000002</v>
      </c>
      <c r="W371" s="3" t="str">
        <f>VLOOKUP(A371,Data_echipe!A:O,15,0)</f>
        <v>Tenchei</v>
      </c>
      <c r="X371" s="3">
        <f t="shared" si="113"/>
        <v>1</v>
      </c>
    </row>
    <row r="372" spans="1:24">
      <c r="A372" s="74" t="s">
        <v>57</v>
      </c>
      <c r="B372" s="24" t="str">
        <f>VLOOKUP(A372,Participanti!A:B,2,0)</f>
        <v>M</v>
      </c>
      <c r="C372" s="75">
        <v>11</v>
      </c>
      <c r="D372" s="76">
        <v>44.29</v>
      </c>
      <c r="E372" s="77">
        <v>0.18140046296296297</v>
      </c>
      <c r="F372" s="78">
        <v>1898</v>
      </c>
      <c r="G372" s="20">
        <f t="shared" si="122"/>
        <v>4.0957431240226452E-3</v>
      </c>
      <c r="H372" s="16">
        <f>IF(B372="F",IF(G372&gt;Barem!$AC$2,0,IF(B372="F",VLOOKUP(D372,Barem!$B$2:$C$11,2,1))),IF(G372&gt;Barem!$AC$3,0,VLOOKUP(D372,Barem!$B$12:$C$21,2,1)))</f>
        <v>5</v>
      </c>
      <c r="I372" s="16">
        <f>IF(H372=0,0,IF(B372="F",VLOOKUP(G372,Barem!$G$2:$H$11,2,1),VLOOKUP(G372,Barem!$G$12:$H$21,2,1)))</f>
        <v>1.5</v>
      </c>
      <c r="J372" s="75">
        <v>4</v>
      </c>
      <c r="K372" s="82" t="str">
        <f>VLOOKUP($C372,Barem!$L$2:$R$13,7,0)</f>
        <v>D</v>
      </c>
      <c r="L372" s="17">
        <f t="shared" si="124"/>
        <v>0.5</v>
      </c>
      <c r="M372" s="17">
        <f t="shared" si="124"/>
        <v>0.25</v>
      </c>
      <c r="N372" s="17">
        <f t="shared" si="124"/>
        <v>0.25</v>
      </c>
      <c r="O372" s="81">
        <f t="shared" si="123"/>
        <v>1.2653333333333334</v>
      </c>
      <c r="P372" s="36">
        <f>IF(D372&gt;21,VLOOKUP(D372,Barem!$T$1:$U$39,2,1),0)</f>
        <v>0.4</v>
      </c>
      <c r="Q372" s="32">
        <f>IF(D372&lt;1.609,0,IF(B372="F",VLOOKUP(G372,Barem!$X$2:$Z$13,2,1),VLOOKUP(G372,Barem!$X$14:$Z$25,2,1)))</f>
        <v>0</v>
      </c>
      <c r="R372" s="36">
        <f>VLOOKUP(A372,Participanti!A:C,3,0)</f>
        <v>0</v>
      </c>
      <c r="S372" s="29">
        <f t="shared" si="125"/>
        <v>5.5403333333333338</v>
      </c>
      <c r="T372" s="79">
        <v>44058</v>
      </c>
      <c r="U372" s="16">
        <f>COUNTIFS(A:A,A372,C:C,C372)</f>
        <v>1</v>
      </c>
      <c r="V372" s="34">
        <f t="shared" si="126"/>
        <v>0.12509219537894184</v>
      </c>
      <c r="W372" s="3" t="str">
        <f>VLOOKUP(A372,Data_echipe!A:O,15,0)</f>
        <v>Tenchei</v>
      </c>
      <c r="X372" s="3">
        <f t="shared" si="113"/>
        <v>1</v>
      </c>
    </row>
    <row r="373" spans="1:24">
      <c r="A373" s="74" t="s">
        <v>55</v>
      </c>
      <c r="B373" s="24" t="str">
        <f>VLOOKUP(A373,Participanti!A:B,2,0)</f>
        <v>M</v>
      </c>
      <c r="C373" s="75">
        <v>11</v>
      </c>
      <c r="D373" s="76">
        <v>3.03</v>
      </c>
      <c r="E373" s="77">
        <v>7.5694444444444446E-3</v>
      </c>
      <c r="F373" s="78">
        <v>13</v>
      </c>
      <c r="G373" s="20">
        <f t="shared" si="122"/>
        <v>2.4981664833149983E-3</v>
      </c>
      <c r="H373" s="16">
        <f>IF(B373="F",IF(G373&gt;Barem!$AC$2,0,IF(B373="F",VLOOKUP(D373,Barem!$B$2:$C$11,2,1))),IF(G373&gt;Barem!$AC$3,0,VLOOKUP(D373,Barem!$B$12:$C$21,2,1)))</f>
        <v>1</v>
      </c>
      <c r="I373" s="16">
        <f>IF(H373=0,0,IF(B373="F",VLOOKUP(G373,Barem!$G$2:$H$11,2,1),VLOOKUP(G373,Barem!$G$12:$H$21,2,1)))</f>
        <v>5</v>
      </c>
      <c r="J373" s="75">
        <v>3.5</v>
      </c>
      <c r="K373" s="83" t="s">
        <v>183</v>
      </c>
      <c r="L373" s="17">
        <f t="shared" si="124"/>
        <v>0.25</v>
      </c>
      <c r="M373" s="17">
        <f t="shared" si="124"/>
        <v>0.5</v>
      </c>
      <c r="N373" s="17">
        <f t="shared" si="124"/>
        <v>0.25</v>
      </c>
      <c r="O373" s="81">
        <f t="shared" si="123"/>
        <v>0</v>
      </c>
      <c r="P373" s="36">
        <f>IF(D373&gt;21,VLOOKUP(D373,Barem!$T$1:$U$39,2,1),0)</f>
        <v>0</v>
      </c>
      <c r="Q373" s="32">
        <f>IF(D373&lt;1.609,0,IF(B373="F",VLOOKUP(G373,Barem!$X$2:$Z$13,2,1),VLOOKUP(G373,Barem!$X$14:$Z$25,2,1)))</f>
        <v>2.1</v>
      </c>
      <c r="R373" s="36">
        <f>VLOOKUP(A373,Participanti!A:C,3,0)</f>
        <v>0</v>
      </c>
      <c r="S373" s="29">
        <f t="shared" si="125"/>
        <v>5.7249999999999996</v>
      </c>
      <c r="T373" s="79">
        <v>44058</v>
      </c>
      <c r="U373" s="16">
        <f>COUNTIFS(A:A,A373,C:C,C373)</f>
        <v>1</v>
      </c>
      <c r="V373" s="34">
        <f t="shared" si="126"/>
        <v>1.8894389438943895</v>
      </c>
      <c r="W373" s="3" t="str">
        <f>VLOOKUP(A373,Data_echipe!A:O,15,0)</f>
        <v>Serioranistii</v>
      </c>
      <c r="X373" s="3">
        <f t="shared" si="113"/>
        <v>1</v>
      </c>
    </row>
    <row r="374" spans="1:24">
      <c r="A374" s="74" t="s">
        <v>67</v>
      </c>
      <c r="B374" s="24" t="str">
        <f>VLOOKUP(A374,Participanti!A:B,2,0)</f>
        <v>F</v>
      </c>
      <c r="C374" s="75">
        <v>11</v>
      </c>
      <c r="D374" s="76">
        <v>8.0299999999999994</v>
      </c>
      <c r="E374" s="77">
        <v>3.1041666666666665E-2</v>
      </c>
      <c r="F374" s="78">
        <v>0</v>
      </c>
      <c r="G374" s="20">
        <f t="shared" si="122"/>
        <v>3.8657119136571191E-3</v>
      </c>
      <c r="H374" s="16">
        <f>IF(B374="F",IF(G374&gt;Barem!$AC$2,0,IF(B374="F",VLOOKUP(D374,Barem!$B$2:$C$11,2,1))),IF(G374&gt;Barem!$AC$3,0,VLOOKUP(D374,Barem!$B$12:$C$21,2,1)))</f>
        <v>2</v>
      </c>
      <c r="I374" s="16">
        <f>IF(H374=0,0,IF(B374="F",VLOOKUP(G374,Barem!$G$2:$H$11,2,1),VLOOKUP(G374,Barem!$G$12:$H$21,2,1)))</f>
        <v>2.5</v>
      </c>
      <c r="J374" s="75">
        <v>3</v>
      </c>
      <c r="K374" s="82" t="str">
        <f>VLOOKUP($C374,Barem!$L$2:$R$13,7,0)</f>
        <v>D</v>
      </c>
      <c r="L374" s="17">
        <f t="shared" si="124"/>
        <v>0.5</v>
      </c>
      <c r="M374" s="17">
        <f t="shared" si="124"/>
        <v>0.25</v>
      </c>
      <c r="N374" s="17">
        <f t="shared" si="124"/>
        <v>0.25</v>
      </c>
      <c r="O374" s="81">
        <f t="shared" si="123"/>
        <v>0</v>
      </c>
      <c r="P374" s="36">
        <f>IF(D374&gt;21,VLOOKUP(D374,Barem!$T$1:$U$39,2,1),0)</f>
        <v>0</v>
      </c>
      <c r="Q374" s="32">
        <f>IF(D374&lt;1.609,0,IF(B374="F",VLOOKUP(G374,Barem!$X$2:$Z$13,2,1),VLOOKUP(G374,Barem!$X$14:$Z$25,2,1)))</f>
        <v>0</v>
      </c>
      <c r="R374" s="36">
        <f>VLOOKUP(A374,Participanti!A:C,3,0)</f>
        <v>0</v>
      </c>
      <c r="S374" s="29">
        <f t="shared" si="125"/>
        <v>2.375</v>
      </c>
      <c r="T374" s="79">
        <v>44053</v>
      </c>
      <c r="U374" s="16">
        <f>COUNTIFS(A:A,A374,C:C,C374)</f>
        <v>1</v>
      </c>
      <c r="V374" s="34">
        <f t="shared" si="126"/>
        <v>0.2957658779576588</v>
      </c>
      <c r="W374" s="3" t="str">
        <f>VLOOKUP(A374,Data_echipe!A:O,15,0)</f>
        <v>X Æ A-12</v>
      </c>
      <c r="X374" s="3">
        <f t="shared" si="113"/>
        <v>1</v>
      </c>
    </row>
    <row r="375" spans="1:24">
      <c r="A375" s="74" t="s">
        <v>206</v>
      </c>
      <c r="B375" s="24" t="str">
        <f>VLOOKUP(A375,Participanti!A:B,2,0)</f>
        <v>M</v>
      </c>
      <c r="C375" s="75">
        <v>11</v>
      </c>
      <c r="D375" s="76">
        <v>12</v>
      </c>
      <c r="E375" s="77">
        <v>5.1736111111111115E-2</v>
      </c>
      <c r="F375" s="78">
        <v>0</v>
      </c>
      <c r="G375" s="20">
        <f t="shared" ref="G375" si="127">E375/D375</f>
        <v>4.3113425925925932E-3</v>
      </c>
      <c r="H375" s="16">
        <f>IF(B375="F",IF(G375&gt;Barem!$AC$2,0,IF(B375="F",VLOOKUP(D375,Barem!$B$2:$C$11,2,1))),IF(G375&gt;Barem!$AC$3,0,VLOOKUP(D375,Barem!$B$12:$C$21,2,1)))</f>
        <v>3</v>
      </c>
      <c r="I375" s="16">
        <f>IF(H375=0,0,IF(B375="F",VLOOKUP(G375,Barem!$G$2:$H$11,2,1),VLOOKUP(G375,Barem!$G$12:$H$21,2,1)))</f>
        <v>1</v>
      </c>
      <c r="J375" s="75">
        <v>3.5</v>
      </c>
      <c r="K375" s="82" t="str">
        <f>VLOOKUP($C375,Barem!$L$2:$R$13,7,0)</f>
        <v>D</v>
      </c>
      <c r="L375" s="17">
        <f t="shared" si="124"/>
        <v>0.5</v>
      </c>
      <c r="M375" s="17">
        <f t="shared" si="124"/>
        <v>0.25</v>
      </c>
      <c r="N375" s="17">
        <f t="shared" si="124"/>
        <v>0.25</v>
      </c>
      <c r="O375" s="81">
        <f t="shared" ref="O375" si="128">IF(F375&lt;-49,F375/1500,IF(F375&gt;99,F375/1500,0))</f>
        <v>0</v>
      </c>
      <c r="P375" s="36">
        <f>IF(D375&gt;21,VLOOKUP(D375,Barem!$T$1:$U$39,2,1),0)</f>
        <v>0</v>
      </c>
      <c r="Q375" s="32">
        <f>IF(D375&lt;1.609,0,IF(B375="F",VLOOKUP(G375,Barem!$X$2:$Z$13,2,1),VLOOKUP(G375,Barem!$X$14:$Z$25,2,1)))</f>
        <v>0</v>
      </c>
      <c r="R375" s="36">
        <f>VLOOKUP(A375,Participanti!A:C,3,0)</f>
        <v>0</v>
      </c>
      <c r="S375" s="29">
        <f t="shared" ref="S375" si="129">H375*L375+I375*M375+J375*N375+O375+P375+Q375+R375</f>
        <v>2.625</v>
      </c>
      <c r="T375" s="79">
        <v>44059</v>
      </c>
      <c r="U375" s="16">
        <f>COUNTIFS(A:A,A375,C:C,C375)</f>
        <v>1</v>
      </c>
      <c r="V375" s="34">
        <f t="shared" ref="V375" si="130">S375/D375</f>
        <v>0.21875</v>
      </c>
      <c r="W375" s="3" t="str">
        <f>VLOOKUP(A375,Data_echipe!A:O,15,0)</f>
        <v>Unicornii</v>
      </c>
      <c r="X375" s="3">
        <f t="shared" si="113"/>
        <v>1</v>
      </c>
    </row>
    <row r="376" spans="1:24">
      <c r="A376" s="74" t="s">
        <v>205</v>
      </c>
      <c r="B376" s="24" t="str">
        <f>VLOOKUP(A376,Participanti!A:B,2,0)</f>
        <v>M</v>
      </c>
      <c r="C376" s="75">
        <v>11</v>
      </c>
      <c r="D376" s="76">
        <v>11.49</v>
      </c>
      <c r="E376" s="77">
        <v>3.3680555555555554E-2</v>
      </c>
      <c r="F376" s="78">
        <v>277</v>
      </c>
      <c r="G376" s="20">
        <f t="shared" ref="G376" si="131">E376/D376</f>
        <v>2.931292911710666E-3</v>
      </c>
      <c r="H376" s="16">
        <f>IF(B376="F",IF(G376&gt;Barem!$AC$2,0,IF(B376="F",VLOOKUP(D376,Barem!$B$2:$C$11,2,1))),IF(G376&gt;Barem!$AC$3,0,VLOOKUP(D376,Barem!$B$12:$C$21,2,1)))</f>
        <v>2.5</v>
      </c>
      <c r="I376" s="16">
        <f>IF(H376=0,0,IF(B376="F",VLOOKUP(G376,Barem!$G$2:$H$11,2,1),VLOOKUP(G376,Barem!$G$12:$H$21,2,1)))</f>
        <v>4.5</v>
      </c>
      <c r="J376" s="75">
        <v>2</v>
      </c>
      <c r="K376" s="83" t="s">
        <v>183</v>
      </c>
      <c r="L376" s="17">
        <f t="shared" si="124"/>
        <v>0.25</v>
      </c>
      <c r="M376" s="17">
        <f t="shared" si="124"/>
        <v>0.5</v>
      </c>
      <c r="N376" s="17">
        <f t="shared" si="124"/>
        <v>0.25</v>
      </c>
      <c r="O376" s="81">
        <f t="shared" ref="O376" si="132">IF(F376&lt;-49,F376/1500,IF(F376&gt;99,F376/1500,0))</f>
        <v>0.18466666666666667</v>
      </c>
      <c r="P376" s="36">
        <f>IF(D376&gt;21,VLOOKUP(D376,Barem!$T$1:$U$39,2,1),0)</f>
        <v>0</v>
      </c>
      <c r="Q376" s="32">
        <f>IF(D376&lt;1.609,0,IF(B376="F",VLOOKUP(G376,Barem!$X$2:$Z$13,2,1),VLOOKUP(G376,Barem!$X$14:$Z$25,2,1)))</f>
        <v>0</v>
      </c>
      <c r="R376" s="36">
        <f>VLOOKUP(A376,Participanti!A:C,3,0)</f>
        <v>0</v>
      </c>
      <c r="S376" s="29">
        <f t="shared" ref="S376" si="133">H376*L376+I376*M376+J376*N376+O376+P376+Q376+R376</f>
        <v>3.5596666666666668</v>
      </c>
      <c r="T376" s="79">
        <v>44059</v>
      </c>
      <c r="U376" s="16">
        <f>COUNTIFS(A:A,A376,C:C,C376)</f>
        <v>1</v>
      </c>
      <c r="V376" s="34">
        <f t="shared" ref="V376" si="134">S376/D376</f>
        <v>0.30980562808239048</v>
      </c>
      <c r="W376" s="3" t="str">
        <f>VLOOKUP(A376,Data_echipe!A:O,15,0)</f>
        <v>Serioranistii</v>
      </c>
      <c r="X376" s="3">
        <f t="shared" si="113"/>
        <v>1</v>
      </c>
    </row>
    <row r="377" spans="1:24">
      <c r="A377" s="74" t="s">
        <v>65</v>
      </c>
      <c r="B377" s="24" t="str">
        <f>VLOOKUP(A377,Participanti!A:B,2,0)</f>
        <v>M</v>
      </c>
      <c r="C377" s="75">
        <v>11</v>
      </c>
      <c r="D377" s="76">
        <v>33</v>
      </c>
      <c r="E377" s="77">
        <v>0.14082175925925924</v>
      </c>
      <c r="F377" s="78">
        <v>44</v>
      </c>
      <c r="G377" s="20">
        <f t="shared" si="122"/>
        <v>4.2673260381593707E-3</v>
      </c>
      <c r="H377" s="16">
        <f>IF(B377="F",IF(G377&gt;Barem!$AC$2,0,IF(B377="F",VLOOKUP(D377,Barem!$B$2:$C$11,2,1))),IF(G377&gt;Barem!$AC$3,0,VLOOKUP(D377,Barem!$B$12:$C$21,2,1)))</f>
        <v>5</v>
      </c>
      <c r="I377" s="16">
        <f>IF(H377=0,0,IF(B377="F",VLOOKUP(G377,Barem!$G$2:$H$11,2,1),VLOOKUP(G377,Barem!$G$12:$H$21,2,1)))</f>
        <v>1</v>
      </c>
      <c r="J377" s="75">
        <v>2</v>
      </c>
      <c r="K377" s="82" t="str">
        <f>VLOOKUP($C377,Barem!$L$2:$R$13,7,0)</f>
        <v>D</v>
      </c>
      <c r="L377" s="17">
        <f t="shared" si="124"/>
        <v>0.5</v>
      </c>
      <c r="M377" s="17">
        <f t="shared" si="124"/>
        <v>0.25</v>
      </c>
      <c r="N377" s="17">
        <f t="shared" si="124"/>
        <v>0.25</v>
      </c>
      <c r="O377" s="81">
        <f t="shared" si="123"/>
        <v>0</v>
      </c>
      <c r="P377" s="36">
        <f>IF(D377&gt;21,VLOOKUP(D377,Barem!$T$1:$U$39,2,1),0)</f>
        <v>0.2</v>
      </c>
      <c r="Q377" s="32">
        <f>IF(D377&lt;1.609,0,IF(B377="F",VLOOKUP(G377,Barem!$X$2:$Z$13,2,1),VLOOKUP(G377,Barem!$X$14:$Z$25,2,1)))</f>
        <v>0</v>
      </c>
      <c r="R377" s="36">
        <f>VLOOKUP(A377,Participanti!A:C,3,0)</f>
        <v>0</v>
      </c>
      <c r="S377" s="29">
        <f t="shared" si="125"/>
        <v>3.45</v>
      </c>
      <c r="T377" s="79">
        <v>44055</v>
      </c>
      <c r="U377" s="16">
        <f>COUNTIFS(A:A,A377,C:C,C377)</f>
        <v>1</v>
      </c>
      <c r="V377" s="34">
        <f t="shared" si="126"/>
        <v>0.10454545454545455</v>
      </c>
      <c r="W377" s="3" t="str">
        <f>VLOOKUP(A377,Data_echipe!A:O,15,0)</f>
        <v>X Æ A-12</v>
      </c>
      <c r="X377" s="3">
        <f t="shared" si="113"/>
        <v>1</v>
      </c>
    </row>
    <row r="378" spans="1:24" ht="12.75" thickBot="1">
      <c r="A378" s="94" t="s">
        <v>83</v>
      </c>
      <c r="B378" s="95" t="str">
        <f>VLOOKUP(A378,Participanti!A:B,2,0)</f>
        <v>F</v>
      </c>
      <c r="C378" s="96">
        <v>11</v>
      </c>
      <c r="D378" s="97">
        <v>5.2</v>
      </c>
      <c r="E378" s="98">
        <v>2.5416666666666667E-2</v>
      </c>
      <c r="F378" s="99">
        <v>8</v>
      </c>
      <c r="G378" s="100">
        <f t="shared" si="122"/>
        <v>4.8878205128205128E-3</v>
      </c>
      <c r="H378" s="101">
        <f>IF(B378="F",IF(G378&gt;Barem!$AC$2,0,IF(B378="F",VLOOKUP(D378,Barem!$B$2:$C$11,2,1))),IF(G378&gt;Barem!$AC$3,0,VLOOKUP(D378,Barem!$B$12:$C$21,2,1)))</f>
        <v>1.5</v>
      </c>
      <c r="I378" s="101">
        <f>IF(H378=0,0,IF(B378="F",VLOOKUP(G378,Barem!$G$2:$H$11,2,1),VLOOKUP(G378,Barem!$G$12:$H$21,2,1)))</f>
        <v>1</v>
      </c>
      <c r="J378" s="96">
        <v>3.5</v>
      </c>
      <c r="K378" s="102" t="str">
        <f>VLOOKUP($C378,Barem!$L$2:$R$13,7,0)</f>
        <v>D</v>
      </c>
      <c r="L378" s="103">
        <f t="shared" si="124"/>
        <v>0.5</v>
      </c>
      <c r="M378" s="103">
        <f t="shared" si="124"/>
        <v>0.25</v>
      </c>
      <c r="N378" s="103">
        <f t="shared" si="124"/>
        <v>0.25</v>
      </c>
      <c r="O378" s="104">
        <f t="shared" si="123"/>
        <v>0</v>
      </c>
      <c r="P378" s="105">
        <f>IF(D378&gt;21,VLOOKUP(D378,Barem!$T$1:$U$39,2,1),0)</f>
        <v>0</v>
      </c>
      <c r="Q378" s="106">
        <f>IF(D378&lt;1.609,0,IF(B378="F",VLOOKUP(G378,Barem!$X$2:$Z$13,2,1),VLOOKUP(G378,Barem!$X$14:$Z$25,2,1)))</f>
        <v>0</v>
      </c>
      <c r="R378" s="105">
        <f>VLOOKUP(A378,Participanti!A:C,3,0)</f>
        <v>0.75</v>
      </c>
      <c r="S378" s="107">
        <f t="shared" si="125"/>
        <v>2.625</v>
      </c>
      <c r="T378" s="108">
        <v>44057</v>
      </c>
      <c r="U378" s="101">
        <f>COUNTIFS(A:A,A378,C:C,C378)</f>
        <v>1</v>
      </c>
      <c r="V378" s="109">
        <f t="shared" si="126"/>
        <v>0.50480769230769229</v>
      </c>
      <c r="W378" s="110" t="str">
        <f>VLOOKUP(A378,Data_echipe!A:O,15,0)</f>
        <v>Tenchei</v>
      </c>
      <c r="X378" s="3">
        <f t="shared" si="113"/>
        <v>1</v>
      </c>
    </row>
    <row r="379" spans="1:24">
      <c r="A379" s="74" t="s">
        <v>6</v>
      </c>
      <c r="B379" s="24" t="str">
        <f>VLOOKUP(A379,Participanti!A:B,2,0)</f>
        <v>F</v>
      </c>
      <c r="C379" s="75">
        <v>12</v>
      </c>
      <c r="D379" s="76">
        <v>15.01</v>
      </c>
      <c r="E379" s="77">
        <v>5.4537037037037044E-2</v>
      </c>
      <c r="F379" s="78">
        <v>20</v>
      </c>
      <c r="G379" s="20">
        <f t="shared" si="122"/>
        <v>3.6333802156586974E-3</v>
      </c>
      <c r="H379" s="16">
        <f>IF(B379="F",IF(G379&gt;Barem!$AC$2,0,IF(B379="F",VLOOKUP(D379,Barem!$B$2:$C$11,2,1))),IF(G379&gt;Barem!$AC$3,0,VLOOKUP(D379,Barem!$B$12:$C$21,2,1)))</f>
        <v>3.5</v>
      </c>
      <c r="I379" s="16">
        <f>IF(H379=0,0,IF(B379="F",VLOOKUP(G379,Barem!$G$2:$H$11,2,1),VLOOKUP(G379,Barem!$G$12:$H$21,2,1)))</f>
        <v>3.5</v>
      </c>
      <c r="J379" s="75">
        <v>2.5</v>
      </c>
      <c r="K379" s="83" t="s">
        <v>182</v>
      </c>
      <c r="L379" s="17">
        <f t="shared" ref="L379:N394" si="135">IF($K379=L$1,50%,25%)</f>
        <v>0.5</v>
      </c>
      <c r="M379" s="17">
        <f t="shared" si="135"/>
        <v>0.25</v>
      </c>
      <c r="N379" s="17">
        <f t="shared" si="135"/>
        <v>0.25</v>
      </c>
      <c r="O379" s="81">
        <f t="shared" si="123"/>
        <v>0</v>
      </c>
      <c r="P379" s="36">
        <f>IF(D379&gt;21,VLOOKUP(D379,Barem!$T$1:$U$39,2,1),0)</f>
        <v>0</v>
      </c>
      <c r="Q379" s="32">
        <f>IF(D379&lt;1.609,0,IF(B379="F",VLOOKUP(G379,Barem!$X$2:$Z$13,2,1),VLOOKUP(G379,Barem!$X$14:$Z$25,2,1)))</f>
        <v>0</v>
      </c>
      <c r="R379" s="36">
        <f>VLOOKUP(A379,Participanti!A:C,3,0)</f>
        <v>0</v>
      </c>
      <c r="S379" s="29">
        <f t="shared" si="125"/>
        <v>3.25</v>
      </c>
      <c r="T379" s="79">
        <v>44061</v>
      </c>
      <c r="U379" s="16">
        <f>COUNTIFS(A:A,A379,C:C,C379)</f>
        <v>1</v>
      </c>
      <c r="V379" s="34">
        <f t="shared" si="126"/>
        <v>0.21652231845436376</v>
      </c>
      <c r="W379" s="3" t="str">
        <f>VLOOKUP(A379,Data_echipe!A:O,15,0)</f>
        <v>Unicornii</v>
      </c>
      <c r="X379" s="3">
        <f t="shared" si="113"/>
        <v>1</v>
      </c>
    </row>
    <row r="380" spans="1:24">
      <c r="A380" s="74" t="s">
        <v>82</v>
      </c>
      <c r="B380" s="24" t="str">
        <f>VLOOKUP(A380,Participanti!A:B,2,0)</f>
        <v>M</v>
      </c>
      <c r="C380" s="75">
        <v>12</v>
      </c>
      <c r="D380" s="76">
        <v>49.03</v>
      </c>
      <c r="E380" s="77">
        <v>0.34053240740740742</v>
      </c>
      <c r="F380" s="78">
        <v>2366</v>
      </c>
      <c r="G380" s="20">
        <f t="shared" si="122"/>
        <v>6.9453886887091048E-3</v>
      </c>
      <c r="H380" s="16">
        <f>IF(B380="F",IF(G380&gt;Barem!$AC$2,0,IF(B380="F",VLOOKUP(D380,Barem!$B$2:$C$11,2,1))),IF(G380&gt;Barem!$AC$3,0,VLOOKUP(D380,Barem!$B$12:$C$21,2,1)))</f>
        <v>5</v>
      </c>
      <c r="I380" s="16">
        <f>IF(H380=0,0,IF(B380="F",VLOOKUP(G380,Barem!$G$2:$H$11,2,1),VLOOKUP(G380,Barem!$G$12:$H$21,2,1)))</f>
        <v>0</v>
      </c>
      <c r="J380" s="75">
        <v>4.5</v>
      </c>
      <c r="K380" s="82" t="str">
        <f>VLOOKUP($C380,Barem!$L$2:$R$13,7,0)</f>
        <v>V</v>
      </c>
      <c r="L380" s="17">
        <f t="shared" si="135"/>
        <v>0.25</v>
      </c>
      <c r="M380" s="17">
        <f t="shared" si="135"/>
        <v>0.5</v>
      </c>
      <c r="N380" s="17">
        <f t="shared" si="135"/>
        <v>0.25</v>
      </c>
      <c r="O380" s="81">
        <f t="shared" si="123"/>
        <v>1.5773333333333333</v>
      </c>
      <c r="P380" s="36">
        <f>IF(D380&gt;21,VLOOKUP(D380,Barem!$T$1:$U$39,2,1),0)</f>
        <v>0.5</v>
      </c>
      <c r="Q380" s="32">
        <f>IF(D380&lt;1.609,0,IF(B380="F",VLOOKUP(G380,Barem!$X$2:$Z$13,2,1),VLOOKUP(G380,Barem!$X$14:$Z$25,2,1)))</f>
        <v>0</v>
      </c>
      <c r="R380" s="36">
        <f>VLOOKUP(A380,Participanti!A:C,3,0)</f>
        <v>0</v>
      </c>
      <c r="S380" s="29">
        <f t="shared" si="125"/>
        <v>4.4523333333333337</v>
      </c>
      <c r="T380" s="79">
        <v>44062</v>
      </c>
      <c r="U380" s="16">
        <v>0</v>
      </c>
      <c r="V380" s="34">
        <f t="shared" si="126"/>
        <v>9.0808348630090421E-2</v>
      </c>
      <c r="W380" s="3" t="str">
        <f>VLOOKUP(A380,Data_echipe!A:O,15,0)</f>
        <v xml:space="preserve"> Let it run</v>
      </c>
      <c r="X380" s="3">
        <f t="shared" si="113"/>
        <v>0</v>
      </c>
    </row>
    <row r="381" spans="1:24">
      <c r="A381" s="74" t="s">
        <v>115</v>
      </c>
      <c r="B381" s="24" t="str">
        <f>VLOOKUP(A381,Participanti!A:B,2,0)</f>
        <v>M</v>
      </c>
      <c r="C381" s="75">
        <v>12</v>
      </c>
      <c r="D381" s="76">
        <v>53.13</v>
      </c>
      <c r="E381" s="77">
        <v>0.50265046296296301</v>
      </c>
      <c r="F381" s="78">
        <v>3969</v>
      </c>
      <c r="G381" s="20">
        <f t="shared" ref="G381:G411" si="136">E381/D381</f>
        <v>9.4607653484465089E-3</v>
      </c>
      <c r="H381" s="16">
        <f>IF(B381="F",IF(G381&gt;Barem!$AC$2,0,IF(B381="F",VLOOKUP(D381,Barem!$B$2:$C$11,2,1))),IF(G381&gt;Barem!$AC$3,0,VLOOKUP(D381,Barem!$B$12:$C$21,2,1)))</f>
        <v>0</v>
      </c>
      <c r="I381" s="16">
        <f>IF(H381=0,0,IF(B381="F",VLOOKUP(G381,Barem!$G$2:$H$11,2,1),VLOOKUP(G381,Barem!$G$12:$H$21,2,1)))</f>
        <v>0</v>
      </c>
      <c r="J381" s="75">
        <v>5</v>
      </c>
      <c r="K381" s="83" t="s">
        <v>182</v>
      </c>
      <c r="L381" s="17">
        <f t="shared" si="135"/>
        <v>0.5</v>
      </c>
      <c r="M381" s="17">
        <f t="shared" si="135"/>
        <v>0.25</v>
      </c>
      <c r="N381" s="17">
        <f t="shared" si="135"/>
        <v>0.25</v>
      </c>
      <c r="O381" s="81">
        <f t="shared" ref="O381:O411" si="137">IF(F381&lt;-49,F381/1500,IF(F381&gt;99,F381/1500,0))</f>
        <v>2.6459999999999999</v>
      </c>
      <c r="P381" s="36">
        <f>IF(D381&gt;21,VLOOKUP(D381,Barem!$T$1:$U$39,2,1),0)</f>
        <v>0.6</v>
      </c>
      <c r="Q381" s="32">
        <f>IF(D381&lt;1.609,0,IF(B381="F",VLOOKUP(G381,Barem!$X$2:$Z$13,2,1),VLOOKUP(G381,Barem!$X$14:$Z$25,2,1)))</f>
        <v>0</v>
      </c>
      <c r="R381" s="36">
        <f>VLOOKUP(A381,Participanti!A:C,3,0)</f>
        <v>0.5</v>
      </c>
      <c r="S381" s="29">
        <f t="shared" si="125"/>
        <v>4.9959999999999996</v>
      </c>
      <c r="T381" s="79">
        <v>44065</v>
      </c>
      <c r="U381" s="16">
        <v>1</v>
      </c>
      <c r="V381" s="34">
        <f t="shared" si="126"/>
        <v>9.4033502729154894E-2</v>
      </c>
      <c r="W381" s="3" t="str">
        <f>VLOOKUP(A381,Data_echipe!A:O,15,0)</f>
        <v xml:space="preserve"> Let it run</v>
      </c>
      <c r="X381" s="3">
        <f t="shared" si="113"/>
        <v>0</v>
      </c>
    </row>
    <row r="382" spans="1:24">
      <c r="A382" s="74" t="s">
        <v>8</v>
      </c>
      <c r="B382" s="24" t="str">
        <f>VLOOKUP(A382,Participanti!A:B,2,0)</f>
        <v>M</v>
      </c>
      <c r="C382" s="75">
        <v>12</v>
      </c>
      <c r="D382" s="76">
        <v>5.45</v>
      </c>
      <c r="E382" s="77">
        <v>2.0775462962962964E-2</v>
      </c>
      <c r="F382" s="78">
        <v>4</v>
      </c>
      <c r="G382" s="20">
        <f t="shared" si="136"/>
        <v>3.812011552837241E-3</v>
      </c>
      <c r="H382" s="16">
        <f>IF(B382="F",IF(G382&gt;Barem!$AC$2,0,IF(B382="F",VLOOKUP(D382,Barem!$B$2:$C$11,2,1))),IF(G382&gt;Barem!$AC$3,0,VLOOKUP(D382,Barem!$B$12:$C$21,2,1)))</f>
        <v>1.5</v>
      </c>
      <c r="I382" s="16">
        <f>IF(H382=0,0,IF(B382="F",VLOOKUP(G382,Barem!$G$2:$H$11,2,1),VLOOKUP(G382,Barem!$G$12:$H$21,2,1)))</f>
        <v>2</v>
      </c>
      <c r="J382" s="75">
        <v>3.5</v>
      </c>
      <c r="K382" s="82" t="str">
        <f>VLOOKUP($C382,Barem!$L$2:$R$13,7,0)</f>
        <v>V</v>
      </c>
      <c r="L382" s="17">
        <f t="shared" si="135"/>
        <v>0.25</v>
      </c>
      <c r="M382" s="17">
        <f t="shared" si="135"/>
        <v>0.5</v>
      </c>
      <c r="N382" s="17">
        <f t="shared" si="135"/>
        <v>0.25</v>
      </c>
      <c r="O382" s="81">
        <f t="shared" si="137"/>
        <v>0</v>
      </c>
      <c r="P382" s="36">
        <f>IF(D382&gt;21,VLOOKUP(D382,Barem!$T$1:$U$39,2,1),0)</f>
        <v>0</v>
      </c>
      <c r="Q382" s="32">
        <f>IF(D382&lt;1.609,0,IF(B382="F",VLOOKUP(G382,Barem!$X$2:$Z$13,2,1),VLOOKUP(G382,Barem!$X$14:$Z$25,2,1)))</f>
        <v>0</v>
      </c>
      <c r="R382" s="36">
        <f>VLOOKUP(A382,Participanti!A:C,3,0)</f>
        <v>0</v>
      </c>
      <c r="S382" s="29">
        <f t="shared" si="125"/>
        <v>2.25</v>
      </c>
      <c r="T382" s="79">
        <v>44061</v>
      </c>
      <c r="U382" s="16">
        <f>COUNTIFS(A:A,A382,C:C,C382)</f>
        <v>1</v>
      </c>
      <c r="V382" s="34">
        <f t="shared" si="126"/>
        <v>0.41284403669724767</v>
      </c>
      <c r="W382" s="3" t="str">
        <f>VLOOKUP(A382,Data_echipe!A:O,15,0)</f>
        <v xml:space="preserve"> Let it run</v>
      </c>
      <c r="X382" s="3">
        <f t="shared" si="113"/>
        <v>1</v>
      </c>
    </row>
    <row r="383" spans="1:24">
      <c r="A383" s="74" t="s">
        <v>131</v>
      </c>
      <c r="B383" s="24" t="str">
        <f>VLOOKUP(A383,Participanti!A:B,2,0)</f>
        <v>M</v>
      </c>
      <c r="C383" s="75">
        <v>12</v>
      </c>
      <c r="D383" s="76">
        <v>21.12</v>
      </c>
      <c r="E383" s="77">
        <v>8.3043981481481483E-2</v>
      </c>
      <c r="F383" s="78">
        <v>79</v>
      </c>
      <c r="G383" s="20">
        <f t="shared" si="136"/>
        <v>3.9320066989337824E-3</v>
      </c>
      <c r="H383" s="16">
        <f>IF(B383="F",IF(G383&gt;Barem!$AC$2,0,IF(B383="F",VLOOKUP(D383,Barem!$B$2:$C$11,2,1))),IF(G383&gt;Barem!$AC$3,0,VLOOKUP(D383,Barem!$B$12:$C$21,2,1)))</f>
        <v>5</v>
      </c>
      <c r="I383" s="16">
        <f>IF(H383=0,0,IF(B383="F",VLOOKUP(G383,Barem!$G$2:$H$11,2,1),VLOOKUP(G383,Barem!$G$12:$H$21,2,1)))</f>
        <v>1.5</v>
      </c>
      <c r="J383" s="75">
        <v>4</v>
      </c>
      <c r="K383" s="83" t="s">
        <v>184</v>
      </c>
      <c r="L383" s="17">
        <f t="shared" si="135"/>
        <v>0.25</v>
      </c>
      <c r="M383" s="17">
        <f t="shared" si="135"/>
        <v>0.25</v>
      </c>
      <c r="N383" s="17">
        <f t="shared" si="135"/>
        <v>0.5</v>
      </c>
      <c r="O383" s="81">
        <f t="shared" si="137"/>
        <v>0</v>
      </c>
      <c r="P383" s="36">
        <f>IF(D383&gt;21,VLOOKUP(D383,Barem!$T$1:$U$39,2,1),0)</f>
        <v>0</v>
      </c>
      <c r="Q383" s="32">
        <f>IF(D383&lt;1.609,0,IF(B383="F",VLOOKUP(G383,Barem!$X$2:$Z$13,2,1),VLOOKUP(G383,Barem!$X$14:$Z$25,2,1)))</f>
        <v>0</v>
      </c>
      <c r="R383" s="36">
        <f>VLOOKUP(A383,Participanti!A:C,3,0)</f>
        <v>0</v>
      </c>
      <c r="S383" s="29">
        <f t="shared" si="125"/>
        <v>3.625</v>
      </c>
      <c r="T383" s="79">
        <v>44066</v>
      </c>
      <c r="U383" s="16">
        <f>COUNTIFS(A:A,A383,C:C,C383)</f>
        <v>1</v>
      </c>
      <c r="V383" s="34">
        <f t="shared" si="126"/>
        <v>0.17163825757575757</v>
      </c>
      <c r="W383" s="3" t="str">
        <f>VLOOKUP(A383,Data_echipe!A:O,15,0)</f>
        <v xml:space="preserve"> Let it run</v>
      </c>
      <c r="X383" s="3">
        <f t="shared" si="113"/>
        <v>1</v>
      </c>
    </row>
    <row r="384" spans="1:24">
      <c r="A384" s="74" t="s">
        <v>50</v>
      </c>
      <c r="B384" s="24" t="str">
        <f>VLOOKUP(A384,Participanti!A:B,2,0)</f>
        <v>F</v>
      </c>
      <c r="C384" s="75">
        <v>12</v>
      </c>
      <c r="D384" s="76">
        <v>3.02</v>
      </c>
      <c r="E384" s="77">
        <v>1.0833333333333334E-2</v>
      </c>
      <c r="F384" s="78">
        <v>16</v>
      </c>
      <c r="G384" s="20">
        <f t="shared" si="136"/>
        <v>3.5871964679911701E-3</v>
      </c>
      <c r="H384" s="16">
        <f>IF(B384="F",IF(G384&gt;Barem!$AC$2,0,IF(B384="F",VLOOKUP(D384,Barem!$B$2:$C$11,2,1))),IF(G384&gt;Barem!$AC$3,0,VLOOKUP(D384,Barem!$B$12:$C$21,2,1)))</f>
        <v>1</v>
      </c>
      <c r="I384" s="16">
        <f>IF(H384=0,0,IF(B384="F",VLOOKUP(G384,Barem!$G$2:$H$11,2,1),VLOOKUP(G384,Barem!$G$12:$H$21,2,1)))</f>
        <v>3.5</v>
      </c>
      <c r="J384" s="75">
        <v>3</v>
      </c>
      <c r="K384" s="82" t="str">
        <f>VLOOKUP($C384,Barem!$L$2:$R$13,7,0)</f>
        <v>V</v>
      </c>
      <c r="L384" s="17">
        <f t="shared" si="135"/>
        <v>0.25</v>
      </c>
      <c r="M384" s="17">
        <f t="shared" si="135"/>
        <v>0.5</v>
      </c>
      <c r="N384" s="17">
        <f t="shared" si="135"/>
        <v>0.25</v>
      </c>
      <c r="O384" s="81">
        <f t="shared" si="137"/>
        <v>0</v>
      </c>
      <c r="P384" s="36">
        <f>IF(D384&gt;21,VLOOKUP(D384,Barem!$T$1:$U$39,2,1),0)</f>
        <v>0</v>
      </c>
      <c r="Q384" s="32">
        <f>IF(D384&lt;1.609,0,IF(B384="F",VLOOKUP(G384,Barem!$X$2:$Z$13,2,1),VLOOKUP(G384,Barem!$X$14:$Z$25,2,1)))</f>
        <v>0</v>
      </c>
      <c r="R384" s="36">
        <f>VLOOKUP(A384,Participanti!A:C,3,0)</f>
        <v>0</v>
      </c>
      <c r="S384" s="29">
        <f t="shared" si="125"/>
        <v>2.75</v>
      </c>
      <c r="T384" s="79">
        <v>44063</v>
      </c>
      <c r="U384" s="16">
        <f>COUNTIFS(A:A,A384,C:C,C384)</f>
        <v>1</v>
      </c>
      <c r="V384" s="34">
        <f t="shared" si="126"/>
        <v>0.91059602649006621</v>
      </c>
      <c r="W384" s="3" t="str">
        <f>VLOOKUP(A384,Data_echipe!A:O,15,0)</f>
        <v>Serioranistii</v>
      </c>
      <c r="X384" s="3">
        <f t="shared" si="113"/>
        <v>1</v>
      </c>
    </row>
    <row r="385" spans="1:24">
      <c r="A385" s="74" t="s">
        <v>209</v>
      </c>
      <c r="B385" s="24" t="str">
        <f>VLOOKUP(A385,Participanti!A:B,2,0)</f>
        <v>M</v>
      </c>
      <c r="C385" s="75">
        <v>12</v>
      </c>
      <c r="D385" s="76">
        <v>10.199999999999999</v>
      </c>
      <c r="E385" s="77">
        <v>2.7685185185185188E-2</v>
      </c>
      <c r="F385" s="78">
        <v>13</v>
      </c>
      <c r="G385" s="20">
        <f t="shared" si="136"/>
        <v>2.7142338416848225E-3</v>
      </c>
      <c r="H385" s="16">
        <f>IF(B385="F",IF(G385&gt;Barem!$AC$2,0,IF(B385="F",VLOOKUP(D385,Barem!$B$2:$C$11,2,1))),IF(G385&gt;Barem!$AC$3,0,VLOOKUP(D385,Barem!$B$12:$C$21,2,1)))</f>
        <v>2.5</v>
      </c>
      <c r="I385" s="16">
        <f>IF(H385=0,0,IF(B385="F",VLOOKUP(G385,Barem!$G$2:$H$11,2,1),VLOOKUP(G385,Barem!$G$12:$H$21,2,1)))</f>
        <v>5</v>
      </c>
      <c r="J385" s="75">
        <v>4</v>
      </c>
      <c r="K385" s="83" t="s">
        <v>184</v>
      </c>
      <c r="L385" s="17">
        <f t="shared" si="135"/>
        <v>0.25</v>
      </c>
      <c r="M385" s="17">
        <f t="shared" si="135"/>
        <v>0.25</v>
      </c>
      <c r="N385" s="17">
        <f t="shared" si="135"/>
        <v>0.5</v>
      </c>
      <c r="O385" s="81">
        <f t="shared" si="137"/>
        <v>0</v>
      </c>
      <c r="P385" s="36">
        <f>IF(D385&gt;21,VLOOKUP(D385,Barem!$T$1:$U$39,2,1),0)</f>
        <v>0</v>
      </c>
      <c r="Q385" s="32">
        <f>IF(D385&lt;1.609,0,IF(B385="F",VLOOKUP(G385,Barem!$X$2:$Z$13,2,1),VLOOKUP(G385,Barem!$X$14:$Z$25,2,1)))</f>
        <v>0.30000000000000004</v>
      </c>
      <c r="R385" s="36">
        <f>VLOOKUP(A385,Participanti!A:C,3,0)</f>
        <v>0</v>
      </c>
      <c r="S385" s="29">
        <f t="shared" si="125"/>
        <v>4.1749999999999998</v>
      </c>
      <c r="T385" s="79">
        <v>44065</v>
      </c>
      <c r="U385" s="16">
        <f>COUNTIFS(A:A,A385,C:C,C385)</f>
        <v>1</v>
      </c>
      <c r="V385" s="34">
        <f t="shared" si="126"/>
        <v>0.40931372549019607</v>
      </c>
      <c r="W385" s="3" t="str">
        <f>VLOOKUP(A385,Data_echipe!A:O,15,0)</f>
        <v>Serioranistii</v>
      </c>
      <c r="X385" s="3">
        <f t="shared" si="113"/>
        <v>1</v>
      </c>
    </row>
    <row r="386" spans="1:24">
      <c r="A386" s="74" t="s">
        <v>210</v>
      </c>
      <c r="B386" s="24" t="str">
        <f>VLOOKUP(A386,Participanti!A:B,2,0)</f>
        <v>F</v>
      </c>
      <c r="C386" s="75">
        <v>12</v>
      </c>
      <c r="D386" s="76">
        <v>6.52</v>
      </c>
      <c r="E386" s="77">
        <v>2.5949074074074072E-2</v>
      </c>
      <c r="F386" s="78">
        <v>24</v>
      </c>
      <c r="G386" s="20">
        <f t="shared" si="136"/>
        <v>3.9799193365144285E-3</v>
      </c>
      <c r="H386" s="16">
        <f>IF(B386="F",IF(G386&gt;Barem!$AC$2,0,IF(B386="F",VLOOKUP(D386,Barem!$B$2:$C$11,2,1))),IF(G386&gt;Barem!$AC$3,0,VLOOKUP(D386,Barem!$B$12:$C$21,2,1)))</f>
        <v>2</v>
      </c>
      <c r="I386" s="16">
        <f>IF(H386=0,0,IF(B386="F",VLOOKUP(G386,Barem!$G$2:$H$11,2,1),VLOOKUP(G386,Barem!$G$12:$H$21,2,1)))</f>
        <v>2.5</v>
      </c>
      <c r="J386" s="75">
        <v>2.5</v>
      </c>
      <c r="K386" s="83" t="s">
        <v>182</v>
      </c>
      <c r="L386" s="17">
        <f t="shared" si="135"/>
        <v>0.5</v>
      </c>
      <c r="M386" s="17">
        <f t="shared" si="135"/>
        <v>0.25</v>
      </c>
      <c r="N386" s="17">
        <f t="shared" si="135"/>
        <v>0.25</v>
      </c>
      <c r="O386" s="81">
        <f t="shared" si="137"/>
        <v>0</v>
      </c>
      <c r="P386" s="36">
        <f>IF(D386&gt;21,VLOOKUP(D386,Barem!$T$1:$U$39,2,1),0)</f>
        <v>0</v>
      </c>
      <c r="Q386" s="32">
        <f>IF(D386&lt;1.609,0,IF(B386="F",VLOOKUP(G386,Barem!$X$2:$Z$13,2,1),VLOOKUP(G386,Barem!$X$14:$Z$25,2,1)))</f>
        <v>0</v>
      </c>
      <c r="R386" s="36">
        <f>VLOOKUP(A386,Participanti!A:C,3,0)</f>
        <v>0</v>
      </c>
      <c r="S386" s="29">
        <f t="shared" si="125"/>
        <v>2.25</v>
      </c>
      <c r="T386" s="79">
        <v>44065</v>
      </c>
      <c r="U386" s="16">
        <f>COUNTIFS(A:A,A386,C:C,C386)</f>
        <v>1</v>
      </c>
      <c r="V386" s="34">
        <f t="shared" si="126"/>
        <v>0.34509202453987731</v>
      </c>
      <c r="W386" s="3" t="str">
        <f>VLOOKUP(A386,Data_echipe!A:O,15,0)</f>
        <v>X Æ A-12</v>
      </c>
      <c r="X386" s="3">
        <f t="shared" si="113"/>
        <v>1</v>
      </c>
    </row>
    <row r="387" spans="1:24">
      <c r="A387" s="74" t="s">
        <v>66</v>
      </c>
      <c r="B387" s="24" t="str">
        <f>VLOOKUP(A387,Participanti!A:B,2,0)</f>
        <v>M</v>
      </c>
      <c r="C387" s="75">
        <v>12</v>
      </c>
      <c r="D387" s="76">
        <v>19.324089999999998</v>
      </c>
      <c r="E387" s="77">
        <v>6.851851851851852E-2</v>
      </c>
      <c r="F387" s="78">
        <v>0</v>
      </c>
      <c r="G387" s="20">
        <f t="shared" si="136"/>
        <v>3.5457565411110446E-3</v>
      </c>
      <c r="H387" s="16">
        <f>IF(B387="F",IF(G387&gt;Barem!$AC$2,0,IF(B387="F",VLOOKUP(D387,Barem!$B$2:$C$11,2,1))),IF(G387&gt;Barem!$AC$3,0,VLOOKUP(D387,Barem!$B$12:$C$21,2,1)))</f>
        <v>4.5</v>
      </c>
      <c r="I387" s="16">
        <f>IF(H387=0,0,IF(B387="F",VLOOKUP(G387,Barem!$G$2:$H$11,2,1),VLOOKUP(G387,Barem!$G$12:$H$21,2,1)))</f>
        <v>2.5</v>
      </c>
      <c r="J387" s="75">
        <v>2</v>
      </c>
      <c r="K387" s="82" t="str">
        <f>VLOOKUP($C387,Barem!$L$2:$R$13,7,0)</f>
        <v>V</v>
      </c>
      <c r="L387" s="17">
        <f t="shared" si="135"/>
        <v>0.25</v>
      </c>
      <c r="M387" s="17">
        <f t="shared" si="135"/>
        <v>0.5</v>
      </c>
      <c r="N387" s="17">
        <f t="shared" si="135"/>
        <v>0.25</v>
      </c>
      <c r="O387" s="81">
        <f t="shared" si="137"/>
        <v>0</v>
      </c>
      <c r="P387" s="36">
        <f>IF(D387&gt;21,VLOOKUP(D387,Barem!$T$1:$U$39,2,1),0)</f>
        <v>0</v>
      </c>
      <c r="Q387" s="32">
        <f>IF(D387&lt;1.609,0,IF(B387="F",VLOOKUP(G387,Barem!$X$2:$Z$13,2,1),VLOOKUP(G387,Barem!$X$14:$Z$25,2,1)))</f>
        <v>0</v>
      </c>
      <c r="R387" s="36">
        <f>VLOOKUP(A387,Participanti!A:C,3,0)</f>
        <v>0</v>
      </c>
      <c r="S387" s="29">
        <f t="shared" si="125"/>
        <v>2.875</v>
      </c>
      <c r="T387" s="79">
        <v>44062</v>
      </c>
      <c r="U387" s="16">
        <f>COUNTIFS(A:A,A387,C:C,C387)</f>
        <v>1</v>
      </c>
      <c r="V387" s="34">
        <f t="shared" si="126"/>
        <v>0.14877802783986208</v>
      </c>
      <c r="W387" s="3" t="str">
        <f>VLOOKUP(A387,Data_echipe!A:O,15,0)</f>
        <v>X Æ A-12</v>
      </c>
      <c r="X387" s="3">
        <f t="shared" ref="X387:X411" si="138">IF(I387&gt;0,1,0)</f>
        <v>1</v>
      </c>
    </row>
    <row r="388" spans="1:24">
      <c r="A388" s="74" t="s">
        <v>208</v>
      </c>
      <c r="B388" s="24" t="str">
        <f>VLOOKUP(A388,Participanti!A:B,2,0)</f>
        <v>M</v>
      </c>
      <c r="C388" s="75">
        <v>12</v>
      </c>
      <c r="D388" s="76">
        <v>12.78</v>
      </c>
      <c r="E388" s="77">
        <v>5.0405092592592592E-2</v>
      </c>
      <c r="F388" s="78">
        <v>160</v>
      </c>
      <c r="G388" s="20">
        <f t="shared" si="136"/>
        <v>3.9440604532545069E-3</v>
      </c>
      <c r="H388" s="16">
        <f>IF(B388="F",IF(G388&gt;Barem!$AC$2,0,IF(B388="F",VLOOKUP(D388,Barem!$B$2:$C$11,2,1))),IF(G388&gt;Barem!$AC$3,0,VLOOKUP(D388,Barem!$B$12:$C$21,2,1)))</f>
        <v>3</v>
      </c>
      <c r="I388" s="16">
        <f>IF(H388=0,0,IF(B388="F",VLOOKUP(G388,Barem!$G$2:$H$11,2,1),VLOOKUP(G388,Barem!$G$12:$H$21,2,1)))</f>
        <v>1.5</v>
      </c>
      <c r="J388" s="75">
        <v>3.5</v>
      </c>
      <c r="K388" s="83" t="s">
        <v>184</v>
      </c>
      <c r="L388" s="17">
        <f t="shared" si="135"/>
        <v>0.25</v>
      </c>
      <c r="M388" s="17">
        <f t="shared" si="135"/>
        <v>0.25</v>
      </c>
      <c r="N388" s="17">
        <f t="shared" si="135"/>
        <v>0.5</v>
      </c>
      <c r="O388" s="81">
        <f t="shared" si="137"/>
        <v>0.10666666666666667</v>
      </c>
      <c r="P388" s="36">
        <f>IF(D388&gt;21,VLOOKUP(D388,Barem!$T$1:$U$39,2,1),0)</f>
        <v>0</v>
      </c>
      <c r="Q388" s="32">
        <f>IF(D388&lt;1.609,0,IF(B388="F",VLOOKUP(G388,Barem!$X$2:$Z$13,2,1),VLOOKUP(G388,Barem!$X$14:$Z$25,2,1)))</f>
        <v>0</v>
      </c>
      <c r="R388" s="36">
        <f>VLOOKUP(A388,Participanti!A:C,3,0)</f>
        <v>0</v>
      </c>
      <c r="S388" s="29">
        <f t="shared" si="125"/>
        <v>2.9816666666666665</v>
      </c>
      <c r="T388" s="79">
        <v>44063</v>
      </c>
      <c r="U388" s="16">
        <f>COUNTIFS(A:A,A388,C:C,C388)</f>
        <v>1</v>
      </c>
      <c r="V388" s="34">
        <f t="shared" si="126"/>
        <v>0.23330725091288471</v>
      </c>
      <c r="W388" s="3" t="str">
        <f>VLOOKUP(A388,Data_echipe!A:O,15,0)</f>
        <v xml:space="preserve"> Let it run</v>
      </c>
      <c r="X388" s="3">
        <f t="shared" si="138"/>
        <v>1</v>
      </c>
    </row>
    <row r="389" spans="1:24">
      <c r="A389" s="74" t="s">
        <v>169</v>
      </c>
      <c r="B389" s="24" t="str">
        <f>VLOOKUP(A389,Participanti!A:B,2,0)</f>
        <v>F</v>
      </c>
      <c r="C389" s="75">
        <v>12</v>
      </c>
      <c r="D389" s="76">
        <v>6</v>
      </c>
      <c r="E389" s="77">
        <v>3.471064814814815E-2</v>
      </c>
      <c r="F389" s="78">
        <v>0</v>
      </c>
      <c r="G389" s="20">
        <f t="shared" si="136"/>
        <v>5.7851080246913581E-3</v>
      </c>
      <c r="H389" s="16">
        <f>IF(B389="F",IF(G389&gt;Barem!$AC$2,0,IF(B389="F",VLOOKUP(D389,Barem!$B$2:$C$11,2,1))),IF(G389&gt;Barem!$AC$3,0,VLOOKUP(D389,Barem!$B$12:$C$21,2,1)))</f>
        <v>1.5</v>
      </c>
      <c r="I389" s="16">
        <f>IF(H389=0,0,IF(B389="F",VLOOKUP(G389,Barem!$G$2:$H$11,2,1),VLOOKUP(G389,Barem!$G$12:$H$21,2,1)))</f>
        <v>1</v>
      </c>
      <c r="J389" s="75">
        <v>2.5</v>
      </c>
      <c r="K389" s="82" t="str">
        <f>VLOOKUP($C389,Barem!$L$2:$R$13,7,0)</f>
        <v>V</v>
      </c>
      <c r="L389" s="17">
        <f t="shared" si="135"/>
        <v>0.25</v>
      </c>
      <c r="M389" s="17">
        <f t="shared" si="135"/>
        <v>0.5</v>
      </c>
      <c r="N389" s="17">
        <f t="shared" si="135"/>
        <v>0.25</v>
      </c>
      <c r="O389" s="81">
        <f t="shared" si="137"/>
        <v>0</v>
      </c>
      <c r="P389" s="36">
        <f>IF(D389&gt;21,VLOOKUP(D389,Barem!$T$1:$U$39,2,1),0)</f>
        <v>0</v>
      </c>
      <c r="Q389" s="32">
        <f>IF(D389&lt;1.609,0,IF(B389="F",VLOOKUP(G389,Barem!$X$2:$Z$13,2,1),VLOOKUP(G389,Barem!$X$14:$Z$25,2,1)))</f>
        <v>0</v>
      </c>
      <c r="R389" s="36">
        <f>VLOOKUP(A389,Participanti!A:C,3,0)</f>
        <v>0.5</v>
      </c>
      <c r="S389" s="29">
        <f t="shared" si="125"/>
        <v>2</v>
      </c>
      <c r="T389" s="79">
        <v>44061</v>
      </c>
      <c r="U389" s="16">
        <f>COUNTIFS(A:A,A389,C:C,C389)</f>
        <v>1</v>
      </c>
      <c r="V389" s="34">
        <f t="shared" si="126"/>
        <v>0.33333333333333331</v>
      </c>
      <c r="W389" s="3" t="str">
        <f>VLOOKUP(A389,Data_echipe!A:O,15,0)</f>
        <v>Serioranistii</v>
      </c>
      <c r="X389" s="3">
        <f t="shared" si="138"/>
        <v>1</v>
      </c>
    </row>
    <row r="390" spans="1:24">
      <c r="A390" s="74" t="s">
        <v>53</v>
      </c>
      <c r="B390" s="24" t="str">
        <f>VLOOKUP(A390,Participanti!A:B,2,0)</f>
        <v>M</v>
      </c>
      <c r="C390" s="75">
        <v>12</v>
      </c>
      <c r="D390" s="76">
        <v>14.81</v>
      </c>
      <c r="E390" s="77">
        <v>5.4699074074074074E-2</v>
      </c>
      <c r="F390" s="78">
        <v>20</v>
      </c>
      <c r="G390" s="20">
        <f t="shared" si="136"/>
        <v>3.6933878510515914E-3</v>
      </c>
      <c r="H390" s="16">
        <f>IF(B390="F",IF(G390&gt;Barem!$AC$2,0,IF(B390="F",VLOOKUP(D390,Barem!$B$2:$C$11,2,1))),IF(G390&gt;Barem!$AC$3,0,VLOOKUP(D390,Barem!$B$12:$C$21,2,1)))</f>
        <v>3</v>
      </c>
      <c r="I390" s="16">
        <f>IF(H390=0,0,IF(B390="F",VLOOKUP(G390,Barem!$G$2:$H$11,2,1),VLOOKUP(G390,Barem!$G$12:$H$21,2,1)))</f>
        <v>2</v>
      </c>
      <c r="J390" s="75">
        <v>1</v>
      </c>
      <c r="K390" s="83" t="s">
        <v>184</v>
      </c>
      <c r="L390" s="17">
        <f t="shared" si="135"/>
        <v>0.25</v>
      </c>
      <c r="M390" s="17">
        <f t="shared" si="135"/>
        <v>0.25</v>
      </c>
      <c r="N390" s="17">
        <f t="shared" si="135"/>
        <v>0.5</v>
      </c>
      <c r="O390" s="81">
        <f t="shared" si="137"/>
        <v>0</v>
      </c>
      <c r="P390" s="36">
        <f>IF(D390&gt;21,VLOOKUP(D390,Barem!$T$1:$U$39,2,1),0)</f>
        <v>0</v>
      </c>
      <c r="Q390" s="32">
        <f>IF(D390&lt;1.609,0,IF(B390="F",VLOOKUP(G390,Barem!$X$2:$Z$13,2,1),VLOOKUP(G390,Barem!$X$14:$Z$25,2,1)))</f>
        <v>0</v>
      </c>
      <c r="R390" s="36">
        <f>VLOOKUP(A390,Participanti!A:C,3,0)</f>
        <v>0</v>
      </c>
      <c r="S390" s="29">
        <f t="shared" si="125"/>
        <v>1.75</v>
      </c>
      <c r="T390" s="79">
        <v>44063</v>
      </c>
      <c r="U390" s="16">
        <f>COUNTIFS(A:A,A390,C:C,C390)</f>
        <v>1</v>
      </c>
      <c r="V390" s="34">
        <f t="shared" si="126"/>
        <v>0.11816340310600945</v>
      </c>
      <c r="W390" s="3" t="str">
        <f>VLOOKUP(A390,Data_echipe!A:O,15,0)</f>
        <v>Tenchei</v>
      </c>
      <c r="X390" s="3">
        <f t="shared" si="138"/>
        <v>1</v>
      </c>
    </row>
    <row r="391" spans="1:24">
      <c r="A391" s="74" t="s">
        <v>62</v>
      </c>
      <c r="B391" s="24" t="str">
        <f>VLOOKUP(A391,Participanti!A:B,2,0)</f>
        <v>M</v>
      </c>
      <c r="C391" s="75">
        <v>12</v>
      </c>
      <c r="D391" s="76">
        <v>3.01</v>
      </c>
      <c r="E391" s="77">
        <v>9.2013888888888892E-3</v>
      </c>
      <c r="F391" s="78">
        <v>0</v>
      </c>
      <c r="G391" s="20">
        <f t="shared" si="136"/>
        <v>3.0569398301956443E-3</v>
      </c>
      <c r="H391" s="16">
        <f>IF(B391="F",IF(G391&gt;Barem!$AC$2,0,IF(B391="F",VLOOKUP(D391,Barem!$B$2:$C$11,2,1))),IF(G391&gt;Barem!$AC$3,0,VLOOKUP(D391,Barem!$B$12:$C$21,2,1)))</f>
        <v>1</v>
      </c>
      <c r="I391" s="16">
        <f>IF(H391=0,0,IF(B391="F",VLOOKUP(G391,Barem!$G$2:$H$11,2,1),VLOOKUP(G391,Barem!$G$12:$H$21,2,1)))</f>
        <v>4</v>
      </c>
      <c r="J391" s="75">
        <v>4</v>
      </c>
      <c r="K391" s="82" t="str">
        <f>VLOOKUP($C391,Barem!$L$2:$R$13,7,0)</f>
        <v>V</v>
      </c>
      <c r="L391" s="17">
        <f t="shared" si="135"/>
        <v>0.25</v>
      </c>
      <c r="M391" s="17">
        <f t="shared" si="135"/>
        <v>0.5</v>
      </c>
      <c r="N391" s="17">
        <f t="shared" si="135"/>
        <v>0.25</v>
      </c>
      <c r="O391" s="81">
        <f t="shared" si="137"/>
        <v>0</v>
      </c>
      <c r="P391" s="36">
        <f>IF(D391&gt;21,VLOOKUP(D391,Barem!$T$1:$U$39,2,1),0)</f>
        <v>0</v>
      </c>
      <c r="Q391" s="32">
        <f>IF(D391&lt;1.609,0,IF(B391="F",VLOOKUP(G391,Barem!$X$2:$Z$13,2,1),VLOOKUP(G391,Barem!$X$14:$Z$25,2,1)))</f>
        <v>0</v>
      </c>
      <c r="R391" s="36">
        <f>VLOOKUP(A391,Participanti!A:C,3,0)</f>
        <v>0</v>
      </c>
      <c r="S391" s="29">
        <f t="shared" si="125"/>
        <v>3.25</v>
      </c>
      <c r="T391" s="79">
        <v>44065</v>
      </c>
      <c r="U391" s="16">
        <f>COUNTIFS(A:A,A391,C:C,C391)</f>
        <v>1</v>
      </c>
      <c r="V391" s="34">
        <f t="shared" si="126"/>
        <v>1.0797342192691031</v>
      </c>
      <c r="W391" s="3" t="str">
        <f>VLOOKUP(A391,Data_echipe!A:O,15,0)</f>
        <v>Serioranistii</v>
      </c>
      <c r="X391" s="3">
        <f t="shared" si="138"/>
        <v>1</v>
      </c>
    </row>
    <row r="392" spans="1:24">
      <c r="A392" s="74" t="s">
        <v>52</v>
      </c>
      <c r="B392" s="24" t="str">
        <f>VLOOKUP(A392,Participanti!A:B,2,0)</f>
        <v>M</v>
      </c>
      <c r="C392" s="75">
        <v>12</v>
      </c>
      <c r="D392" s="76">
        <v>21.11</v>
      </c>
      <c r="E392" s="77">
        <v>6.8148148148148138E-2</v>
      </c>
      <c r="F392" s="78">
        <v>61</v>
      </c>
      <c r="G392" s="20">
        <f t="shared" si="136"/>
        <v>3.2282400828113757E-3</v>
      </c>
      <c r="H392" s="16">
        <f>IF(B392="F",IF(G392&gt;Barem!$AC$2,0,IF(B392="F",VLOOKUP(D392,Barem!$B$2:$C$11,2,1))),IF(G392&gt;Barem!$AC$3,0,VLOOKUP(D392,Barem!$B$12:$C$21,2,1)))</f>
        <v>5</v>
      </c>
      <c r="I392" s="16">
        <f>IF(H392=0,0,IF(B392="F",VLOOKUP(G392,Barem!$G$2:$H$11,2,1),VLOOKUP(G392,Barem!$G$12:$H$21,2,1)))</f>
        <v>3.5</v>
      </c>
      <c r="J392" s="75">
        <v>1.5</v>
      </c>
      <c r="K392" s="82" t="str">
        <f>VLOOKUP($C392,Barem!$L$2:$R$13,7,0)</f>
        <v>V</v>
      </c>
      <c r="L392" s="17">
        <f t="shared" si="135"/>
        <v>0.25</v>
      </c>
      <c r="M392" s="17">
        <f t="shared" si="135"/>
        <v>0.5</v>
      </c>
      <c r="N392" s="17">
        <f t="shared" si="135"/>
        <v>0.25</v>
      </c>
      <c r="O392" s="81">
        <f t="shared" si="137"/>
        <v>0</v>
      </c>
      <c r="P392" s="36">
        <f>IF(D392&gt;21,VLOOKUP(D392,Barem!$T$1:$U$39,2,1),0)</f>
        <v>0</v>
      </c>
      <c r="Q392" s="32">
        <f>IF(D392&lt;1.609,0,IF(B392="F",VLOOKUP(G392,Barem!$X$2:$Z$13,2,1),VLOOKUP(G392,Barem!$X$14:$Z$25,2,1)))</f>
        <v>0</v>
      </c>
      <c r="R392" s="36">
        <f>VLOOKUP(A392,Participanti!A:C,3,0)</f>
        <v>0</v>
      </c>
      <c r="S392" s="29">
        <f t="shared" si="125"/>
        <v>3.375</v>
      </c>
      <c r="T392" s="79">
        <v>44066</v>
      </c>
      <c r="U392" s="16">
        <f>COUNTIFS(A:A,A392,C:C,C392)</f>
        <v>1</v>
      </c>
      <c r="V392" s="34">
        <f t="shared" si="126"/>
        <v>0.15987683562292754</v>
      </c>
      <c r="W392" s="3" t="str">
        <f>VLOOKUP(A392,Data_echipe!A:O,15,0)</f>
        <v xml:space="preserve"> Let it run</v>
      </c>
      <c r="X392" s="3">
        <f t="shared" si="138"/>
        <v>1</v>
      </c>
    </row>
    <row r="393" spans="1:24">
      <c r="A393" s="74" t="s">
        <v>68</v>
      </c>
      <c r="B393" s="24" t="str">
        <f>VLOOKUP(A393,Participanti!A:B,2,0)</f>
        <v>M</v>
      </c>
      <c r="C393" s="75">
        <v>12</v>
      </c>
      <c r="D393" s="76">
        <v>9.7200000000000006</v>
      </c>
      <c r="E393" s="77">
        <v>3.7268518518518513E-2</v>
      </c>
      <c r="F393" s="78">
        <v>23</v>
      </c>
      <c r="G393" s="20">
        <f t="shared" si="136"/>
        <v>3.8342097241274189E-3</v>
      </c>
      <c r="H393" s="16">
        <f>IF(B393="F",IF(G393&gt;Barem!$AC$2,0,IF(B393="F",VLOOKUP(D393,Barem!$B$2:$C$11,2,1))),IF(G393&gt;Barem!$AC$3,0,VLOOKUP(D393,Barem!$B$12:$C$21,2,1)))</f>
        <v>2.5</v>
      </c>
      <c r="I393" s="16">
        <f>IF(H393=0,0,IF(B393="F",VLOOKUP(G393,Barem!$G$2:$H$11,2,1),VLOOKUP(G393,Barem!$G$12:$H$21,2,1)))</f>
        <v>1.5</v>
      </c>
      <c r="J393" s="75">
        <v>4</v>
      </c>
      <c r="K393" s="83" t="s">
        <v>184</v>
      </c>
      <c r="L393" s="17">
        <f t="shared" si="135"/>
        <v>0.25</v>
      </c>
      <c r="M393" s="17">
        <f t="shared" si="135"/>
        <v>0.25</v>
      </c>
      <c r="N393" s="17">
        <f t="shared" si="135"/>
        <v>0.5</v>
      </c>
      <c r="O393" s="81">
        <f t="shared" si="137"/>
        <v>0</v>
      </c>
      <c r="P393" s="36">
        <f>IF(D393&gt;21,VLOOKUP(D393,Barem!$T$1:$U$39,2,1),0)</f>
        <v>0</v>
      </c>
      <c r="Q393" s="32">
        <f>IF(D393&lt;1.609,0,IF(B393="F",VLOOKUP(G393,Barem!$X$2:$Z$13,2,1),VLOOKUP(G393,Barem!$X$14:$Z$25,2,1)))</f>
        <v>0</v>
      </c>
      <c r="R393" s="36">
        <f>VLOOKUP(A393,Participanti!A:C,3,0)</f>
        <v>0</v>
      </c>
      <c r="S393" s="29">
        <f t="shared" si="125"/>
        <v>3</v>
      </c>
      <c r="T393" s="79">
        <v>44064</v>
      </c>
      <c r="U393" s="16">
        <f>COUNTIFS(A:A,A393,C:C,C393)</f>
        <v>1</v>
      </c>
      <c r="V393" s="34">
        <f t="shared" si="126"/>
        <v>0.30864197530864196</v>
      </c>
      <c r="W393" s="3" t="str">
        <f>VLOOKUP(A393,Data_echipe!A:O,15,0)</f>
        <v>Unicornii</v>
      </c>
      <c r="X393" s="3">
        <f t="shared" si="138"/>
        <v>1</v>
      </c>
    </row>
    <row r="394" spans="1:24">
      <c r="A394" s="74" t="s">
        <v>86</v>
      </c>
      <c r="B394" s="24" t="str">
        <f>VLOOKUP(A394,Participanti!A:B,2,0)</f>
        <v>M</v>
      </c>
      <c r="C394" s="75">
        <v>12</v>
      </c>
      <c r="D394" s="76">
        <v>8</v>
      </c>
      <c r="E394" s="77">
        <v>2.6481481481481481E-2</v>
      </c>
      <c r="F394" s="78">
        <v>10</v>
      </c>
      <c r="G394" s="20">
        <f t="shared" si="136"/>
        <v>3.3101851851851851E-3</v>
      </c>
      <c r="H394" s="16">
        <f>IF(B394="F",IF(G394&gt;Barem!$AC$2,0,IF(B394="F",VLOOKUP(D394,Barem!$B$2:$C$11,2,1))),IF(G394&gt;Barem!$AC$3,0,VLOOKUP(D394,Barem!$B$12:$C$21,2,1)))</f>
        <v>2</v>
      </c>
      <c r="I394" s="16">
        <f>IF(H394=0,0,IF(B394="F",VLOOKUP(G394,Barem!$G$2:$H$11,2,1),VLOOKUP(G394,Barem!$G$12:$H$21,2,1)))</f>
        <v>3</v>
      </c>
      <c r="J394" s="75">
        <v>3.5</v>
      </c>
      <c r="K394" s="82" t="str">
        <f>VLOOKUP($C394,Barem!$L$2:$R$13,7,0)</f>
        <v>V</v>
      </c>
      <c r="L394" s="17">
        <f t="shared" si="135"/>
        <v>0.25</v>
      </c>
      <c r="M394" s="17">
        <f t="shared" si="135"/>
        <v>0.5</v>
      </c>
      <c r="N394" s="17">
        <f t="shared" si="135"/>
        <v>0.25</v>
      </c>
      <c r="O394" s="81">
        <f t="shared" si="137"/>
        <v>0</v>
      </c>
      <c r="P394" s="36">
        <f>IF(D394&gt;21,VLOOKUP(D394,Barem!$T$1:$U$39,2,1),0)</f>
        <v>0</v>
      </c>
      <c r="Q394" s="32">
        <f>IF(D394&lt;1.609,0,IF(B394="F",VLOOKUP(G394,Barem!$X$2:$Z$13,2,1),VLOOKUP(G394,Barem!$X$14:$Z$25,2,1)))</f>
        <v>0</v>
      </c>
      <c r="R394" s="36">
        <f>VLOOKUP(A394,Participanti!A:C,3,0)</f>
        <v>0</v>
      </c>
      <c r="S394" s="29">
        <f t="shared" si="125"/>
        <v>2.875</v>
      </c>
      <c r="T394" s="79">
        <v>44066</v>
      </c>
      <c r="U394" s="16">
        <f>COUNTIFS(A:A,A394,C:C,C394)</f>
        <v>1</v>
      </c>
      <c r="V394" s="34">
        <f t="shared" si="126"/>
        <v>0.359375</v>
      </c>
      <c r="W394" s="3" t="str">
        <f>VLOOKUP(A394,Data_echipe!A:O,15,0)</f>
        <v>Unicornii</v>
      </c>
      <c r="X394" s="3">
        <f t="shared" si="138"/>
        <v>1</v>
      </c>
    </row>
    <row r="395" spans="1:24">
      <c r="A395" s="74" t="s">
        <v>172</v>
      </c>
      <c r="B395" s="24" t="str">
        <f>VLOOKUP(A395,Participanti!A:B,2,0)</f>
        <v>F</v>
      </c>
      <c r="C395" s="75">
        <v>12</v>
      </c>
      <c r="D395" s="76">
        <v>5.01</v>
      </c>
      <c r="E395" s="77">
        <v>1.6643518518518519E-2</v>
      </c>
      <c r="F395" s="78">
        <v>0</v>
      </c>
      <c r="G395" s="20">
        <f t="shared" si="136"/>
        <v>3.3220595845346347E-3</v>
      </c>
      <c r="H395" s="16">
        <f>IF(B395="F",IF(G395&gt;Barem!$AC$2,0,IF(B395="F",VLOOKUP(D395,Barem!$B$2:$C$11,2,1))),IF(G395&gt;Barem!$AC$3,0,VLOOKUP(D395,Barem!$B$12:$C$21,2,1)))</f>
        <v>1.5</v>
      </c>
      <c r="I395" s="16">
        <f>IF(H395=0,0,IF(B395="F",VLOOKUP(G395,Barem!$G$2:$H$11,2,1),VLOOKUP(G395,Barem!$G$12:$H$21,2,1)))</f>
        <v>4</v>
      </c>
      <c r="J395" s="75">
        <v>3.5</v>
      </c>
      <c r="K395" s="82" t="str">
        <f>VLOOKUP($C395,Barem!$L$2:$R$13,7,0)</f>
        <v>V</v>
      </c>
      <c r="L395" s="17">
        <f t="shared" ref="L395:N411" si="139">IF($K395=L$1,50%,25%)</f>
        <v>0.25</v>
      </c>
      <c r="M395" s="17">
        <f t="shared" si="139"/>
        <v>0.5</v>
      </c>
      <c r="N395" s="17">
        <f t="shared" si="139"/>
        <v>0.25</v>
      </c>
      <c r="O395" s="81">
        <f t="shared" si="137"/>
        <v>0</v>
      </c>
      <c r="P395" s="36">
        <f>IF(D395&gt;21,VLOOKUP(D395,Barem!$T$1:$U$39,2,1),0)</f>
        <v>0</v>
      </c>
      <c r="Q395" s="32">
        <f>IF(D395&lt;1.609,0,IF(B395="F",VLOOKUP(G395,Barem!$X$2:$Z$13,2,1),VLOOKUP(G395,Barem!$X$14:$Z$25,2,1)))</f>
        <v>0</v>
      </c>
      <c r="R395" s="36">
        <f>VLOOKUP(A395,Participanti!A:C,3,0)</f>
        <v>0</v>
      </c>
      <c r="S395" s="29">
        <f t="shared" si="125"/>
        <v>3.25</v>
      </c>
      <c r="T395" s="79">
        <v>44066</v>
      </c>
      <c r="U395" s="16">
        <f>COUNTIFS(A:A,A395,C:C,C395)</f>
        <v>1</v>
      </c>
      <c r="V395" s="34">
        <f t="shared" si="126"/>
        <v>0.64870259481037928</v>
      </c>
      <c r="W395" s="3" t="str">
        <f>VLOOKUP(A395,Data_echipe!A:O,15,0)</f>
        <v>Unicornii</v>
      </c>
      <c r="X395" s="3">
        <f t="shared" si="138"/>
        <v>1</v>
      </c>
    </row>
    <row r="396" spans="1:24">
      <c r="A396" s="74" t="s">
        <v>201</v>
      </c>
      <c r="B396" s="24" t="str">
        <f>VLOOKUP(A396,Participanti!A:B,2,0)</f>
        <v>F</v>
      </c>
      <c r="C396" s="75">
        <v>12</v>
      </c>
      <c r="D396" s="76">
        <v>19.350000000000001</v>
      </c>
      <c r="E396" s="77">
        <v>0.16803240740740741</v>
      </c>
      <c r="F396" s="78">
        <v>1634</v>
      </c>
      <c r="G396" s="20">
        <f t="shared" si="136"/>
        <v>8.6838453440520619E-3</v>
      </c>
      <c r="H396" s="16">
        <f>IF(B396="F",IF(G396&gt;Barem!$AC$2,0,IF(B396="F",VLOOKUP(D396,Barem!$B$2:$C$11,2,1))),IF(G396&gt;Barem!$AC$3,0,VLOOKUP(D396,Barem!$B$12:$C$21,2,1)))</f>
        <v>4.5</v>
      </c>
      <c r="I396" s="16">
        <f>IF(H396=0,0,IF(B396="F",VLOOKUP(G396,Barem!$G$2:$H$11,2,1),VLOOKUP(G396,Barem!$G$12:$H$21,2,1)))</f>
        <v>0</v>
      </c>
      <c r="J396" s="75">
        <v>4</v>
      </c>
      <c r="K396" s="82" t="str">
        <f>VLOOKUP($C396,Barem!$L$2:$R$13,7,0)</f>
        <v>V</v>
      </c>
      <c r="L396" s="17">
        <f t="shared" si="139"/>
        <v>0.25</v>
      </c>
      <c r="M396" s="17">
        <f t="shared" si="139"/>
        <v>0.5</v>
      </c>
      <c r="N396" s="17">
        <f t="shared" si="139"/>
        <v>0.25</v>
      </c>
      <c r="O396" s="81">
        <f t="shared" si="137"/>
        <v>1.0893333333333333</v>
      </c>
      <c r="P396" s="36">
        <f>IF(D396&gt;21,VLOOKUP(D396,Barem!$T$1:$U$39,2,1),0)</f>
        <v>0</v>
      </c>
      <c r="Q396" s="32">
        <f>IF(D396&lt;1.609,0,IF(B396="F",VLOOKUP(G396,Barem!$X$2:$Z$13,2,1),VLOOKUP(G396,Barem!$X$14:$Z$25,2,1)))</f>
        <v>0</v>
      </c>
      <c r="R396" s="36">
        <f>VLOOKUP(A396,Participanti!A:C,3,0)</f>
        <v>0</v>
      </c>
      <c r="S396" s="29">
        <f t="shared" si="125"/>
        <v>3.2143333333333333</v>
      </c>
      <c r="T396" s="79">
        <v>44065</v>
      </c>
      <c r="U396" s="16">
        <f>COUNTIFS(A:A,A396,C:C,C396)</f>
        <v>1</v>
      </c>
      <c r="V396" s="34">
        <f t="shared" si="126"/>
        <v>0.16611541774332469</v>
      </c>
      <c r="W396" s="3" t="str">
        <f>VLOOKUP(A396,Data_echipe!A:O,15,0)</f>
        <v>X Æ A-12</v>
      </c>
      <c r="X396" s="3">
        <f t="shared" si="138"/>
        <v>0</v>
      </c>
    </row>
    <row r="397" spans="1:24">
      <c r="A397" s="74" t="s">
        <v>171</v>
      </c>
      <c r="B397" s="24" t="str">
        <f>VLOOKUP(A397,Participanti!A:B,2,0)</f>
        <v>M</v>
      </c>
      <c r="C397" s="75">
        <v>12</v>
      </c>
      <c r="D397" s="76">
        <v>25.02</v>
      </c>
      <c r="E397" s="77">
        <v>8.0555555555555561E-2</v>
      </c>
      <c r="F397" s="78">
        <v>3</v>
      </c>
      <c r="G397" s="20">
        <f t="shared" si="136"/>
        <v>3.2196465050182079E-3</v>
      </c>
      <c r="H397" s="16">
        <f>IF(B397="F",IF(G397&gt;Barem!$AC$2,0,IF(B397="F",VLOOKUP(D397,Barem!$B$2:$C$11,2,1))),IF(G397&gt;Barem!$AC$3,0,VLOOKUP(D397,Barem!$B$12:$C$21,2,1)))</f>
        <v>5</v>
      </c>
      <c r="I397" s="16">
        <f>IF(H397=0,0,IF(B397="F",VLOOKUP(G397,Barem!$G$2:$H$11,2,1),VLOOKUP(G397,Barem!$G$12:$H$21,2,1)))</f>
        <v>3.5</v>
      </c>
      <c r="J397" s="75">
        <v>3.5</v>
      </c>
      <c r="K397" s="82" t="str">
        <f>VLOOKUP($C397,Barem!$L$2:$R$13,7,0)</f>
        <v>V</v>
      </c>
      <c r="L397" s="17">
        <f t="shared" si="139"/>
        <v>0.25</v>
      </c>
      <c r="M397" s="17">
        <f t="shared" si="139"/>
        <v>0.5</v>
      </c>
      <c r="N397" s="17">
        <f t="shared" si="139"/>
        <v>0.25</v>
      </c>
      <c r="O397" s="81">
        <f t="shared" si="137"/>
        <v>0</v>
      </c>
      <c r="P397" s="36">
        <f>IF(D397&gt;21,VLOOKUP(D397,Barem!$T$1:$U$39,2,1),0)</f>
        <v>0</v>
      </c>
      <c r="Q397" s="32">
        <f>IF(D397&lt;1.609,0,IF(B397="F",VLOOKUP(G397,Barem!$X$2:$Z$13,2,1),VLOOKUP(G397,Barem!$X$14:$Z$25,2,1)))</f>
        <v>0</v>
      </c>
      <c r="R397" s="36">
        <f>VLOOKUP(A397,Participanti!A:C,3,0)</f>
        <v>0</v>
      </c>
      <c r="S397" s="29">
        <f t="shared" si="125"/>
        <v>3.875</v>
      </c>
      <c r="T397" s="79">
        <v>44064</v>
      </c>
      <c r="U397" s="16">
        <f>COUNTIFS(A:A,A397,C:C,C397)</f>
        <v>1</v>
      </c>
      <c r="V397" s="34">
        <f t="shared" si="126"/>
        <v>0.15487609912070344</v>
      </c>
      <c r="W397" s="3" t="str">
        <f>VLOOKUP(A397,Data_echipe!A:O,15,0)</f>
        <v>X Æ A-12</v>
      </c>
      <c r="X397" s="3">
        <f t="shared" si="138"/>
        <v>1</v>
      </c>
    </row>
    <row r="398" spans="1:24">
      <c r="A398" s="74" t="s">
        <v>60</v>
      </c>
      <c r="B398" s="24" t="str">
        <f>VLOOKUP(A398,Participanti!A:B,2,0)</f>
        <v>M</v>
      </c>
      <c r="C398" s="75">
        <v>12</v>
      </c>
      <c r="D398" s="76">
        <v>24.04</v>
      </c>
      <c r="E398" s="77">
        <v>9.0000000000000011E-2</v>
      </c>
      <c r="F398" s="78">
        <v>54</v>
      </c>
      <c r="G398" s="20">
        <f t="shared" si="136"/>
        <v>3.7437603993344432E-3</v>
      </c>
      <c r="H398" s="16">
        <f>IF(B398="F",IF(G398&gt;Barem!$AC$2,0,IF(B398="F",VLOOKUP(D398,Barem!$B$2:$C$11,2,1))),IF(G398&gt;Barem!$AC$3,0,VLOOKUP(D398,Barem!$B$12:$C$21,2,1)))</f>
        <v>5</v>
      </c>
      <c r="I398" s="16">
        <f>IF(H398=0,0,IF(B398="F",VLOOKUP(G398,Barem!$G$2:$H$11,2,1),VLOOKUP(G398,Barem!$G$12:$H$21,2,1)))</f>
        <v>2</v>
      </c>
      <c r="J398" s="75">
        <v>4.5</v>
      </c>
      <c r="K398" s="82" t="str">
        <f>VLOOKUP($C398,Barem!$L$2:$R$13,7,0)</f>
        <v>V</v>
      </c>
      <c r="L398" s="17">
        <f t="shared" si="139"/>
        <v>0.25</v>
      </c>
      <c r="M398" s="17">
        <f t="shared" si="139"/>
        <v>0.5</v>
      </c>
      <c r="N398" s="17">
        <f t="shared" si="139"/>
        <v>0.25</v>
      </c>
      <c r="O398" s="81">
        <f t="shared" si="137"/>
        <v>0</v>
      </c>
      <c r="P398" s="36">
        <f>IF(D398&gt;21,VLOOKUP(D398,Barem!$T$1:$U$39,2,1),0)</f>
        <v>0</v>
      </c>
      <c r="Q398" s="32">
        <f>IF(D398&lt;1.609,0,IF(B398="F",VLOOKUP(G398,Barem!$X$2:$Z$13,2,1),VLOOKUP(G398,Barem!$X$14:$Z$25,2,1)))</f>
        <v>0</v>
      </c>
      <c r="R398" s="36">
        <f>VLOOKUP(A398,Participanti!A:C,3,0)</f>
        <v>0</v>
      </c>
      <c r="S398" s="29">
        <f t="shared" si="125"/>
        <v>3.375</v>
      </c>
      <c r="T398" s="79">
        <v>44060</v>
      </c>
      <c r="U398" s="16">
        <f>COUNTIFS(A:A,A398,C:C,C398)</f>
        <v>1</v>
      </c>
      <c r="V398" s="34">
        <f t="shared" si="126"/>
        <v>0.14039101497504161</v>
      </c>
      <c r="W398" s="3" t="str">
        <f>VLOOKUP(A398,Data_echipe!A:O,15,0)</f>
        <v>Tenchei</v>
      </c>
      <c r="X398" s="3">
        <f t="shared" si="138"/>
        <v>1</v>
      </c>
    </row>
    <row r="399" spans="1:24">
      <c r="A399" s="74" t="s">
        <v>200</v>
      </c>
      <c r="B399" s="24" t="str">
        <f>VLOOKUP(A399,Participanti!A:B,2,0)</f>
        <v>M</v>
      </c>
      <c r="C399" s="75">
        <v>12</v>
      </c>
      <c r="D399" s="76">
        <v>26.01</v>
      </c>
      <c r="E399" s="77">
        <v>8.8842592592592584E-2</v>
      </c>
      <c r="F399" s="78">
        <v>57</v>
      </c>
      <c r="G399" s="20">
        <f t="shared" si="136"/>
        <v>3.4157090577698031E-3</v>
      </c>
      <c r="H399" s="16">
        <f>IF(B399="F",IF(G399&gt;Barem!$AC$2,0,IF(B399="F",VLOOKUP(D399,Barem!$B$2:$C$11,2,1))),IF(G399&gt;Barem!$AC$3,0,VLOOKUP(D399,Barem!$B$12:$C$21,2,1)))</f>
        <v>5</v>
      </c>
      <c r="I399" s="16">
        <f>IF(H399=0,0,IF(B399="F",VLOOKUP(G399,Barem!$G$2:$H$11,2,1),VLOOKUP(G399,Barem!$G$12:$H$21,2,1)))</f>
        <v>3</v>
      </c>
      <c r="J399" s="75">
        <v>4</v>
      </c>
      <c r="K399" s="82" t="str">
        <f>VLOOKUP($C399,Barem!$L$2:$R$13,7,0)</f>
        <v>V</v>
      </c>
      <c r="L399" s="17">
        <f t="shared" si="139"/>
        <v>0.25</v>
      </c>
      <c r="M399" s="17">
        <f t="shared" si="139"/>
        <v>0.5</v>
      </c>
      <c r="N399" s="17">
        <f t="shared" si="139"/>
        <v>0.25</v>
      </c>
      <c r="O399" s="81">
        <f t="shared" si="137"/>
        <v>0</v>
      </c>
      <c r="P399" s="36">
        <f>IF(D399&gt;21,VLOOKUP(D399,Barem!$T$1:$U$39,2,1),0)</f>
        <v>0.1</v>
      </c>
      <c r="Q399" s="32">
        <f>IF(D399&lt;1.609,0,IF(B399="F",VLOOKUP(G399,Barem!$X$2:$Z$13,2,1),VLOOKUP(G399,Barem!$X$14:$Z$25,2,1)))</f>
        <v>0</v>
      </c>
      <c r="R399" s="36">
        <f>VLOOKUP(A399,Participanti!A:C,3,0)</f>
        <v>0</v>
      </c>
      <c r="S399" s="29">
        <f t="shared" si="125"/>
        <v>3.85</v>
      </c>
      <c r="T399" s="79">
        <v>44065</v>
      </c>
      <c r="U399" s="16">
        <f>COUNTIFS(A:A,A399,C:C,C399)</f>
        <v>1</v>
      </c>
      <c r="V399" s="34">
        <f t="shared" si="126"/>
        <v>0.14801999231064975</v>
      </c>
      <c r="W399" s="3" t="str">
        <f>VLOOKUP(A399,Data_echipe!A:O,15,0)</f>
        <v xml:space="preserve"> Let it run</v>
      </c>
      <c r="X399" s="3">
        <f t="shared" si="138"/>
        <v>1</v>
      </c>
    </row>
    <row r="400" spans="1:24">
      <c r="A400" s="74" t="s">
        <v>59</v>
      </c>
      <c r="B400" s="24" t="str">
        <f>VLOOKUP(A400,Participanti!A:B,2,0)</f>
        <v>M</v>
      </c>
      <c r="C400" s="75">
        <v>12</v>
      </c>
      <c r="D400" s="76">
        <v>21.83</v>
      </c>
      <c r="E400" s="77">
        <v>9.3090277777777786E-2</v>
      </c>
      <c r="F400" s="78">
        <v>0</v>
      </c>
      <c r="G400" s="20">
        <f t="shared" si="136"/>
        <v>4.2643278872092436E-3</v>
      </c>
      <c r="H400" s="16">
        <f>IF(B400="F",IF(G400&gt;Barem!$AC$2,0,IF(B400="F",VLOOKUP(D400,Barem!$B$2:$C$11,2,1))),IF(G400&gt;Barem!$AC$3,0,VLOOKUP(D400,Barem!$B$12:$C$21,2,1)))</f>
        <v>5</v>
      </c>
      <c r="I400" s="16">
        <f>IF(H400=0,0,IF(B400="F",VLOOKUP(G400,Barem!$G$2:$H$11,2,1),VLOOKUP(G400,Barem!$G$12:$H$21,2,1)))</f>
        <v>1</v>
      </c>
      <c r="J400" s="75">
        <v>3</v>
      </c>
      <c r="K400" s="82" t="str">
        <f>VLOOKUP($C400,Barem!$L$2:$R$13,7,0)</f>
        <v>V</v>
      </c>
      <c r="L400" s="17">
        <f t="shared" si="139"/>
        <v>0.25</v>
      </c>
      <c r="M400" s="17">
        <f t="shared" si="139"/>
        <v>0.5</v>
      </c>
      <c r="N400" s="17">
        <f t="shared" si="139"/>
        <v>0.25</v>
      </c>
      <c r="O400" s="81">
        <f t="shared" si="137"/>
        <v>0</v>
      </c>
      <c r="P400" s="36">
        <f>IF(D400&gt;21,VLOOKUP(D400,Barem!$T$1:$U$39,2,1),0)</f>
        <v>0</v>
      </c>
      <c r="Q400" s="32">
        <f>IF(D400&lt;1.609,0,IF(B400="F",VLOOKUP(G400,Barem!$X$2:$Z$13,2,1),VLOOKUP(G400,Barem!$X$14:$Z$25,2,1)))</f>
        <v>0</v>
      </c>
      <c r="R400" s="36">
        <f>VLOOKUP(A400,Participanti!A:C,3,0)</f>
        <v>0</v>
      </c>
      <c r="S400" s="29">
        <f t="shared" si="125"/>
        <v>2.5</v>
      </c>
      <c r="T400" s="79">
        <v>44066</v>
      </c>
      <c r="U400" s="16">
        <f>COUNTIFS(A:A,A400,C:C,C400)</f>
        <v>1</v>
      </c>
      <c r="V400" s="34">
        <f t="shared" si="126"/>
        <v>0.11452130096197893</v>
      </c>
      <c r="W400" s="3" t="str">
        <f>VLOOKUP(A400,Data_echipe!A:O,15,0)</f>
        <v>Tenchei</v>
      </c>
      <c r="X400" s="3">
        <f t="shared" si="138"/>
        <v>1</v>
      </c>
    </row>
    <row r="401" spans="1:24">
      <c r="A401" s="74" t="s">
        <v>114</v>
      </c>
      <c r="B401" s="24" t="str">
        <f>VLOOKUP(A401,Participanti!A:B,2,0)</f>
        <v>M</v>
      </c>
      <c r="C401" s="75">
        <v>12</v>
      </c>
      <c r="D401" s="76">
        <v>14.01</v>
      </c>
      <c r="E401" s="77">
        <v>4.7754629629629626E-2</v>
      </c>
      <c r="F401" s="78">
        <v>262</v>
      </c>
      <c r="G401" s="20">
        <f t="shared" si="136"/>
        <v>3.4086102519364473E-3</v>
      </c>
      <c r="H401" s="16">
        <f>IF(B401="F",IF(G401&gt;Barem!$AC$2,0,IF(B401="F",VLOOKUP(D401,Barem!$B$2:$C$11,2,1))),IF(G401&gt;Barem!$AC$3,0,VLOOKUP(D401,Barem!$B$12:$C$21,2,1)))</f>
        <v>3</v>
      </c>
      <c r="I401" s="16">
        <f>IF(H401=0,0,IF(B401="F",VLOOKUP(G401,Barem!$G$2:$H$11,2,1),VLOOKUP(G401,Barem!$G$12:$H$21,2,1)))</f>
        <v>3</v>
      </c>
      <c r="J401" s="75">
        <v>3.5</v>
      </c>
      <c r="K401" s="82" t="str">
        <f>VLOOKUP($C401,Barem!$L$2:$R$13,7,0)</f>
        <v>V</v>
      </c>
      <c r="L401" s="17">
        <f t="shared" si="139"/>
        <v>0.25</v>
      </c>
      <c r="M401" s="17">
        <f t="shared" si="139"/>
        <v>0.5</v>
      </c>
      <c r="N401" s="17">
        <f t="shared" si="139"/>
        <v>0.25</v>
      </c>
      <c r="O401" s="81">
        <f t="shared" si="137"/>
        <v>0.17466666666666666</v>
      </c>
      <c r="P401" s="36">
        <f>IF(D401&gt;21,VLOOKUP(D401,Barem!$T$1:$U$39,2,1),0)</f>
        <v>0</v>
      </c>
      <c r="Q401" s="32">
        <f>IF(D401&lt;1.609,0,IF(B401="F",VLOOKUP(G401,Barem!$X$2:$Z$13,2,1),VLOOKUP(G401,Barem!$X$14:$Z$25,2,1)))</f>
        <v>0</v>
      </c>
      <c r="R401" s="36">
        <f>VLOOKUP(A401,Participanti!A:C,3,0)</f>
        <v>0</v>
      </c>
      <c r="S401" s="29">
        <f t="shared" si="125"/>
        <v>3.2996666666666665</v>
      </c>
      <c r="T401" s="79">
        <v>44061</v>
      </c>
      <c r="U401" s="16">
        <f>COUNTIFS(A:A,A401,C:C,C401)</f>
        <v>1</v>
      </c>
      <c r="V401" s="34">
        <f t="shared" si="126"/>
        <v>0.23552224601475136</v>
      </c>
      <c r="W401" s="3" t="str">
        <f>VLOOKUP(A401,Data_echipe!A:O,15,0)</f>
        <v>Serioranistii</v>
      </c>
      <c r="X401" s="3">
        <f t="shared" si="138"/>
        <v>1</v>
      </c>
    </row>
    <row r="402" spans="1:24">
      <c r="A402" s="74" t="s">
        <v>47</v>
      </c>
      <c r="B402" s="24" t="str">
        <f>VLOOKUP(A402,Participanti!A:B,2,0)</f>
        <v>M</v>
      </c>
      <c r="C402" s="75">
        <v>12</v>
      </c>
      <c r="D402" s="76">
        <v>5.31</v>
      </c>
      <c r="E402" s="77">
        <v>1.6550925925925924E-2</v>
      </c>
      <c r="F402" s="78">
        <v>30</v>
      </c>
      <c r="G402" s="20">
        <f t="shared" si="136"/>
        <v>3.1169352026225849E-3</v>
      </c>
      <c r="H402" s="16">
        <f>IF(B402="F",IF(G402&gt;Barem!$AC$2,0,IF(B402="F",VLOOKUP(D402,Barem!$B$2:$C$11,2,1))),IF(G402&gt;Barem!$AC$3,0,VLOOKUP(D402,Barem!$B$12:$C$21,2,1)))</f>
        <v>1.5</v>
      </c>
      <c r="I402" s="16">
        <f>IF(H402=0,0,IF(B402="F",VLOOKUP(G402,Barem!$G$2:$H$11,2,1),VLOOKUP(G402,Barem!$G$12:$H$21,2,1)))</f>
        <v>4</v>
      </c>
      <c r="J402" s="75">
        <v>4</v>
      </c>
      <c r="K402" s="83" t="s">
        <v>182</v>
      </c>
      <c r="L402" s="17">
        <f t="shared" si="139"/>
        <v>0.5</v>
      </c>
      <c r="M402" s="17">
        <f t="shared" si="139"/>
        <v>0.25</v>
      </c>
      <c r="N402" s="17">
        <f t="shared" si="139"/>
        <v>0.25</v>
      </c>
      <c r="O402" s="81">
        <f t="shared" si="137"/>
        <v>0</v>
      </c>
      <c r="P402" s="36">
        <f>IF(D402&gt;21,VLOOKUP(D402,Barem!$T$1:$U$39,2,1),0)</f>
        <v>0</v>
      </c>
      <c r="Q402" s="32">
        <f>IF(D402&lt;1.609,0,IF(B402="F",VLOOKUP(G402,Barem!$X$2:$Z$13,2,1),VLOOKUP(G402,Barem!$X$14:$Z$25,2,1)))</f>
        <v>0</v>
      </c>
      <c r="R402" s="36">
        <f>VLOOKUP(A402,Participanti!A:C,3,0)</f>
        <v>0</v>
      </c>
      <c r="S402" s="29">
        <f t="shared" si="125"/>
        <v>2.75</v>
      </c>
      <c r="T402" s="79">
        <v>44065</v>
      </c>
      <c r="U402" s="16">
        <f>COUNTIFS(A:A,A402,C:C,C402)</f>
        <v>1</v>
      </c>
      <c r="V402" s="34">
        <f t="shared" si="126"/>
        <v>0.51789077212806034</v>
      </c>
      <c r="W402" s="3" t="str">
        <f>VLOOKUP(A402,Data_echipe!A:O,15,0)</f>
        <v>X Æ A-12</v>
      </c>
      <c r="X402" s="3">
        <f t="shared" si="138"/>
        <v>1</v>
      </c>
    </row>
    <row r="403" spans="1:24">
      <c r="A403" s="74" t="s">
        <v>54</v>
      </c>
      <c r="B403" s="24" t="str">
        <f>VLOOKUP(A403,Participanti!A:B,2,0)</f>
        <v>M</v>
      </c>
      <c r="C403" s="75">
        <v>12</v>
      </c>
      <c r="D403" s="76">
        <v>5.43</v>
      </c>
      <c r="E403" s="77">
        <v>2.4328703703703703E-2</v>
      </c>
      <c r="F403" s="78">
        <v>77</v>
      </c>
      <c r="G403" s="20">
        <f t="shared" si="136"/>
        <v>4.4804242548257284E-3</v>
      </c>
      <c r="H403" s="16">
        <f>IF(B403="F",IF(G403&gt;Barem!$AC$2,0,IF(B403="F",VLOOKUP(D403,Barem!$B$2:$C$11,2,1))),IF(G403&gt;Barem!$AC$3,0,VLOOKUP(D403,Barem!$B$12:$C$21,2,1)))</f>
        <v>1.5</v>
      </c>
      <c r="I403" s="16">
        <f>IF(H403=0,0,IF(B403="F",VLOOKUP(G403,Barem!$G$2:$H$11,2,1),VLOOKUP(G403,Barem!$G$12:$H$21,2,1)))</f>
        <v>1</v>
      </c>
      <c r="J403" s="75">
        <v>3</v>
      </c>
      <c r="K403" s="83" t="s">
        <v>184</v>
      </c>
      <c r="L403" s="17">
        <f t="shared" si="139"/>
        <v>0.25</v>
      </c>
      <c r="M403" s="17">
        <f t="shared" si="139"/>
        <v>0.25</v>
      </c>
      <c r="N403" s="17">
        <f t="shared" si="139"/>
        <v>0.5</v>
      </c>
      <c r="O403" s="81">
        <f t="shared" si="137"/>
        <v>0</v>
      </c>
      <c r="P403" s="36">
        <f>IF(D403&gt;21,VLOOKUP(D403,Barem!$T$1:$U$39,2,1),0)</f>
        <v>0</v>
      </c>
      <c r="Q403" s="32">
        <f>IF(D403&lt;1.609,0,IF(B403="F",VLOOKUP(G403,Barem!$X$2:$Z$13,2,1),VLOOKUP(G403,Barem!$X$14:$Z$25,2,1)))</f>
        <v>0</v>
      </c>
      <c r="R403" s="36">
        <f>VLOOKUP(A403,Participanti!A:C,3,0)</f>
        <v>0.5</v>
      </c>
      <c r="S403" s="29">
        <f t="shared" si="125"/>
        <v>2.625</v>
      </c>
      <c r="T403" s="79">
        <v>44061</v>
      </c>
      <c r="U403" s="16">
        <f>COUNTIFS(A:A,A403,C:C,C403)</f>
        <v>1</v>
      </c>
      <c r="V403" s="34">
        <f t="shared" si="126"/>
        <v>0.48342541436464093</v>
      </c>
      <c r="W403" s="3" t="str">
        <f>VLOOKUP(A403,Data_echipe!A:O,15,0)</f>
        <v>Serioranistii</v>
      </c>
      <c r="X403" s="3">
        <f t="shared" si="138"/>
        <v>1</v>
      </c>
    </row>
    <row r="404" spans="1:24">
      <c r="A404" s="74" t="s">
        <v>203</v>
      </c>
      <c r="B404" s="24" t="str">
        <f>VLOOKUP(A404,Participanti!A:B,2,0)</f>
        <v>M</v>
      </c>
      <c r="C404" s="75">
        <v>12</v>
      </c>
      <c r="D404" s="76">
        <v>34.729999999999997</v>
      </c>
      <c r="E404" s="77">
        <v>0.13626157407407408</v>
      </c>
      <c r="F404" s="78">
        <v>663</v>
      </c>
      <c r="G404" s="20">
        <f t="shared" si="136"/>
        <v>3.9234544795299191E-3</v>
      </c>
      <c r="H404" s="16">
        <f>IF(B404="F",IF(G404&gt;Barem!$AC$2,0,IF(B404="F",VLOOKUP(D404,Barem!$B$2:$C$11,2,1))),IF(G404&gt;Barem!$AC$3,0,VLOOKUP(D404,Barem!$B$12:$C$21,2,1)))</f>
        <v>5</v>
      </c>
      <c r="I404" s="16">
        <f>IF(H404=0,0,IF(B404="F",VLOOKUP(G404,Barem!$G$2:$H$11,2,1),VLOOKUP(G404,Barem!$G$12:$H$21,2,1)))</f>
        <v>1.5</v>
      </c>
      <c r="J404" s="75">
        <v>3.5</v>
      </c>
      <c r="K404" s="83" t="s">
        <v>184</v>
      </c>
      <c r="L404" s="17">
        <f t="shared" si="139"/>
        <v>0.25</v>
      </c>
      <c r="M404" s="17">
        <f t="shared" si="139"/>
        <v>0.25</v>
      </c>
      <c r="N404" s="17">
        <f t="shared" si="139"/>
        <v>0.5</v>
      </c>
      <c r="O404" s="81">
        <f t="shared" si="137"/>
        <v>0.442</v>
      </c>
      <c r="P404" s="36">
        <f>IF(D404&gt;21,VLOOKUP(D404,Barem!$T$1:$U$39,2,1),0)</f>
        <v>0.2</v>
      </c>
      <c r="Q404" s="32">
        <f>IF(D404&lt;1.609,0,IF(B404="F",VLOOKUP(G404,Barem!$X$2:$Z$13,2,1),VLOOKUP(G404,Barem!$X$14:$Z$25,2,1)))</f>
        <v>0</v>
      </c>
      <c r="R404" s="36">
        <f>VLOOKUP(A404,Participanti!A:C,3,0)</f>
        <v>0</v>
      </c>
      <c r="S404" s="29">
        <f t="shared" ref="S404:S411" si="140">H404*L404+I404*M404+J404*N404+O404+P404+Q404+R404</f>
        <v>4.0170000000000003</v>
      </c>
      <c r="T404" s="79">
        <v>44065</v>
      </c>
      <c r="U404" s="16">
        <f>COUNTIFS(A:A,A404,C:C,C404)</f>
        <v>1</v>
      </c>
      <c r="V404" s="34">
        <f t="shared" ref="V404:V411" si="141">S404/D404</f>
        <v>0.1156636913331414</v>
      </c>
      <c r="W404" s="3" t="str">
        <f>VLOOKUP(A404,Data_echipe!A:O,15,0)</f>
        <v>Tenchei</v>
      </c>
      <c r="X404" s="3">
        <f t="shared" si="138"/>
        <v>1</v>
      </c>
    </row>
    <row r="405" spans="1:24">
      <c r="A405" s="74" t="s">
        <v>57</v>
      </c>
      <c r="B405" s="24" t="str">
        <f>VLOOKUP(A405,Participanti!A:B,2,0)</f>
        <v>M</v>
      </c>
      <c r="C405" s="75">
        <v>12</v>
      </c>
      <c r="D405" s="76">
        <v>3</v>
      </c>
      <c r="E405" s="77">
        <v>6.9212962962962969E-3</v>
      </c>
      <c r="F405" s="78">
        <v>18</v>
      </c>
      <c r="G405" s="20">
        <f t="shared" si="136"/>
        <v>2.3070987654320988E-3</v>
      </c>
      <c r="H405" s="16">
        <f>IF(B405="F",IF(G405&gt;Barem!$AC$2,0,IF(B405="F",VLOOKUP(D405,Barem!$B$2:$C$11,2,1))),IF(G405&gt;Barem!$AC$3,0,VLOOKUP(D405,Barem!$B$12:$C$21,2,1)))</f>
        <v>1</v>
      </c>
      <c r="I405" s="16">
        <f>IF(H405=0,0,IF(B405="F",VLOOKUP(G405,Barem!$G$2:$H$11,2,1),VLOOKUP(G405,Barem!$G$12:$H$21,2,1)))</f>
        <v>5</v>
      </c>
      <c r="J405" s="75">
        <v>3</v>
      </c>
      <c r="K405" s="82" t="str">
        <f>VLOOKUP($C405,Barem!$L$2:$R$13,7,0)</f>
        <v>V</v>
      </c>
      <c r="L405" s="17">
        <f t="shared" si="139"/>
        <v>0.25</v>
      </c>
      <c r="M405" s="17">
        <f t="shared" si="139"/>
        <v>0.5</v>
      </c>
      <c r="N405" s="17">
        <f t="shared" si="139"/>
        <v>0.25</v>
      </c>
      <c r="O405" s="81">
        <f t="shared" si="137"/>
        <v>0</v>
      </c>
      <c r="P405" s="36">
        <f>IF(D405&gt;21,VLOOKUP(D405,Barem!$T$1:$U$39,2,1),0)</f>
        <v>0</v>
      </c>
      <c r="Q405" s="32">
        <f>IF(D405&lt;1.609,0,IF(B405="F",VLOOKUP(G405,Barem!$X$2:$Z$13,2,1),VLOOKUP(G405,Barem!$X$14:$Z$25,2,1)))</f>
        <v>4.5</v>
      </c>
      <c r="R405" s="36">
        <f>VLOOKUP(A405,Participanti!A:C,3,0)</f>
        <v>0</v>
      </c>
      <c r="S405" s="29">
        <f t="shared" si="140"/>
        <v>8</v>
      </c>
      <c r="T405" s="79">
        <v>44064</v>
      </c>
      <c r="U405" s="16">
        <f>COUNTIFS(A:A,A405,C:C,C405)</f>
        <v>1</v>
      </c>
      <c r="V405" s="34">
        <f t="shared" si="141"/>
        <v>2.6666666666666665</v>
      </c>
      <c r="W405" s="3" t="str">
        <f>VLOOKUP(A405,Data_echipe!A:O,15,0)</f>
        <v>Tenchei</v>
      </c>
      <c r="X405" s="3">
        <f t="shared" si="138"/>
        <v>1</v>
      </c>
    </row>
    <row r="406" spans="1:24">
      <c r="A406" s="74" t="s">
        <v>55</v>
      </c>
      <c r="B406" s="24" t="str">
        <f>VLOOKUP(A406,Participanti!A:B,2,0)</f>
        <v>M</v>
      </c>
      <c r="C406" s="75">
        <v>12</v>
      </c>
      <c r="D406" s="76">
        <v>15.12</v>
      </c>
      <c r="E406" s="77">
        <v>8.0763888888888885E-2</v>
      </c>
      <c r="F406" s="78">
        <v>811</v>
      </c>
      <c r="G406" s="20">
        <f t="shared" si="136"/>
        <v>5.3415270429159317E-3</v>
      </c>
      <c r="H406" s="16">
        <f>IF(B406="F",IF(G406&gt;Barem!$AC$2,0,IF(B406="F",VLOOKUP(D406,Barem!$B$2:$C$11,2,1))),IF(G406&gt;Barem!$AC$3,0,VLOOKUP(D406,Barem!$B$12:$C$21,2,1)))</f>
        <v>3.5</v>
      </c>
      <c r="I406" s="16">
        <f>IF(H406=0,0,IF(B406="F",VLOOKUP(G406,Barem!$G$2:$H$11,2,1),VLOOKUP(G406,Barem!$G$12:$H$21,2,1)))</f>
        <v>1</v>
      </c>
      <c r="J406" s="75">
        <v>4</v>
      </c>
      <c r="K406" s="83" t="s">
        <v>184</v>
      </c>
      <c r="L406" s="17">
        <f t="shared" si="139"/>
        <v>0.25</v>
      </c>
      <c r="M406" s="17">
        <f t="shared" si="139"/>
        <v>0.25</v>
      </c>
      <c r="N406" s="17">
        <f t="shared" si="139"/>
        <v>0.5</v>
      </c>
      <c r="O406" s="81">
        <f t="shared" si="137"/>
        <v>0.54066666666666663</v>
      </c>
      <c r="P406" s="36">
        <f>IF(D406&gt;21,VLOOKUP(D406,Barem!$T$1:$U$39,2,1),0)</f>
        <v>0</v>
      </c>
      <c r="Q406" s="32">
        <f>IF(D406&lt;1.609,0,IF(B406="F",VLOOKUP(G406,Barem!$X$2:$Z$13,2,1),VLOOKUP(G406,Barem!$X$14:$Z$25,2,1)))</f>
        <v>0</v>
      </c>
      <c r="R406" s="36">
        <f>VLOOKUP(A406,Participanti!A:C,3,0)</f>
        <v>0</v>
      </c>
      <c r="S406" s="29">
        <f t="shared" si="140"/>
        <v>3.6656666666666666</v>
      </c>
      <c r="T406" s="79">
        <v>44066</v>
      </c>
      <c r="U406" s="16">
        <f>COUNTIFS(A:A,A406,C:C,C406)</f>
        <v>1</v>
      </c>
      <c r="V406" s="34">
        <f t="shared" si="141"/>
        <v>0.24243827160493828</v>
      </c>
      <c r="W406" s="3" t="str">
        <f>VLOOKUP(A406,Data_echipe!A:O,15,0)</f>
        <v>Serioranistii</v>
      </c>
      <c r="X406" s="3">
        <f t="shared" si="138"/>
        <v>1</v>
      </c>
    </row>
    <row r="407" spans="1:24">
      <c r="A407" s="74" t="s">
        <v>67</v>
      </c>
      <c r="B407" s="24" t="str">
        <f>VLOOKUP(A407,Participanti!A:B,2,0)</f>
        <v>F</v>
      </c>
      <c r="C407" s="75">
        <v>12</v>
      </c>
      <c r="D407" s="76">
        <v>11.01</v>
      </c>
      <c r="E407" s="77">
        <v>4.0347222222222222E-2</v>
      </c>
      <c r="F407" s="78">
        <v>18</v>
      </c>
      <c r="G407" s="20">
        <f t="shared" si="136"/>
        <v>3.6645978403471594E-3</v>
      </c>
      <c r="H407" s="16">
        <f>IF(B407="F",IF(G407&gt;Barem!$AC$2,0,IF(B407="F",VLOOKUP(D407,Barem!$B$2:$C$11,2,1))),IF(G407&gt;Barem!$AC$3,0,VLOOKUP(D407,Barem!$B$12:$C$21,2,1)))</f>
        <v>2.5</v>
      </c>
      <c r="I407" s="16">
        <f>IF(H407=0,0,IF(B407="F",VLOOKUP(G407,Barem!$G$2:$H$11,2,1),VLOOKUP(G407,Barem!$G$12:$H$21,2,1)))</f>
        <v>3</v>
      </c>
      <c r="J407" s="75">
        <v>3.5</v>
      </c>
      <c r="K407" s="82" t="str">
        <f>VLOOKUP($C407,Barem!$L$2:$R$13,7,0)</f>
        <v>V</v>
      </c>
      <c r="L407" s="17">
        <f t="shared" si="139"/>
        <v>0.25</v>
      </c>
      <c r="M407" s="17">
        <f t="shared" si="139"/>
        <v>0.5</v>
      </c>
      <c r="N407" s="17">
        <f t="shared" si="139"/>
        <v>0.25</v>
      </c>
      <c r="O407" s="81">
        <f t="shared" si="137"/>
        <v>0</v>
      </c>
      <c r="P407" s="36">
        <f>IF(D407&gt;21,VLOOKUP(D407,Barem!$T$1:$U$39,2,1),0)</f>
        <v>0</v>
      </c>
      <c r="Q407" s="32">
        <f>IF(D407&lt;1.609,0,IF(B407="F",VLOOKUP(G407,Barem!$X$2:$Z$13,2,1),VLOOKUP(G407,Barem!$X$14:$Z$25,2,1)))</f>
        <v>0</v>
      </c>
      <c r="R407" s="36">
        <f>VLOOKUP(A407,Participanti!A:C,3,0)</f>
        <v>0</v>
      </c>
      <c r="S407" s="29">
        <f t="shared" si="140"/>
        <v>3</v>
      </c>
      <c r="T407" s="79">
        <v>44062</v>
      </c>
      <c r="U407" s="16">
        <f>COUNTIFS(A:A,A407,C:C,C407)</f>
        <v>1</v>
      </c>
      <c r="V407" s="34">
        <f t="shared" si="141"/>
        <v>0.27247956403269757</v>
      </c>
      <c r="W407" s="3" t="str">
        <f>VLOOKUP(A407,Data_echipe!A:O,15,0)</f>
        <v>X Æ A-12</v>
      </c>
      <c r="X407" s="3">
        <f t="shared" si="138"/>
        <v>1</v>
      </c>
    </row>
    <row r="408" spans="1:24">
      <c r="A408" s="74" t="s">
        <v>204</v>
      </c>
      <c r="B408" s="24" t="str">
        <f>VLOOKUP(A408,Participanti!A:B,2,0)</f>
        <v>M</v>
      </c>
      <c r="C408" s="75">
        <v>12</v>
      </c>
      <c r="D408" s="76">
        <v>10.66</v>
      </c>
      <c r="E408" s="77">
        <v>3.6111111111111115E-2</v>
      </c>
      <c r="F408" s="78">
        <v>72</v>
      </c>
      <c r="G408" s="20">
        <f t="shared" ref="G408" si="142">E408/D408</f>
        <v>3.3875338753387536E-3</v>
      </c>
      <c r="H408" s="16">
        <f>IF(B408="F",IF(G408&gt;Barem!$AC$2,0,IF(B408="F",VLOOKUP(D408,Barem!$B$2:$C$11,2,1))),IF(G408&gt;Barem!$AC$3,0,VLOOKUP(D408,Barem!$B$12:$C$21,2,1)))</f>
        <v>2.5</v>
      </c>
      <c r="I408" s="16">
        <f>IF(H408=0,0,IF(B408="F",VLOOKUP(G408,Barem!$G$2:$H$11,2,1),VLOOKUP(G408,Barem!$G$12:$H$21,2,1)))</f>
        <v>3</v>
      </c>
      <c r="J408" s="75">
        <v>4</v>
      </c>
      <c r="K408" s="83" t="s">
        <v>184</v>
      </c>
      <c r="L408" s="17">
        <f t="shared" si="139"/>
        <v>0.25</v>
      </c>
      <c r="M408" s="17">
        <f t="shared" si="139"/>
        <v>0.25</v>
      </c>
      <c r="N408" s="17">
        <f t="shared" si="139"/>
        <v>0.5</v>
      </c>
      <c r="O408" s="81">
        <f t="shared" ref="O408" si="143">IF(F408&lt;-49,F408/1500,IF(F408&gt;99,F408/1500,0))</f>
        <v>0</v>
      </c>
      <c r="P408" s="36">
        <f>IF(D408&gt;21,VLOOKUP(D408,Barem!$T$1:$U$39,2,1),0)</f>
        <v>0</v>
      </c>
      <c r="Q408" s="32">
        <f>IF(D408&lt;1.609,0,IF(B408="F",VLOOKUP(G408,Barem!$X$2:$Z$13,2,1),VLOOKUP(G408,Barem!$X$14:$Z$25,2,1)))</f>
        <v>0</v>
      </c>
      <c r="R408" s="36">
        <f>VLOOKUP(A408,Participanti!A:C,3,0)</f>
        <v>0</v>
      </c>
      <c r="S408" s="29">
        <f t="shared" ref="S408" si="144">H408*L408+I408*M408+J408*N408+O408+P408+Q408+R408</f>
        <v>3.375</v>
      </c>
      <c r="T408" s="79">
        <v>44061</v>
      </c>
      <c r="U408" s="16">
        <f>COUNTIFS(A:A,A408,C:C,C408)</f>
        <v>1</v>
      </c>
      <c r="V408" s="34">
        <f t="shared" ref="V408" si="145">S408/D408</f>
        <v>0.31660412757973733</v>
      </c>
      <c r="W408" s="3" t="str">
        <f>VLOOKUP(A408,Data_echipe!A:O,15,0)</f>
        <v>Unicornii</v>
      </c>
      <c r="X408" s="3">
        <f t="shared" si="138"/>
        <v>1</v>
      </c>
    </row>
    <row r="409" spans="1:24">
      <c r="A409" s="74" t="s">
        <v>206</v>
      </c>
      <c r="B409" s="24" t="str">
        <f>VLOOKUP(A409,Participanti!A:B,2,0)</f>
        <v>M</v>
      </c>
      <c r="C409" s="75">
        <v>12</v>
      </c>
      <c r="D409" s="76">
        <v>12.4</v>
      </c>
      <c r="E409" s="77">
        <v>5.9432870370370372E-2</v>
      </c>
      <c r="F409" s="78">
        <v>5</v>
      </c>
      <c r="G409" s="20">
        <f t="shared" si="136"/>
        <v>4.7929734169653527E-3</v>
      </c>
      <c r="H409" s="16">
        <f>IF(B409="F",IF(G409&gt;Barem!$AC$2,0,IF(B409="F",VLOOKUP(D409,Barem!$B$2:$C$11,2,1))),IF(G409&gt;Barem!$AC$3,0,VLOOKUP(D409,Barem!$B$12:$C$21,2,1)))</f>
        <v>3</v>
      </c>
      <c r="I409" s="16">
        <f>IF(H409=0,0,IF(B409="F",VLOOKUP(G409,Barem!$G$2:$H$11,2,1),VLOOKUP(G409,Barem!$G$12:$H$21,2,1)))</f>
        <v>1</v>
      </c>
      <c r="J409" s="75">
        <v>4</v>
      </c>
      <c r="K409" s="82" t="str">
        <f>VLOOKUP($C409,Barem!$L$2:$R$13,7,0)</f>
        <v>V</v>
      </c>
      <c r="L409" s="17">
        <f t="shared" si="139"/>
        <v>0.25</v>
      </c>
      <c r="M409" s="17">
        <f t="shared" si="139"/>
        <v>0.5</v>
      </c>
      <c r="N409" s="17">
        <f t="shared" si="139"/>
        <v>0.25</v>
      </c>
      <c r="O409" s="81">
        <f t="shared" si="137"/>
        <v>0</v>
      </c>
      <c r="P409" s="36">
        <f>IF(D409&gt;21,VLOOKUP(D409,Barem!$T$1:$U$39,2,1),0)</f>
        <v>0</v>
      </c>
      <c r="Q409" s="32">
        <f>IF(D409&lt;1.609,0,IF(B409="F",VLOOKUP(G409,Barem!$X$2:$Z$13,2,1),VLOOKUP(G409,Barem!$X$14:$Z$25,2,1)))</f>
        <v>0</v>
      </c>
      <c r="R409" s="36">
        <f>VLOOKUP(A409,Participanti!A:C,3,0)</f>
        <v>0</v>
      </c>
      <c r="S409" s="29">
        <f t="shared" si="140"/>
        <v>2.25</v>
      </c>
      <c r="T409" s="79">
        <v>44065</v>
      </c>
      <c r="U409" s="16">
        <f>COUNTIFS(A:A,A409,C:C,C409)</f>
        <v>1</v>
      </c>
      <c r="V409" s="34">
        <f t="shared" si="141"/>
        <v>0.18145161290322581</v>
      </c>
      <c r="W409" s="3" t="str">
        <f>VLOOKUP(A409,Data_echipe!A:O,15,0)</f>
        <v>Unicornii</v>
      </c>
      <c r="X409" s="3">
        <f t="shared" si="138"/>
        <v>1</v>
      </c>
    </row>
    <row r="410" spans="1:24">
      <c r="A410" s="74" t="s">
        <v>65</v>
      </c>
      <c r="B410" s="24" t="str">
        <f>VLOOKUP(A410,Participanti!A:B,2,0)</f>
        <v>M</v>
      </c>
      <c r="C410" s="75">
        <v>12</v>
      </c>
      <c r="D410" s="76">
        <v>12.01</v>
      </c>
      <c r="E410" s="77">
        <v>3.888888888888889E-2</v>
      </c>
      <c r="F410" s="78">
        <v>20</v>
      </c>
      <c r="G410" s="20">
        <f t="shared" si="136"/>
        <v>3.2380423720973265E-3</v>
      </c>
      <c r="H410" s="16">
        <f>IF(B410="F",IF(G410&gt;Barem!$AC$2,0,IF(B410="F",VLOOKUP(D410,Barem!$B$2:$C$11,2,1))),IF(G410&gt;Barem!$AC$3,0,VLOOKUP(D410,Barem!$B$12:$C$21,2,1)))</f>
        <v>3</v>
      </c>
      <c r="I410" s="16">
        <f>IF(H410=0,0,IF(B410="F",VLOOKUP(G410,Barem!$G$2:$H$11,2,1),VLOOKUP(G410,Barem!$G$12:$H$21,2,1)))</f>
        <v>3.5</v>
      </c>
      <c r="J410" s="75">
        <v>1</v>
      </c>
      <c r="K410" s="82" t="str">
        <f>VLOOKUP($C410,Barem!$L$2:$R$13,7,0)</f>
        <v>V</v>
      </c>
      <c r="L410" s="17">
        <f t="shared" si="139"/>
        <v>0.25</v>
      </c>
      <c r="M410" s="17">
        <f t="shared" si="139"/>
        <v>0.5</v>
      </c>
      <c r="N410" s="17">
        <f t="shared" si="139"/>
        <v>0.25</v>
      </c>
      <c r="O410" s="81">
        <f t="shared" si="137"/>
        <v>0</v>
      </c>
      <c r="P410" s="36">
        <f>IF(D410&gt;21,VLOOKUP(D410,Barem!$T$1:$U$39,2,1),0)</f>
        <v>0</v>
      </c>
      <c r="Q410" s="32">
        <f>IF(D410&lt;1.609,0,IF(B410="F",VLOOKUP(G410,Barem!$X$2:$Z$13,2,1),VLOOKUP(G410,Barem!$X$14:$Z$25,2,1)))</f>
        <v>0</v>
      </c>
      <c r="R410" s="36">
        <f>VLOOKUP(A410,Participanti!A:C,3,0)</f>
        <v>0</v>
      </c>
      <c r="S410" s="29">
        <f t="shared" si="140"/>
        <v>2.75</v>
      </c>
      <c r="T410" s="79">
        <v>44062</v>
      </c>
      <c r="U410" s="16">
        <f>COUNTIFS(A:A,A410,C:C,C410)</f>
        <v>1</v>
      </c>
      <c r="V410" s="34">
        <f t="shared" si="141"/>
        <v>0.22897585345545379</v>
      </c>
      <c r="W410" s="3" t="str">
        <f>VLOOKUP(A410,Data_echipe!A:O,15,0)</f>
        <v>X Æ A-12</v>
      </c>
      <c r="X410" s="3">
        <f t="shared" si="138"/>
        <v>1</v>
      </c>
    </row>
    <row r="411" spans="1:24" ht="12.75" thickBot="1">
      <c r="A411" s="94" t="s">
        <v>83</v>
      </c>
      <c r="B411" s="95" t="str">
        <f>VLOOKUP(A411,Participanti!A:B,2,0)</f>
        <v>F</v>
      </c>
      <c r="C411" s="96">
        <v>12</v>
      </c>
      <c r="D411" s="97">
        <v>8</v>
      </c>
      <c r="E411" s="98">
        <v>3.8124999999999999E-2</v>
      </c>
      <c r="F411" s="99">
        <v>8</v>
      </c>
      <c r="G411" s="100">
        <f t="shared" si="136"/>
        <v>4.7656249999999999E-3</v>
      </c>
      <c r="H411" s="101">
        <f>IF(B411="F",IF(G411&gt;Barem!$AC$2,0,IF(B411="F",VLOOKUP(D411,Barem!$B$2:$C$11,2,1))),IF(G411&gt;Barem!$AC$3,0,VLOOKUP(D411,Barem!$B$12:$C$21,2,1)))</f>
        <v>2</v>
      </c>
      <c r="I411" s="101">
        <f>IF(H411=0,0,IF(B411="F",VLOOKUP(G411,Barem!$G$2:$H$11,2,1),VLOOKUP(G411,Barem!$G$12:$H$21,2,1)))</f>
        <v>1</v>
      </c>
      <c r="J411" s="96">
        <v>3</v>
      </c>
      <c r="K411" s="102" t="str">
        <f>VLOOKUP($C411,Barem!$L$2:$R$13,7,0)</f>
        <v>V</v>
      </c>
      <c r="L411" s="103">
        <f t="shared" si="139"/>
        <v>0.25</v>
      </c>
      <c r="M411" s="103">
        <f t="shared" si="139"/>
        <v>0.5</v>
      </c>
      <c r="N411" s="103">
        <f t="shared" si="139"/>
        <v>0.25</v>
      </c>
      <c r="O411" s="104">
        <f t="shared" si="137"/>
        <v>0</v>
      </c>
      <c r="P411" s="105">
        <f>IF(D411&gt;21,VLOOKUP(D411,Barem!$T$1:$U$39,2,1),0)</f>
        <v>0</v>
      </c>
      <c r="Q411" s="106">
        <f>IF(D411&lt;1.609,0,IF(B411="F",VLOOKUP(G411,Barem!$X$2:$Z$13,2,1),VLOOKUP(G411,Barem!$X$14:$Z$25,2,1)))</f>
        <v>0</v>
      </c>
      <c r="R411" s="105">
        <f>VLOOKUP(A411,Participanti!A:C,3,0)</f>
        <v>0.75</v>
      </c>
      <c r="S411" s="107">
        <f t="shared" si="140"/>
        <v>2.5</v>
      </c>
      <c r="T411" s="108">
        <v>44064</v>
      </c>
      <c r="U411" s="101">
        <f>COUNTIFS(A:A,A411,C:C,C411)</f>
        <v>1</v>
      </c>
      <c r="V411" s="109">
        <f t="shared" si="141"/>
        <v>0.3125</v>
      </c>
      <c r="W411" s="110" t="str">
        <f>VLOOKUP(A411,Data_echipe!A:O,15,0)</f>
        <v>Tenchei</v>
      </c>
      <c r="X411" s="3">
        <f t="shared" si="138"/>
        <v>1</v>
      </c>
    </row>
    <row r="413" spans="1:24">
      <c r="E413" s="38"/>
    </row>
    <row r="414" spans="1:24">
      <c r="E414" s="38"/>
    </row>
  </sheetData>
  <autoFilter ref="A1:X41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Echipe</vt:lpstr>
      <vt:lpstr>#ligaSYR</vt:lpstr>
      <vt:lpstr>Open F</vt:lpstr>
      <vt:lpstr>Open M</vt:lpstr>
      <vt:lpstr>Data_echipe</vt:lpstr>
      <vt:lpstr>Regulament S8</vt:lpstr>
      <vt:lpstr>Barem</vt:lpstr>
      <vt:lpstr>Prezente</vt:lpstr>
      <vt:lpstr>Data</vt:lpstr>
      <vt:lpstr>Participanti</vt:lpstr>
      <vt:lpstr>Istoric</vt:lpstr>
      <vt:lpstr>propuneri</vt:lpstr>
      <vt:lpstr>Propuneri S7</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2020-08-25T14:53:47Z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