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7464" tabRatio="881" firstSheet="1" activeTab="7"/>
  </bookViews>
  <sheets>
    <sheet name="Istoric" sheetId="1" r:id="rId1"/>
    <sheet name="Regulament S12" sheetId="7" r:id="rId2"/>
    <sheet name="5 ani SYR" sheetId="24" state="hidden" r:id="rId3"/>
    <sheet name="Barem" sheetId="3" r:id="rId4"/>
    <sheet name="Participanti" sheetId="5" r:id="rId5"/>
    <sheet name="Prezente" sheetId="18" r:id="rId6"/>
    <sheet name="Data" sheetId="4" r:id="rId7"/>
    <sheet name="#ligaSYR" sheetId="8" r:id="rId8"/>
    <sheet name="Open F" sheetId="12" r:id="rId9"/>
    <sheet name="Open M" sheetId="13" r:id="rId10"/>
    <sheet name="Cataratorii" sheetId="22" r:id="rId11"/>
    <sheet name="Vitezistii" sheetId="20" r:id="rId12"/>
    <sheet name="Echipe" sheetId="19" r:id="rId13"/>
    <sheet name="Data_echipe" sheetId="17" r:id="rId14"/>
    <sheet name="P1" sheetId="23" r:id="rId15"/>
    <sheet name="P2" sheetId="26" r:id="rId16"/>
    <sheet name="P3" sheetId="27" r:id="rId17"/>
    <sheet name="Propuneri S13" sheetId="25" r:id="rId18"/>
  </sheets>
  <definedNames>
    <definedName name="_xlnm._FilterDatabase" localSheetId="7" hidden="1">'#ligaSYR'!$A$1:$X$43</definedName>
    <definedName name="_xlnm._FilterDatabase" localSheetId="3" hidden="1">Barem!$L$1:$P$16</definedName>
    <definedName name="_xlnm._FilterDatabase" localSheetId="10" hidden="1">Cataratorii!$A$1:$T$43</definedName>
    <definedName name="_xlnm._FilterDatabase" localSheetId="6" hidden="1">Data!$A$1:$V$525</definedName>
    <definedName name="_xlnm._FilterDatabase" localSheetId="12" hidden="1">Echipe!$B$1:$U$6</definedName>
    <definedName name="_xlnm._FilterDatabase" localSheetId="8" hidden="1">'Open F'!$A$1:$W$13</definedName>
    <definedName name="_xlnm._FilterDatabase" localSheetId="9" hidden="1">'Open M'!$A$1:$W$32</definedName>
    <definedName name="_xlnm._FilterDatabase" localSheetId="4" hidden="1">Participanti!$A$1:$D$68</definedName>
    <definedName name="_xlnm._FilterDatabase" localSheetId="11" hidden="1">Vitezistii!$A$1:$T$43</definedName>
  </definedNames>
  <calcPr calcId="152511"/>
  <pivotCaches>
    <pivotCache cacheId="0" r:id="rId1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 i="8" l="1"/>
  <c r="Z4" i="8"/>
  <c r="Z5" i="8"/>
  <c r="Z6" i="8"/>
  <c r="Z7" i="8"/>
  <c r="Z8" i="8"/>
  <c r="Z9" i="8"/>
  <c r="Z10" i="8"/>
  <c r="Z11" i="8"/>
  <c r="Z12" i="8"/>
  <c r="Z13" i="8"/>
  <c r="Z14" i="8"/>
  <c r="Z15" i="8"/>
  <c r="Z16" i="8"/>
  <c r="Z17" i="8"/>
  <c r="Z18" i="8"/>
  <c r="Z19" i="8"/>
  <c r="Z20" i="8"/>
  <c r="Z21" i="8"/>
  <c r="Z22" i="8"/>
  <c r="Z23" i="8"/>
  <c r="Z24" i="8"/>
  <c r="Z25" i="8"/>
  <c r="Z26" i="8"/>
  <c r="Z27" i="8"/>
  <c r="Z28" i="8"/>
  <c r="Z29" i="8"/>
  <c r="Z30" i="8"/>
  <c r="Z31" i="8"/>
  <c r="Z32" i="8"/>
  <c r="Z33" i="8"/>
  <c r="Z34" i="8"/>
  <c r="Z35" i="8"/>
  <c r="Z36" i="8"/>
  <c r="Z37" i="8"/>
  <c r="Z38" i="8"/>
  <c r="Z39" i="8"/>
  <c r="Z40" i="8"/>
  <c r="Z41" i="8"/>
  <c r="Z42" i="8"/>
  <c r="Z43" i="8"/>
  <c r="Z2" i="8"/>
  <c r="S21" i="17"/>
  <c r="S2" i="17"/>
  <c r="C3" i="13"/>
  <c r="D3" i="13"/>
  <c r="E3" i="13"/>
  <c r="F3" i="13"/>
  <c r="G3" i="13"/>
  <c r="H3" i="13"/>
  <c r="I3" i="13"/>
  <c r="J3" i="13"/>
  <c r="K3" i="13"/>
  <c r="L3" i="13"/>
  <c r="M3" i="13"/>
  <c r="N3" i="13"/>
  <c r="O3" i="13"/>
  <c r="P3" i="13"/>
  <c r="Q3" i="13"/>
  <c r="R3" i="13"/>
  <c r="S3" i="13"/>
  <c r="T3" i="13"/>
  <c r="U3" i="13"/>
  <c r="V3" i="13"/>
  <c r="W3" i="13"/>
  <c r="C4" i="13"/>
  <c r="D4" i="13"/>
  <c r="E4" i="13"/>
  <c r="V4" i="13" s="1"/>
  <c r="F4" i="13"/>
  <c r="G4" i="13"/>
  <c r="H4" i="13"/>
  <c r="I4" i="13"/>
  <c r="J4" i="13"/>
  <c r="K4" i="13"/>
  <c r="L4" i="13"/>
  <c r="M4" i="13"/>
  <c r="N4" i="13"/>
  <c r="O4" i="13"/>
  <c r="P4" i="13"/>
  <c r="Q4" i="13"/>
  <c r="R4" i="13"/>
  <c r="S4" i="13"/>
  <c r="T4" i="13"/>
  <c r="U4" i="13"/>
  <c r="W4" i="13"/>
  <c r="C5" i="13"/>
  <c r="D5" i="13"/>
  <c r="V5" i="13" s="1"/>
  <c r="E5" i="13"/>
  <c r="F5" i="13"/>
  <c r="G5" i="13"/>
  <c r="H5" i="13"/>
  <c r="I5" i="13"/>
  <c r="J5" i="13"/>
  <c r="K5" i="13"/>
  <c r="L5" i="13"/>
  <c r="M5" i="13"/>
  <c r="N5" i="13"/>
  <c r="O5" i="13"/>
  <c r="P5" i="13"/>
  <c r="Q5" i="13"/>
  <c r="R5" i="13"/>
  <c r="S5" i="13"/>
  <c r="T5" i="13"/>
  <c r="U5" i="13"/>
  <c r="W5" i="13"/>
  <c r="C6" i="13"/>
  <c r="V6" i="13" s="1"/>
  <c r="D6" i="13"/>
  <c r="E6" i="13"/>
  <c r="F6" i="13"/>
  <c r="G6" i="13"/>
  <c r="H6" i="13"/>
  <c r="I6" i="13"/>
  <c r="J6" i="13"/>
  <c r="K6" i="13"/>
  <c r="L6" i="13"/>
  <c r="M6" i="13"/>
  <c r="N6" i="13"/>
  <c r="O6" i="13"/>
  <c r="P6" i="13"/>
  <c r="Q6" i="13"/>
  <c r="R6" i="13"/>
  <c r="S6" i="13"/>
  <c r="T6" i="13"/>
  <c r="U6" i="13"/>
  <c r="W6" i="13"/>
  <c r="C7" i="13"/>
  <c r="D7" i="13"/>
  <c r="E7" i="13"/>
  <c r="F7" i="13"/>
  <c r="G7" i="13"/>
  <c r="H7" i="13"/>
  <c r="I7" i="13"/>
  <c r="J7" i="13"/>
  <c r="K7" i="13"/>
  <c r="L7" i="13"/>
  <c r="M7" i="13"/>
  <c r="N7" i="13"/>
  <c r="O7" i="13"/>
  <c r="P7" i="13"/>
  <c r="Q7" i="13"/>
  <c r="R7" i="13"/>
  <c r="S7" i="13"/>
  <c r="T7" i="13"/>
  <c r="U7" i="13"/>
  <c r="V7" i="13"/>
  <c r="W7" i="13"/>
  <c r="C8" i="13"/>
  <c r="D8" i="13"/>
  <c r="E8" i="13"/>
  <c r="V8" i="13" s="1"/>
  <c r="F8" i="13"/>
  <c r="G8" i="13"/>
  <c r="H8" i="13"/>
  <c r="I8" i="13"/>
  <c r="J8" i="13"/>
  <c r="K8" i="13"/>
  <c r="L8" i="13"/>
  <c r="M8" i="13"/>
  <c r="N8" i="13"/>
  <c r="O8" i="13"/>
  <c r="P8" i="13"/>
  <c r="Q8" i="13"/>
  <c r="R8" i="13"/>
  <c r="S8" i="13"/>
  <c r="T8" i="13"/>
  <c r="U8" i="13"/>
  <c r="W8" i="13"/>
  <c r="C9" i="13"/>
  <c r="D9" i="13"/>
  <c r="V9" i="13" s="1"/>
  <c r="E9" i="13"/>
  <c r="F9" i="13"/>
  <c r="G9" i="13"/>
  <c r="H9" i="13"/>
  <c r="I9" i="13"/>
  <c r="J9" i="13"/>
  <c r="K9" i="13"/>
  <c r="L9" i="13"/>
  <c r="M9" i="13"/>
  <c r="N9" i="13"/>
  <c r="O9" i="13"/>
  <c r="P9" i="13"/>
  <c r="Q9" i="13"/>
  <c r="R9" i="13"/>
  <c r="S9" i="13"/>
  <c r="T9" i="13"/>
  <c r="U9" i="13"/>
  <c r="W9" i="13"/>
  <c r="C10" i="13"/>
  <c r="V10" i="13" s="1"/>
  <c r="D10" i="13"/>
  <c r="E10" i="13"/>
  <c r="F10" i="13"/>
  <c r="G10" i="13"/>
  <c r="H10" i="13"/>
  <c r="I10" i="13"/>
  <c r="J10" i="13"/>
  <c r="K10" i="13"/>
  <c r="L10" i="13"/>
  <c r="M10" i="13"/>
  <c r="N10" i="13"/>
  <c r="O10" i="13"/>
  <c r="P10" i="13"/>
  <c r="Q10" i="13"/>
  <c r="R10" i="13"/>
  <c r="S10" i="13"/>
  <c r="T10" i="13"/>
  <c r="U10" i="13"/>
  <c r="W10" i="13"/>
  <c r="C11" i="13"/>
  <c r="D11" i="13"/>
  <c r="E11" i="13"/>
  <c r="F11" i="13"/>
  <c r="G11" i="13"/>
  <c r="H11" i="13"/>
  <c r="I11" i="13"/>
  <c r="J11" i="13"/>
  <c r="K11" i="13"/>
  <c r="L11" i="13"/>
  <c r="M11" i="13"/>
  <c r="N11" i="13"/>
  <c r="O11" i="13"/>
  <c r="P11" i="13"/>
  <c r="Q11" i="13"/>
  <c r="R11" i="13"/>
  <c r="S11" i="13"/>
  <c r="T11" i="13"/>
  <c r="U11" i="13"/>
  <c r="V11" i="13"/>
  <c r="W11" i="13"/>
  <c r="C12" i="13"/>
  <c r="D12" i="13"/>
  <c r="E12" i="13"/>
  <c r="V12" i="13" s="1"/>
  <c r="F12" i="13"/>
  <c r="G12" i="13"/>
  <c r="H12" i="13"/>
  <c r="I12" i="13"/>
  <c r="J12" i="13"/>
  <c r="K12" i="13"/>
  <c r="L12" i="13"/>
  <c r="M12" i="13"/>
  <c r="N12" i="13"/>
  <c r="O12" i="13"/>
  <c r="P12" i="13"/>
  <c r="Q12" i="13"/>
  <c r="R12" i="13"/>
  <c r="S12" i="13"/>
  <c r="T12" i="13"/>
  <c r="U12" i="13"/>
  <c r="W12" i="13"/>
  <c r="C13" i="13"/>
  <c r="D13" i="13"/>
  <c r="V13" i="13" s="1"/>
  <c r="E13" i="13"/>
  <c r="F13" i="13"/>
  <c r="G13" i="13"/>
  <c r="H13" i="13"/>
  <c r="I13" i="13"/>
  <c r="J13" i="13"/>
  <c r="K13" i="13"/>
  <c r="L13" i="13"/>
  <c r="M13" i="13"/>
  <c r="N13" i="13"/>
  <c r="O13" i="13"/>
  <c r="P13" i="13"/>
  <c r="Q13" i="13"/>
  <c r="R13" i="13"/>
  <c r="S13" i="13"/>
  <c r="T13" i="13"/>
  <c r="U13" i="13"/>
  <c r="W13" i="13"/>
  <c r="C14" i="13"/>
  <c r="V14" i="13" s="1"/>
  <c r="D14" i="13"/>
  <c r="E14" i="13"/>
  <c r="F14" i="13"/>
  <c r="G14" i="13"/>
  <c r="H14" i="13"/>
  <c r="I14" i="13"/>
  <c r="J14" i="13"/>
  <c r="K14" i="13"/>
  <c r="L14" i="13"/>
  <c r="M14" i="13"/>
  <c r="N14" i="13"/>
  <c r="O14" i="13"/>
  <c r="P14" i="13"/>
  <c r="Q14" i="13"/>
  <c r="R14" i="13"/>
  <c r="S14" i="13"/>
  <c r="T14" i="13"/>
  <c r="U14" i="13"/>
  <c r="W14" i="13"/>
  <c r="C15" i="13"/>
  <c r="D15" i="13"/>
  <c r="E15" i="13"/>
  <c r="F15" i="13"/>
  <c r="G15" i="13"/>
  <c r="H15" i="13"/>
  <c r="I15" i="13"/>
  <c r="J15" i="13"/>
  <c r="K15" i="13"/>
  <c r="L15" i="13"/>
  <c r="M15" i="13"/>
  <c r="N15" i="13"/>
  <c r="V15" i="13" s="1"/>
  <c r="O15" i="13"/>
  <c r="P15" i="13"/>
  <c r="Q15" i="13"/>
  <c r="R15" i="13"/>
  <c r="S15" i="13"/>
  <c r="T15" i="13"/>
  <c r="U15" i="13"/>
  <c r="W15" i="13"/>
  <c r="C16" i="13"/>
  <c r="D16" i="13"/>
  <c r="E16" i="13"/>
  <c r="V16" i="13" s="1"/>
  <c r="F16" i="13"/>
  <c r="G16" i="13"/>
  <c r="H16" i="13"/>
  <c r="I16" i="13"/>
  <c r="J16" i="13"/>
  <c r="K16" i="13"/>
  <c r="L16" i="13"/>
  <c r="M16" i="13"/>
  <c r="N16" i="13"/>
  <c r="O16" i="13"/>
  <c r="P16" i="13"/>
  <c r="Q16" i="13"/>
  <c r="R16" i="13"/>
  <c r="S16" i="13"/>
  <c r="T16" i="13"/>
  <c r="U16" i="13"/>
  <c r="W16" i="13"/>
  <c r="C17" i="13"/>
  <c r="D17" i="13"/>
  <c r="V17" i="13" s="1"/>
  <c r="E17" i="13"/>
  <c r="F17" i="13"/>
  <c r="G17" i="13"/>
  <c r="H17" i="13"/>
  <c r="I17" i="13"/>
  <c r="J17" i="13"/>
  <c r="K17" i="13"/>
  <c r="L17" i="13"/>
  <c r="M17" i="13"/>
  <c r="N17" i="13"/>
  <c r="O17" i="13"/>
  <c r="P17" i="13"/>
  <c r="Q17" i="13"/>
  <c r="R17" i="13"/>
  <c r="S17" i="13"/>
  <c r="T17" i="13"/>
  <c r="U17" i="13"/>
  <c r="W17" i="13"/>
  <c r="C18" i="13"/>
  <c r="V18" i="13" s="1"/>
  <c r="D18" i="13"/>
  <c r="E18" i="13"/>
  <c r="F18" i="13"/>
  <c r="G18" i="13"/>
  <c r="H18" i="13"/>
  <c r="I18" i="13"/>
  <c r="J18" i="13"/>
  <c r="K18" i="13"/>
  <c r="L18" i="13"/>
  <c r="M18" i="13"/>
  <c r="N18" i="13"/>
  <c r="O18" i="13"/>
  <c r="P18" i="13"/>
  <c r="Q18" i="13"/>
  <c r="R18" i="13"/>
  <c r="S18" i="13"/>
  <c r="T18" i="13"/>
  <c r="U18" i="13"/>
  <c r="W18" i="13"/>
  <c r="C19" i="13"/>
  <c r="D19" i="13"/>
  <c r="E19" i="13"/>
  <c r="F19" i="13"/>
  <c r="G19" i="13"/>
  <c r="H19" i="13"/>
  <c r="I19" i="13"/>
  <c r="J19" i="13"/>
  <c r="K19" i="13"/>
  <c r="L19" i="13"/>
  <c r="M19" i="13"/>
  <c r="N19" i="13"/>
  <c r="V19" i="13" s="1"/>
  <c r="O19" i="13"/>
  <c r="P19" i="13"/>
  <c r="Q19" i="13"/>
  <c r="R19" i="13"/>
  <c r="S19" i="13"/>
  <c r="T19" i="13"/>
  <c r="U19" i="13"/>
  <c r="W19" i="13"/>
  <c r="C20" i="13"/>
  <c r="D20" i="13"/>
  <c r="E20" i="13"/>
  <c r="V20" i="13" s="1"/>
  <c r="F20" i="13"/>
  <c r="G20" i="13"/>
  <c r="H20" i="13"/>
  <c r="I20" i="13"/>
  <c r="J20" i="13"/>
  <c r="K20" i="13"/>
  <c r="L20" i="13"/>
  <c r="M20" i="13"/>
  <c r="N20" i="13"/>
  <c r="O20" i="13"/>
  <c r="P20" i="13"/>
  <c r="Q20" i="13"/>
  <c r="R20" i="13"/>
  <c r="S20" i="13"/>
  <c r="T20" i="13"/>
  <c r="U20" i="13"/>
  <c r="W20" i="13"/>
  <c r="C21" i="13"/>
  <c r="D21" i="13"/>
  <c r="V21" i="13" s="1"/>
  <c r="E21" i="13"/>
  <c r="F21" i="13"/>
  <c r="G21" i="13"/>
  <c r="H21" i="13"/>
  <c r="I21" i="13"/>
  <c r="J21" i="13"/>
  <c r="K21" i="13"/>
  <c r="L21" i="13"/>
  <c r="M21" i="13"/>
  <c r="N21" i="13"/>
  <c r="O21" i="13"/>
  <c r="P21" i="13"/>
  <c r="Q21" i="13"/>
  <c r="R21" i="13"/>
  <c r="S21" i="13"/>
  <c r="T21" i="13"/>
  <c r="U21" i="13"/>
  <c r="W21" i="13"/>
  <c r="C22" i="13"/>
  <c r="V22" i="13" s="1"/>
  <c r="D22" i="13"/>
  <c r="E22" i="13"/>
  <c r="F22" i="13"/>
  <c r="G22" i="13"/>
  <c r="H22" i="13"/>
  <c r="I22" i="13"/>
  <c r="J22" i="13"/>
  <c r="K22" i="13"/>
  <c r="L22" i="13"/>
  <c r="M22" i="13"/>
  <c r="N22" i="13"/>
  <c r="O22" i="13"/>
  <c r="P22" i="13"/>
  <c r="Q22" i="13"/>
  <c r="R22" i="13"/>
  <c r="S22" i="13"/>
  <c r="T22" i="13"/>
  <c r="U22" i="13"/>
  <c r="W22" i="13"/>
  <c r="C23" i="13"/>
  <c r="D23" i="13"/>
  <c r="E23" i="13"/>
  <c r="F23" i="13"/>
  <c r="V23" i="13" s="1"/>
  <c r="G23" i="13"/>
  <c r="H23" i="13"/>
  <c r="I23" i="13"/>
  <c r="J23" i="13"/>
  <c r="K23" i="13"/>
  <c r="L23" i="13"/>
  <c r="M23" i="13"/>
  <c r="N23" i="13"/>
  <c r="O23" i="13"/>
  <c r="P23" i="13"/>
  <c r="Q23" i="13"/>
  <c r="R23" i="13"/>
  <c r="S23" i="13"/>
  <c r="T23" i="13"/>
  <c r="U23" i="13"/>
  <c r="W23" i="13"/>
  <c r="C24" i="13"/>
  <c r="D24" i="13"/>
  <c r="E24" i="13"/>
  <c r="V24" i="13" s="1"/>
  <c r="F24" i="13"/>
  <c r="G24" i="13"/>
  <c r="H24" i="13"/>
  <c r="I24" i="13"/>
  <c r="J24" i="13"/>
  <c r="K24" i="13"/>
  <c r="L24" i="13"/>
  <c r="M24" i="13"/>
  <c r="N24" i="13"/>
  <c r="O24" i="13"/>
  <c r="P24" i="13"/>
  <c r="Q24" i="13"/>
  <c r="R24" i="13"/>
  <c r="S24" i="13"/>
  <c r="T24" i="13"/>
  <c r="U24" i="13"/>
  <c r="W24" i="13"/>
  <c r="C25" i="13"/>
  <c r="D25" i="13"/>
  <c r="V25" i="13" s="1"/>
  <c r="E25" i="13"/>
  <c r="F25" i="13"/>
  <c r="G25" i="13"/>
  <c r="H25" i="13"/>
  <c r="I25" i="13"/>
  <c r="J25" i="13"/>
  <c r="K25" i="13"/>
  <c r="L25" i="13"/>
  <c r="M25" i="13"/>
  <c r="N25" i="13"/>
  <c r="O25" i="13"/>
  <c r="P25" i="13"/>
  <c r="Q25" i="13"/>
  <c r="R25" i="13"/>
  <c r="S25" i="13"/>
  <c r="T25" i="13"/>
  <c r="U25" i="13"/>
  <c r="W25" i="13"/>
  <c r="C26" i="13"/>
  <c r="V26" i="13" s="1"/>
  <c r="D26" i="13"/>
  <c r="E26" i="13"/>
  <c r="F26" i="13"/>
  <c r="G26" i="13"/>
  <c r="H26" i="13"/>
  <c r="I26" i="13"/>
  <c r="J26" i="13"/>
  <c r="K26" i="13"/>
  <c r="L26" i="13"/>
  <c r="M26" i="13"/>
  <c r="N26" i="13"/>
  <c r="O26" i="13"/>
  <c r="P26" i="13"/>
  <c r="Q26" i="13"/>
  <c r="R26" i="13"/>
  <c r="S26" i="13"/>
  <c r="T26" i="13"/>
  <c r="U26" i="13"/>
  <c r="W26" i="13"/>
  <c r="C27" i="13"/>
  <c r="D27" i="13"/>
  <c r="E27" i="13"/>
  <c r="F27" i="13"/>
  <c r="V27" i="13" s="1"/>
  <c r="G27" i="13"/>
  <c r="H27" i="13"/>
  <c r="I27" i="13"/>
  <c r="J27" i="13"/>
  <c r="K27" i="13"/>
  <c r="L27" i="13"/>
  <c r="M27" i="13"/>
  <c r="N27" i="13"/>
  <c r="O27" i="13"/>
  <c r="P27" i="13"/>
  <c r="Q27" i="13"/>
  <c r="R27" i="13"/>
  <c r="S27" i="13"/>
  <c r="T27" i="13"/>
  <c r="U27" i="13"/>
  <c r="W27" i="13"/>
  <c r="C28" i="13"/>
  <c r="D28" i="13"/>
  <c r="E28" i="13"/>
  <c r="V28" i="13" s="1"/>
  <c r="F28" i="13"/>
  <c r="G28" i="13"/>
  <c r="H28" i="13"/>
  <c r="I28" i="13"/>
  <c r="J28" i="13"/>
  <c r="K28" i="13"/>
  <c r="L28" i="13"/>
  <c r="M28" i="13"/>
  <c r="N28" i="13"/>
  <c r="O28" i="13"/>
  <c r="P28" i="13"/>
  <c r="Q28" i="13"/>
  <c r="R28" i="13"/>
  <c r="S28" i="13"/>
  <c r="T28" i="13"/>
  <c r="U28" i="13"/>
  <c r="W28" i="13"/>
  <c r="C29" i="13"/>
  <c r="D29" i="13"/>
  <c r="V29" i="13" s="1"/>
  <c r="E29" i="13"/>
  <c r="F29" i="13"/>
  <c r="G29" i="13"/>
  <c r="H29" i="13"/>
  <c r="I29" i="13"/>
  <c r="J29" i="13"/>
  <c r="K29" i="13"/>
  <c r="L29" i="13"/>
  <c r="M29" i="13"/>
  <c r="N29" i="13"/>
  <c r="O29" i="13"/>
  <c r="P29" i="13"/>
  <c r="Q29" i="13"/>
  <c r="R29" i="13"/>
  <c r="S29" i="13"/>
  <c r="T29" i="13"/>
  <c r="U29" i="13"/>
  <c r="W29" i="13"/>
  <c r="C3" i="8"/>
  <c r="D3" i="8"/>
  <c r="E3" i="8"/>
  <c r="F3" i="8"/>
  <c r="Y3" i="8" s="1"/>
  <c r="G3" i="8"/>
  <c r="H3" i="8"/>
  <c r="I3" i="8"/>
  <c r="J3" i="8"/>
  <c r="K3" i="8"/>
  <c r="L3" i="8"/>
  <c r="M3" i="8"/>
  <c r="N3" i="8"/>
  <c r="O3" i="8"/>
  <c r="P3" i="8"/>
  <c r="Q3" i="8"/>
  <c r="R3" i="8"/>
  <c r="S3" i="8"/>
  <c r="T3" i="8"/>
  <c r="U3" i="8"/>
  <c r="V3" i="8"/>
  <c r="W3" i="8"/>
  <c r="X3" i="8"/>
  <c r="C4" i="8"/>
  <c r="Y4" i="8" s="1"/>
  <c r="D4" i="8"/>
  <c r="E4" i="8"/>
  <c r="F4" i="8"/>
  <c r="G4" i="8"/>
  <c r="H4" i="8"/>
  <c r="I4" i="8"/>
  <c r="J4" i="8"/>
  <c r="K4" i="8"/>
  <c r="L4" i="8"/>
  <c r="M4" i="8"/>
  <c r="N4" i="8"/>
  <c r="O4" i="8"/>
  <c r="P4" i="8"/>
  <c r="Q4" i="8"/>
  <c r="R4" i="8"/>
  <c r="S4" i="8"/>
  <c r="T4" i="8"/>
  <c r="U4" i="8"/>
  <c r="W4" i="8"/>
  <c r="X4" i="8"/>
  <c r="C5" i="8"/>
  <c r="D5" i="8"/>
  <c r="Y5" i="8" s="1"/>
  <c r="E5" i="8"/>
  <c r="F5" i="8"/>
  <c r="G5" i="8"/>
  <c r="H5" i="8"/>
  <c r="I5" i="8"/>
  <c r="J5" i="8"/>
  <c r="K5" i="8"/>
  <c r="L5" i="8"/>
  <c r="M5" i="8"/>
  <c r="N5" i="8"/>
  <c r="O5" i="8"/>
  <c r="P5" i="8"/>
  <c r="Q5" i="8"/>
  <c r="R5" i="8"/>
  <c r="S5" i="8"/>
  <c r="T5" i="8"/>
  <c r="U5" i="8"/>
  <c r="W5" i="8"/>
  <c r="X5" i="8"/>
  <c r="C6" i="8"/>
  <c r="D6" i="8"/>
  <c r="E6" i="8"/>
  <c r="V6" i="8" s="1"/>
  <c r="F6" i="8"/>
  <c r="G6" i="8"/>
  <c r="H6" i="8"/>
  <c r="I6" i="8"/>
  <c r="J6" i="8"/>
  <c r="K6" i="8"/>
  <c r="L6" i="8"/>
  <c r="M6" i="8"/>
  <c r="N6" i="8"/>
  <c r="O6" i="8"/>
  <c r="P6" i="8"/>
  <c r="Q6" i="8"/>
  <c r="R6" i="8"/>
  <c r="S6" i="8"/>
  <c r="T6" i="8"/>
  <c r="U6" i="8"/>
  <c r="W6" i="8"/>
  <c r="X6" i="8"/>
  <c r="Y6" i="8"/>
  <c r="C7" i="8"/>
  <c r="D7" i="8"/>
  <c r="E7" i="8"/>
  <c r="F7" i="8"/>
  <c r="Y7" i="8" s="1"/>
  <c r="G7" i="8"/>
  <c r="H7" i="8"/>
  <c r="I7" i="8"/>
  <c r="J7" i="8"/>
  <c r="K7" i="8"/>
  <c r="L7" i="8"/>
  <c r="M7" i="8"/>
  <c r="N7" i="8"/>
  <c r="O7" i="8"/>
  <c r="P7" i="8"/>
  <c r="Q7" i="8"/>
  <c r="R7" i="8"/>
  <c r="S7" i="8"/>
  <c r="T7" i="8"/>
  <c r="U7" i="8"/>
  <c r="V7" i="8"/>
  <c r="W7" i="8"/>
  <c r="X7" i="8"/>
  <c r="C8" i="8"/>
  <c r="Y8" i="8" s="1"/>
  <c r="D8" i="8"/>
  <c r="E8" i="8"/>
  <c r="F8" i="8"/>
  <c r="G8" i="8"/>
  <c r="H8" i="8"/>
  <c r="I8" i="8"/>
  <c r="J8" i="8"/>
  <c r="K8" i="8"/>
  <c r="L8" i="8"/>
  <c r="M8" i="8"/>
  <c r="N8" i="8"/>
  <c r="O8" i="8"/>
  <c r="P8" i="8"/>
  <c r="Q8" i="8"/>
  <c r="R8" i="8"/>
  <c r="S8" i="8"/>
  <c r="T8" i="8"/>
  <c r="U8" i="8"/>
  <c r="W8" i="8"/>
  <c r="X8" i="8"/>
  <c r="C9" i="8"/>
  <c r="D9" i="8"/>
  <c r="Y9" i="8" s="1"/>
  <c r="E9" i="8"/>
  <c r="F9" i="8"/>
  <c r="G9" i="8"/>
  <c r="H9" i="8"/>
  <c r="I9" i="8"/>
  <c r="J9" i="8"/>
  <c r="K9" i="8"/>
  <c r="L9" i="8"/>
  <c r="M9" i="8"/>
  <c r="N9" i="8"/>
  <c r="O9" i="8"/>
  <c r="P9" i="8"/>
  <c r="Q9" i="8"/>
  <c r="R9" i="8"/>
  <c r="S9" i="8"/>
  <c r="T9" i="8"/>
  <c r="U9" i="8"/>
  <c r="W9" i="8"/>
  <c r="X9" i="8"/>
  <c r="C10" i="8"/>
  <c r="D10" i="8"/>
  <c r="E10" i="8"/>
  <c r="V10" i="8" s="1"/>
  <c r="F10" i="8"/>
  <c r="G10" i="8"/>
  <c r="H10" i="8"/>
  <c r="I10" i="8"/>
  <c r="J10" i="8"/>
  <c r="K10" i="8"/>
  <c r="L10" i="8"/>
  <c r="M10" i="8"/>
  <c r="N10" i="8"/>
  <c r="O10" i="8"/>
  <c r="P10" i="8"/>
  <c r="Q10" i="8"/>
  <c r="R10" i="8"/>
  <c r="S10" i="8"/>
  <c r="T10" i="8"/>
  <c r="U10" i="8"/>
  <c r="W10" i="8"/>
  <c r="X10" i="8"/>
  <c r="Y10" i="8"/>
  <c r="C11" i="8"/>
  <c r="Y11" i="8" s="1"/>
  <c r="D11" i="8"/>
  <c r="E11" i="8"/>
  <c r="F11" i="8"/>
  <c r="G11" i="8"/>
  <c r="H11" i="8"/>
  <c r="I11" i="8"/>
  <c r="J11" i="8"/>
  <c r="K11" i="8"/>
  <c r="L11" i="8"/>
  <c r="M11" i="8"/>
  <c r="N11" i="8"/>
  <c r="O11" i="8"/>
  <c r="P11" i="8"/>
  <c r="Q11" i="8"/>
  <c r="R11" i="8"/>
  <c r="S11" i="8"/>
  <c r="T11" i="8"/>
  <c r="U11" i="8"/>
  <c r="V11" i="8"/>
  <c r="W11" i="8"/>
  <c r="X11" i="8"/>
  <c r="C12" i="8"/>
  <c r="Y12" i="8" s="1"/>
  <c r="D12" i="8"/>
  <c r="E12" i="8"/>
  <c r="F12" i="8"/>
  <c r="G12" i="8"/>
  <c r="H12" i="8"/>
  <c r="I12" i="8"/>
  <c r="J12" i="8"/>
  <c r="K12" i="8"/>
  <c r="L12" i="8"/>
  <c r="M12" i="8"/>
  <c r="N12" i="8"/>
  <c r="O12" i="8"/>
  <c r="P12" i="8"/>
  <c r="Q12" i="8"/>
  <c r="R12" i="8"/>
  <c r="S12" i="8"/>
  <c r="T12" i="8"/>
  <c r="U12" i="8"/>
  <c r="W12" i="8"/>
  <c r="X12" i="8"/>
  <c r="C13" i="8"/>
  <c r="D13" i="8"/>
  <c r="Y13" i="8" s="1"/>
  <c r="E13" i="8"/>
  <c r="F13" i="8"/>
  <c r="G13" i="8"/>
  <c r="H13" i="8"/>
  <c r="I13" i="8"/>
  <c r="J13" i="8"/>
  <c r="K13" i="8"/>
  <c r="L13" i="8"/>
  <c r="M13" i="8"/>
  <c r="N13" i="8"/>
  <c r="O13" i="8"/>
  <c r="P13" i="8"/>
  <c r="Q13" i="8"/>
  <c r="R13" i="8"/>
  <c r="S13" i="8"/>
  <c r="T13" i="8"/>
  <c r="U13" i="8"/>
  <c r="W13" i="8"/>
  <c r="X13" i="8"/>
  <c r="C14" i="8"/>
  <c r="D14" i="8"/>
  <c r="E14" i="8"/>
  <c r="V14" i="8" s="1"/>
  <c r="F14" i="8"/>
  <c r="G14" i="8"/>
  <c r="H14" i="8"/>
  <c r="I14" i="8"/>
  <c r="J14" i="8"/>
  <c r="K14" i="8"/>
  <c r="L14" i="8"/>
  <c r="M14" i="8"/>
  <c r="N14" i="8"/>
  <c r="O14" i="8"/>
  <c r="P14" i="8"/>
  <c r="Q14" i="8"/>
  <c r="R14" i="8"/>
  <c r="S14" i="8"/>
  <c r="T14" i="8"/>
  <c r="U14" i="8"/>
  <c r="W14" i="8"/>
  <c r="X14" i="8"/>
  <c r="Y14" i="8"/>
  <c r="C15" i="8"/>
  <c r="Y15" i="8" s="1"/>
  <c r="D15" i="8"/>
  <c r="E15" i="8"/>
  <c r="F15" i="8"/>
  <c r="G15" i="8"/>
  <c r="H15" i="8"/>
  <c r="I15" i="8"/>
  <c r="J15" i="8"/>
  <c r="K15" i="8"/>
  <c r="L15" i="8"/>
  <c r="M15" i="8"/>
  <c r="N15" i="8"/>
  <c r="O15" i="8"/>
  <c r="P15" i="8"/>
  <c r="Q15" i="8"/>
  <c r="R15" i="8"/>
  <c r="S15" i="8"/>
  <c r="T15" i="8"/>
  <c r="U15" i="8"/>
  <c r="V15" i="8"/>
  <c r="W15" i="8"/>
  <c r="X15" i="8"/>
  <c r="C16" i="8"/>
  <c r="Y16" i="8" s="1"/>
  <c r="D16" i="8"/>
  <c r="E16" i="8"/>
  <c r="F16" i="8"/>
  <c r="G16" i="8"/>
  <c r="H16" i="8"/>
  <c r="I16" i="8"/>
  <c r="J16" i="8"/>
  <c r="K16" i="8"/>
  <c r="L16" i="8"/>
  <c r="M16" i="8"/>
  <c r="N16" i="8"/>
  <c r="O16" i="8"/>
  <c r="P16" i="8"/>
  <c r="Q16" i="8"/>
  <c r="R16" i="8"/>
  <c r="S16" i="8"/>
  <c r="T16" i="8"/>
  <c r="U16" i="8"/>
  <c r="W16" i="8"/>
  <c r="X16" i="8"/>
  <c r="C17" i="8"/>
  <c r="D17" i="8"/>
  <c r="Y17" i="8" s="1"/>
  <c r="E17" i="8"/>
  <c r="F17" i="8"/>
  <c r="G17" i="8"/>
  <c r="H17" i="8"/>
  <c r="I17" i="8"/>
  <c r="J17" i="8"/>
  <c r="K17" i="8"/>
  <c r="L17" i="8"/>
  <c r="M17" i="8"/>
  <c r="N17" i="8"/>
  <c r="O17" i="8"/>
  <c r="P17" i="8"/>
  <c r="Q17" i="8"/>
  <c r="R17" i="8"/>
  <c r="S17" i="8"/>
  <c r="T17" i="8"/>
  <c r="U17" i="8"/>
  <c r="W17" i="8"/>
  <c r="X17" i="8"/>
  <c r="C18" i="8"/>
  <c r="D18" i="8"/>
  <c r="E18" i="8"/>
  <c r="V18" i="8" s="1"/>
  <c r="F18" i="8"/>
  <c r="G18" i="8"/>
  <c r="H18" i="8"/>
  <c r="I18" i="8"/>
  <c r="J18" i="8"/>
  <c r="K18" i="8"/>
  <c r="L18" i="8"/>
  <c r="M18" i="8"/>
  <c r="N18" i="8"/>
  <c r="O18" i="8"/>
  <c r="P18" i="8"/>
  <c r="Q18" i="8"/>
  <c r="R18" i="8"/>
  <c r="S18" i="8"/>
  <c r="T18" i="8"/>
  <c r="U18" i="8"/>
  <c r="W18" i="8"/>
  <c r="X18" i="8"/>
  <c r="Y18" i="8"/>
  <c r="C19" i="8"/>
  <c r="Y19" i="8" s="1"/>
  <c r="D19" i="8"/>
  <c r="E19" i="8"/>
  <c r="F19" i="8"/>
  <c r="G19" i="8"/>
  <c r="H19" i="8"/>
  <c r="I19" i="8"/>
  <c r="J19" i="8"/>
  <c r="K19" i="8"/>
  <c r="L19" i="8"/>
  <c r="M19" i="8"/>
  <c r="N19" i="8"/>
  <c r="O19" i="8"/>
  <c r="P19" i="8"/>
  <c r="Q19" i="8"/>
  <c r="R19" i="8"/>
  <c r="S19" i="8"/>
  <c r="T19" i="8"/>
  <c r="U19" i="8"/>
  <c r="V19" i="8"/>
  <c r="W19" i="8"/>
  <c r="X19" i="8"/>
  <c r="C20" i="8"/>
  <c r="Y20" i="8" s="1"/>
  <c r="D20" i="8"/>
  <c r="E20" i="8"/>
  <c r="F20" i="8"/>
  <c r="G20" i="8"/>
  <c r="H20" i="8"/>
  <c r="I20" i="8"/>
  <c r="J20" i="8"/>
  <c r="K20" i="8"/>
  <c r="L20" i="8"/>
  <c r="M20" i="8"/>
  <c r="N20" i="8"/>
  <c r="O20" i="8"/>
  <c r="P20" i="8"/>
  <c r="Q20" i="8"/>
  <c r="R20" i="8"/>
  <c r="S20" i="8"/>
  <c r="T20" i="8"/>
  <c r="U20" i="8"/>
  <c r="W20" i="8"/>
  <c r="X20" i="8"/>
  <c r="C21" i="8"/>
  <c r="D21" i="8"/>
  <c r="Y21" i="8" s="1"/>
  <c r="E21" i="8"/>
  <c r="F21" i="8"/>
  <c r="G21" i="8"/>
  <c r="H21" i="8"/>
  <c r="I21" i="8"/>
  <c r="J21" i="8"/>
  <c r="K21" i="8"/>
  <c r="L21" i="8"/>
  <c r="M21" i="8"/>
  <c r="N21" i="8"/>
  <c r="O21" i="8"/>
  <c r="P21" i="8"/>
  <c r="Q21" i="8"/>
  <c r="R21" i="8"/>
  <c r="S21" i="8"/>
  <c r="T21" i="8"/>
  <c r="U21" i="8"/>
  <c r="W21" i="8"/>
  <c r="X21" i="8"/>
  <c r="C22" i="8"/>
  <c r="D22" i="8"/>
  <c r="E22" i="8"/>
  <c r="V22" i="8" s="1"/>
  <c r="F22" i="8"/>
  <c r="G22" i="8"/>
  <c r="H22" i="8"/>
  <c r="I22" i="8"/>
  <c r="J22" i="8"/>
  <c r="K22" i="8"/>
  <c r="L22" i="8"/>
  <c r="M22" i="8"/>
  <c r="N22" i="8"/>
  <c r="O22" i="8"/>
  <c r="P22" i="8"/>
  <c r="Q22" i="8"/>
  <c r="R22" i="8"/>
  <c r="S22" i="8"/>
  <c r="T22" i="8"/>
  <c r="U22" i="8"/>
  <c r="W22" i="8"/>
  <c r="X22" i="8"/>
  <c r="Y22" i="8"/>
  <c r="C23" i="8"/>
  <c r="Y23" i="8" s="1"/>
  <c r="D23" i="8"/>
  <c r="E23" i="8"/>
  <c r="F23" i="8"/>
  <c r="G23" i="8"/>
  <c r="H23" i="8"/>
  <c r="I23" i="8"/>
  <c r="J23" i="8"/>
  <c r="K23" i="8"/>
  <c r="L23" i="8"/>
  <c r="M23" i="8"/>
  <c r="N23" i="8"/>
  <c r="O23" i="8"/>
  <c r="P23" i="8"/>
  <c r="Q23" i="8"/>
  <c r="R23" i="8"/>
  <c r="S23" i="8"/>
  <c r="T23" i="8"/>
  <c r="U23" i="8"/>
  <c r="V23" i="8"/>
  <c r="W23" i="8"/>
  <c r="X23" i="8"/>
  <c r="C24" i="8"/>
  <c r="Y24" i="8" s="1"/>
  <c r="D24" i="8"/>
  <c r="E24" i="8"/>
  <c r="F24" i="8"/>
  <c r="G24" i="8"/>
  <c r="H24" i="8"/>
  <c r="I24" i="8"/>
  <c r="J24" i="8"/>
  <c r="K24" i="8"/>
  <c r="L24" i="8"/>
  <c r="M24" i="8"/>
  <c r="N24" i="8"/>
  <c r="O24" i="8"/>
  <c r="P24" i="8"/>
  <c r="Q24" i="8"/>
  <c r="R24" i="8"/>
  <c r="S24" i="8"/>
  <c r="T24" i="8"/>
  <c r="U24" i="8"/>
  <c r="W24" i="8"/>
  <c r="X24" i="8"/>
  <c r="C25" i="8"/>
  <c r="D25" i="8"/>
  <c r="Y25" i="8" s="1"/>
  <c r="E25" i="8"/>
  <c r="F25" i="8"/>
  <c r="G25" i="8"/>
  <c r="H25" i="8"/>
  <c r="I25" i="8"/>
  <c r="J25" i="8"/>
  <c r="K25" i="8"/>
  <c r="L25" i="8"/>
  <c r="M25" i="8"/>
  <c r="N25" i="8"/>
  <c r="O25" i="8"/>
  <c r="P25" i="8"/>
  <c r="Q25" i="8"/>
  <c r="R25" i="8"/>
  <c r="S25" i="8"/>
  <c r="T25" i="8"/>
  <c r="U25" i="8"/>
  <c r="W25" i="8"/>
  <c r="X25" i="8"/>
  <c r="C26" i="8"/>
  <c r="D26" i="8"/>
  <c r="E26" i="8"/>
  <c r="V26" i="8" s="1"/>
  <c r="F26" i="8"/>
  <c r="G26" i="8"/>
  <c r="H26" i="8"/>
  <c r="I26" i="8"/>
  <c r="J26" i="8"/>
  <c r="K26" i="8"/>
  <c r="L26" i="8"/>
  <c r="M26" i="8"/>
  <c r="N26" i="8"/>
  <c r="O26" i="8"/>
  <c r="P26" i="8"/>
  <c r="Q26" i="8"/>
  <c r="R26" i="8"/>
  <c r="S26" i="8"/>
  <c r="T26" i="8"/>
  <c r="U26" i="8"/>
  <c r="W26" i="8"/>
  <c r="X26" i="8"/>
  <c r="Y26" i="8"/>
  <c r="C27" i="8"/>
  <c r="Y27" i="8" s="1"/>
  <c r="D27" i="8"/>
  <c r="E27" i="8"/>
  <c r="F27" i="8"/>
  <c r="G27" i="8"/>
  <c r="H27" i="8"/>
  <c r="I27" i="8"/>
  <c r="J27" i="8"/>
  <c r="K27" i="8"/>
  <c r="L27" i="8"/>
  <c r="M27" i="8"/>
  <c r="N27" i="8"/>
  <c r="O27" i="8"/>
  <c r="P27" i="8"/>
  <c r="Q27" i="8"/>
  <c r="R27" i="8"/>
  <c r="V27" i="8" s="1"/>
  <c r="S27" i="8"/>
  <c r="T27" i="8"/>
  <c r="U27" i="8"/>
  <c r="W27" i="8"/>
  <c r="X27" i="8"/>
  <c r="C28" i="8"/>
  <c r="Y28" i="8" s="1"/>
  <c r="D28" i="8"/>
  <c r="E28" i="8"/>
  <c r="F28" i="8"/>
  <c r="G28" i="8"/>
  <c r="H28" i="8"/>
  <c r="I28" i="8"/>
  <c r="J28" i="8"/>
  <c r="K28" i="8"/>
  <c r="L28" i="8"/>
  <c r="M28" i="8"/>
  <c r="N28" i="8"/>
  <c r="O28" i="8"/>
  <c r="P28" i="8"/>
  <c r="Q28" i="8"/>
  <c r="R28" i="8"/>
  <c r="S28" i="8"/>
  <c r="T28" i="8"/>
  <c r="U28" i="8"/>
  <c r="W28" i="8"/>
  <c r="X28" i="8"/>
  <c r="C29" i="8"/>
  <c r="D29" i="8"/>
  <c r="Y29" i="8" s="1"/>
  <c r="E29" i="8"/>
  <c r="F29" i="8"/>
  <c r="G29" i="8"/>
  <c r="H29" i="8"/>
  <c r="I29" i="8"/>
  <c r="J29" i="8"/>
  <c r="K29" i="8"/>
  <c r="L29" i="8"/>
  <c r="M29" i="8"/>
  <c r="N29" i="8"/>
  <c r="O29" i="8"/>
  <c r="P29" i="8"/>
  <c r="Q29" i="8"/>
  <c r="R29" i="8"/>
  <c r="S29" i="8"/>
  <c r="T29" i="8"/>
  <c r="U29" i="8"/>
  <c r="W29" i="8"/>
  <c r="X29" i="8"/>
  <c r="C30" i="8"/>
  <c r="D30" i="8"/>
  <c r="E30" i="8"/>
  <c r="V30" i="8" s="1"/>
  <c r="F30" i="8"/>
  <c r="G30" i="8"/>
  <c r="H30" i="8"/>
  <c r="I30" i="8"/>
  <c r="J30" i="8"/>
  <c r="K30" i="8"/>
  <c r="L30" i="8"/>
  <c r="M30" i="8"/>
  <c r="N30" i="8"/>
  <c r="O30" i="8"/>
  <c r="P30" i="8"/>
  <c r="Q30" i="8"/>
  <c r="Y30" i="8" s="1"/>
  <c r="R30" i="8"/>
  <c r="S30" i="8"/>
  <c r="T30" i="8"/>
  <c r="U30" i="8"/>
  <c r="W30" i="8"/>
  <c r="X30" i="8"/>
  <c r="C31" i="8"/>
  <c r="Y31" i="8" s="1"/>
  <c r="D31" i="8"/>
  <c r="E31" i="8"/>
  <c r="F31" i="8"/>
  <c r="G31" i="8"/>
  <c r="H31" i="8"/>
  <c r="I31" i="8"/>
  <c r="J31" i="8"/>
  <c r="K31" i="8"/>
  <c r="L31" i="8"/>
  <c r="M31" i="8"/>
  <c r="N31" i="8"/>
  <c r="V31" i="8" s="1"/>
  <c r="O31" i="8"/>
  <c r="P31" i="8"/>
  <c r="Q31" i="8"/>
  <c r="R31" i="8"/>
  <c r="S31" i="8"/>
  <c r="T31" i="8"/>
  <c r="U31" i="8"/>
  <c r="W31" i="8"/>
  <c r="X31" i="8"/>
  <c r="C32" i="8"/>
  <c r="Y32" i="8" s="1"/>
  <c r="D32" i="8"/>
  <c r="E32" i="8"/>
  <c r="F32" i="8"/>
  <c r="G32" i="8"/>
  <c r="H32" i="8"/>
  <c r="I32" i="8"/>
  <c r="J32" i="8"/>
  <c r="K32" i="8"/>
  <c r="L32" i="8"/>
  <c r="M32" i="8"/>
  <c r="N32" i="8"/>
  <c r="O32" i="8"/>
  <c r="P32" i="8"/>
  <c r="Q32" i="8"/>
  <c r="R32" i="8"/>
  <c r="S32" i="8"/>
  <c r="T32" i="8"/>
  <c r="U32" i="8"/>
  <c r="W32" i="8"/>
  <c r="X32" i="8"/>
  <c r="C33" i="8"/>
  <c r="D33" i="8"/>
  <c r="Y33" i="8" s="1"/>
  <c r="E33" i="8"/>
  <c r="F33" i="8"/>
  <c r="G33" i="8"/>
  <c r="H33" i="8"/>
  <c r="I33" i="8"/>
  <c r="J33" i="8"/>
  <c r="K33" i="8"/>
  <c r="L33" i="8"/>
  <c r="M33" i="8"/>
  <c r="N33" i="8"/>
  <c r="O33" i="8"/>
  <c r="P33" i="8"/>
  <c r="Q33" i="8"/>
  <c r="R33" i="8"/>
  <c r="S33" i="8"/>
  <c r="T33" i="8"/>
  <c r="U33" i="8"/>
  <c r="W33" i="8"/>
  <c r="X33" i="8"/>
  <c r="C34" i="8"/>
  <c r="D34" i="8"/>
  <c r="E34" i="8"/>
  <c r="V34" i="8" s="1"/>
  <c r="F34" i="8"/>
  <c r="G34" i="8"/>
  <c r="H34" i="8"/>
  <c r="I34" i="8"/>
  <c r="Y34" i="8" s="1"/>
  <c r="J34" i="8"/>
  <c r="K34" i="8"/>
  <c r="L34" i="8"/>
  <c r="M34" i="8"/>
  <c r="N34" i="8"/>
  <c r="O34" i="8"/>
  <c r="P34" i="8"/>
  <c r="Q34" i="8"/>
  <c r="R34" i="8"/>
  <c r="S34" i="8"/>
  <c r="T34" i="8"/>
  <c r="U34" i="8"/>
  <c r="W34" i="8"/>
  <c r="X34" i="8"/>
  <c r="C35" i="8"/>
  <c r="Y35" i="8" s="1"/>
  <c r="D35" i="8"/>
  <c r="E35" i="8"/>
  <c r="F35" i="8"/>
  <c r="V35" i="8" s="1"/>
  <c r="G35" i="8"/>
  <c r="H35" i="8"/>
  <c r="I35" i="8"/>
  <c r="J35" i="8"/>
  <c r="K35" i="8"/>
  <c r="L35" i="8"/>
  <c r="M35" i="8"/>
  <c r="N35" i="8"/>
  <c r="O35" i="8"/>
  <c r="P35" i="8"/>
  <c r="Q35" i="8"/>
  <c r="R35" i="8"/>
  <c r="S35" i="8"/>
  <c r="T35" i="8"/>
  <c r="U35" i="8"/>
  <c r="W35" i="8"/>
  <c r="X35" i="8"/>
  <c r="C36" i="8"/>
  <c r="Y36" i="8" s="1"/>
  <c r="D36" i="8"/>
  <c r="E36" i="8"/>
  <c r="F36" i="8"/>
  <c r="G36" i="8"/>
  <c r="H36" i="8"/>
  <c r="I36" i="8"/>
  <c r="J36" i="8"/>
  <c r="K36" i="8"/>
  <c r="L36" i="8"/>
  <c r="M36" i="8"/>
  <c r="N36" i="8"/>
  <c r="O36" i="8"/>
  <c r="P36" i="8"/>
  <c r="Q36" i="8"/>
  <c r="R36" i="8"/>
  <c r="S36" i="8"/>
  <c r="T36" i="8"/>
  <c r="U36" i="8"/>
  <c r="W36" i="8"/>
  <c r="X36" i="8"/>
  <c r="C37" i="8"/>
  <c r="D37" i="8"/>
  <c r="Y37" i="8" s="1"/>
  <c r="E37" i="8"/>
  <c r="F37" i="8"/>
  <c r="G37" i="8"/>
  <c r="H37" i="8"/>
  <c r="I37" i="8"/>
  <c r="J37" i="8"/>
  <c r="K37" i="8"/>
  <c r="L37" i="8"/>
  <c r="M37" i="8"/>
  <c r="N37" i="8"/>
  <c r="O37" i="8"/>
  <c r="P37" i="8"/>
  <c r="Q37" i="8"/>
  <c r="R37" i="8"/>
  <c r="S37" i="8"/>
  <c r="T37" i="8"/>
  <c r="U37" i="8"/>
  <c r="W37" i="8"/>
  <c r="X37" i="8"/>
  <c r="C38" i="8"/>
  <c r="D38" i="8"/>
  <c r="E38" i="8"/>
  <c r="V38" i="8" s="1"/>
  <c r="F38" i="8"/>
  <c r="G38" i="8"/>
  <c r="H38" i="8"/>
  <c r="I38" i="8"/>
  <c r="J38" i="8"/>
  <c r="K38" i="8"/>
  <c r="L38" i="8"/>
  <c r="M38" i="8"/>
  <c r="N38" i="8"/>
  <c r="O38" i="8"/>
  <c r="P38" i="8"/>
  <c r="Q38" i="8"/>
  <c r="Y38" i="8" s="1"/>
  <c r="R38" i="8"/>
  <c r="S38" i="8"/>
  <c r="T38" i="8"/>
  <c r="U38" i="8"/>
  <c r="W38" i="8"/>
  <c r="X38" i="8"/>
  <c r="C39" i="8"/>
  <c r="Y39" i="8" s="1"/>
  <c r="D39" i="8"/>
  <c r="E39" i="8"/>
  <c r="F39" i="8"/>
  <c r="G39" i="8"/>
  <c r="H39" i="8"/>
  <c r="I39" i="8"/>
  <c r="J39" i="8"/>
  <c r="K39" i="8"/>
  <c r="L39" i="8"/>
  <c r="M39" i="8"/>
  <c r="N39" i="8"/>
  <c r="V39" i="8" s="1"/>
  <c r="O39" i="8"/>
  <c r="P39" i="8"/>
  <c r="Q39" i="8"/>
  <c r="R39" i="8"/>
  <c r="S39" i="8"/>
  <c r="T39" i="8"/>
  <c r="U39" i="8"/>
  <c r="W39" i="8"/>
  <c r="X39" i="8"/>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V36" i="8" l="1"/>
  <c r="V32" i="8"/>
  <c r="V28" i="8"/>
  <c r="V24" i="8"/>
  <c r="V20" i="8"/>
  <c r="V16" i="8"/>
  <c r="V12" i="8"/>
  <c r="V8" i="8"/>
  <c r="V4" i="8"/>
  <c r="V37" i="8"/>
  <c r="V33" i="8"/>
  <c r="V29" i="8"/>
  <c r="V25" i="8"/>
  <c r="V21" i="8"/>
  <c r="V17" i="8"/>
  <c r="V13" i="8"/>
  <c r="V9" i="8"/>
  <c r="V5" i="8"/>
  <c r="H17" i="27"/>
  <c r="H3" i="27"/>
  <c r="H4" i="27"/>
  <c r="H5" i="27"/>
  <c r="H6" i="27"/>
  <c r="H7" i="27"/>
  <c r="H8" i="27"/>
  <c r="H9" i="27"/>
  <c r="H10" i="27"/>
  <c r="H11" i="27"/>
  <c r="H12" i="27"/>
  <c r="H13" i="27"/>
  <c r="H14" i="27"/>
  <c r="H15" i="27"/>
  <c r="H16" i="27"/>
  <c r="H18" i="27"/>
  <c r="H19" i="27"/>
  <c r="H20" i="27"/>
  <c r="H21" i="27"/>
  <c r="H22" i="27"/>
  <c r="H23" i="27"/>
  <c r="H24" i="27"/>
  <c r="H25" i="27"/>
  <c r="H26" i="27"/>
  <c r="H27" i="27"/>
  <c r="H28" i="27"/>
  <c r="H29" i="27"/>
  <c r="H30" i="27"/>
  <c r="H31" i="27"/>
  <c r="H32" i="27"/>
  <c r="S3" i="20" l="1"/>
  <c r="S4" i="20"/>
  <c r="S5" i="20"/>
  <c r="S6" i="20"/>
  <c r="M7" i="20"/>
  <c r="S7" i="20"/>
  <c r="S8" i="20"/>
  <c r="L9" i="20"/>
  <c r="S9" i="20"/>
  <c r="I10" i="20"/>
  <c r="S10" i="20"/>
  <c r="S11" i="20"/>
  <c r="S12" i="20"/>
  <c r="S13" i="20"/>
  <c r="S14" i="20"/>
  <c r="H15" i="20"/>
  <c r="S15" i="20"/>
  <c r="O16" i="20"/>
  <c r="S16" i="20"/>
  <c r="H17" i="20"/>
  <c r="J17" i="20"/>
  <c r="O17" i="20"/>
  <c r="P17" i="20"/>
  <c r="Q17" i="20"/>
  <c r="S17" i="20"/>
  <c r="K18" i="20"/>
  <c r="S18" i="20"/>
  <c r="J19" i="20"/>
  <c r="K19" i="20"/>
  <c r="S19" i="20"/>
  <c r="H20" i="20"/>
  <c r="S20" i="20"/>
  <c r="S21" i="20"/>
  <c r="C22" i="20"/>
  <c r="E22" i="20"/>
  <c r="S22" i="20"/>
  <c r="I23" i="20"/>
  <c r="L23" i="20"/>
  <c r="S23" i="20"/>
  <c r="D24" i="20"/>
  <c r="G24" i="20"/>
  <c r="O24" i="20"/>
  <c r="S24" i="20"/>
  <c r="C25" i="20"/>
  <c r="G25" i="20"/>
  <c r="H25" i="20"/>
  <c r="I25" i="20"/>
  <c r="J25" i="20"/>
  <c r="K25" i="20"/>
  <c r="L25" i="20"/>
  <c r="M25" i="20"/>
  <c r="N25" i="20"/>
  <c r="O25" i="20"/>
  <c r="P25" i="20"/>
  <c r="Q25" i="20"/>
  <c r="S25" i="20"/>
  <c r="C26" i="20"/>
  <c r="F26" i="20"/>
  <c r="G26" i="20"/>
  <c r="O26" i="20"/>
  <c r="P26" i="20"/>
  <c r="Q26" i="20"/>
  <c r="S26" i="20"/>
  <c r="E27" i="20"/>
  <c r="F27" i="20"/>
  <c r="G27" i="20"/>
  <c r="H28" i="20"/>
  <c r="N28" i="20"/>
  <c r="S28" i="20"/>
  <c r="C29" i="20"/>
  <c r="D29" i="20"/>
  <c r="H29" i="20"/>
  <c r="I29" i="20"/>
  <c r="J29" i="20"/>
  <c r="K29" i="20"/>
  <c r="L29" i="20"/>
  <c r="M29" i="20"/>
  <c r="N29" i="20"/>
  <c r="O29" i="20"/>
  <c r="P29" i="20"/>
  <c r="Q29" i="20"/>
  <c r="S29" i="20"/>
  <c r="F30" i="20"/>
  <c r="G30" i="20"/>
  <c r="H30" i="20"/>
  <c r="I30" i="20"/>
  <c r="J30" i="20"/>
  <c r="K30" i="20"/>
  <c r="L30" i="20"/>
  <c r="M30" i="20"/>
  <c r="N30" i="20"/>
  <c r="O30" i="20"/>
  <c r="P30" i="20"/>
  <c r="Q30" i="20"/>
  <c r="S30" i="20"/>
  <c r="D31" i="20"/>
  <c r="L31" i="20"/>
  <c r="M31" i="20"/>
  <c r="N31" i="20"/>
  <c r="O31" i="20"/>
  <c r="P31" i="20"/>
  <c r="Q31" i="20"/>
  <c r="S31" i="20"/>
  <c r="C32" i="20"/>
  <c r="K32" i="20"/>
  <c r="L32" i="20"/>
  <c r="M32" i="20"/>
  <c r="N32" i="20"/>
  <c r="O32" i="20"/>
  <c r="S32" i="20"/>
  <c r="D33" i="20"/>
  <c r="G33" i="20"/>
  <c r="H33" i="20"/>
  <c r="I33" i="20"/>
  <c r="J33" i="20"/>
  <c r="K33" i="20"/>
  <c r="L33" i="20"/>
  <c r="M33" i="20"/>
  <c r="N33" i="20"/>
  <c r="S33" i="20"/>
  <c r="H34" i="20"/>
  <c r="I34" i="20"/>
  <c r="J34" i="20"/>
  <c r="K34" i="20"/>
  <c r="M34" i="20"/>
  <c r="N34" i="20"/>
  <c r="S34" i="20"/>
  <c r="C35" i="20"/>
  <c r="D35" i="20"/>
  <c r="E35" i="20"/>
  <c r="F35" i="20"/>
  <c r="G35" i="20"/>
  <c r="H35" i="20"/>
  <c r="I35" i="20"/>
  <c r="J35" i="20"/>
  <c r="K35" i="20"/>
  <c r="L35" i="20"/>
  <c r="M35" i="20"/>
  <c r="O35" i="20"/>
  <c r="P35" i="20"/>
  <c r="Q35" i="20"/>
  <c r="S35" i="20"/>
  <c r="D36" i="20"/>
  <c r="M36" i="20"/>
  <c r="N36" i="20"/>
  <c r="O36" i="20"/>
  <c r="P36" i="20"/>
  <c r="Q36" i="20"/>
  <c r="S36" i="20"/>
  <c r="C37" i="20"/>
  <c r="D37" i="20"/>
  <c r="E37" i="20"/>
  <c r="F37" i="20"/>
  <c r="G37" i="20"/>
  <c r="H37" i="20"/>
  <c r="I37" i="20"/>
  <c r="J37" i="20"/>
  <c r="K37" i="20"/>
  <c r="L37" i="20"/>
  <c r="M37" i="20"/>
  <c r="N37" i="20"/>
  <c r="O37" i="20"/>
  <c r="Q37" i="20"/>
  <c r="S37" i="20"/>
  <c r="C38" i="20"/>
  <c r="D38" i="20"/>
  <c r="E38" i="20"/>
  <c r="F38" i="20"/>
  <c r="G38" i="20"/>
  <c r="H38" i="20"/>
  <c r="I38" i="20"/>
  <c r="K38" i="20"/>
  <c r="L38" i="20"/>
  <c r="M38" i="20"/>
  <c r="N38" i="20"/>
  <c r="O38" i="20"/>
  <c r="P38" i="20"/>
  <c r="Q38" i="20"/>
  <c r="S38" i="20"/>
  <c r="I39" i="20"/>
  <c r="L39" i="20"/>
  <c r="M39" i="20"/>
  <c r="N39" i="20"/>
  <c r="O39" i="20"/>
  <c r="P39" i="20"/>
  <c r="Q39" i="20"/>
  <c r="S39" i="20"/>
  <c r="C3" i="22"/>
  <c r="D3" i="22"/>
  <c r="E3" i="22"/>
  <c r="F3" i="22"/>
  <c r="G3" i="22"/>
  <c r="H3" i="22"/>
  <c r="I3" i="22"/>
  <c r="J3" i="22"/>
  <c r="K3" i="22"/>
  <c r="L3" i="22"/>
  <c r="M3" i="22"/>
  <c r="N3" i="22"/>
  <c r="O3" i="22"/>
  <c r="P3" i="22"/>
  <c r="Q3" i="22"/>
  <c r="S3" i="22"/>
  <c r="T3" i="22"/>
  <c r="C4" i="22"/>
  <c r="D4" i="22"/>
  <c r="E4" i="22"/>
  <c r="F4" i="22"/>
  <c r="G4" i="22"/>
  <c r="H4" i="22"/>
  <c r="I4" i="22"/>
  <c r="J4" i="22"/>
  <c r="K4" i="22"/>
  <c r="L4" i="22"/>
  <c r="M4" i="22"/>
  <c r="N4" i="22"/>
  <c r="O4" i="22"/>
  <c r="P4" i="22"/>
  <c r="Q4" i="22"/>
  <c r="S4" i="22"/>
  <c r="T4" i="22"/>
  <c r="C5" i="22"/>
  <c r="D5" i="22"/>
  <c r="R5" i="22" s="1"/>
  <c r="E5" i="22"/>
  <c r="F5" i="22"/>
  <c r="G5" i="22"/>
  <c r="H5" i="22"/>
  <c r="I5" i="22"/>
  <c r="J5" i="22"/>
  <c r="K5" i="22"/>
  <c r="L5" i="22"/>
  <c r="M5" i="22"/>
  <c r="N5" i="22"/>
  <c r="O5" i="22"/>
  <c r="P5" i="22"/>
  <c r="Q5" i="22"/>
  <c r="S5" i="22"/>
  <c r="T5" i="22"/>
  <c r="C6" i="22"/>
  <c r="D6" i="22"/>
  <c r="E6" i="22"/>
  <c r="F6" i="22"/>
  <c r="G6" i="22"/>
  <c r="H6" i="22"/>
  <c r="I6" i="22"/>
  <c r="J6" i="22"/>
  <c r="K6" i="22"/>
  <c r="L6" i="22"/>
  <c r="M6" i="22"/>
  <c r="N6" i="22"/>
  <c r="O6" i="22"/>
  <c r="P6" i="22"/>
  <c r="Q6" i="22"/>
  <c r="S6" i="22"/>
  <c r="T6" i="22"/>
  <c r="C7" i="22"/>
  <c r="D7" i="22"/>
  <c r="E7" i="22"/>
  <c r="F7" i="22"/>
  <c r="G7" i="22"/>
  <c r="H7" i="22"/>
  <c r="I7" i="22"/>
  <c r="J7" i="22"/>
  <c r="K7" i="22"/>
  <c r="L7" i="22"/>
  <c r="M7" i="22"/>
  <c r="N7" i="22"/>
  <c r="O7" i="22"/>
  <c r="P7" i="22"/>
  <c r="Q7" i="22"/>
  <c r="S7" i="22"/>
  <c r="T7" i="22"/>
  <c r="C8" i="22"/>
  <c r="D8" i="22"/>
  <c r="E8" i="22"/>
  <c r="F8" i="22"/>
  <c r="G8" i="22"/>
  <c r="H8" i="22"/>
  <c r="I8" i="22"/>
  <c r="J8" i="22"/>
  <c r="K8" i="22"/>
  <c r="L8" i="22"/>
  <c r="M8" i="22"/>
  <c r="N8" i="22"/>
  <c r="O8" i="22"/>
  <c r="P8" i="22"/>
  <c r="Q8" i="22"/>
  <c r="S8" i="22"/>
  <c r="T8" i="22"/>
  <c r="C9" i="22"/>
  <c r="D9" i="22"/>
  <c r="E9" i="22"/>
  <c r="F9" i="22"/>
  <c r="G9" i="22"/>
  <c r="H9" i="22"/>
  <c r="I9" i="22"/>
  <c r="J9" i="22"/>
  <c r="K9" i="22"/>
  <c r="L9" i="22"/>
  <c r="M9" i="22"/>
  <c r="N9" i="22"/>
  <c r="O9" i="22"/>
  <c r="P9" i="22"/>
  <c r="Q9" i="22"/>
  <c r="S9" i="22"/>
  <c r="T9" i="22"/>
  <c r="C10" i="22"/>
  <c r="D10" i="22"/>
  <c r="E10" i="22"/>
  <c r="F10" i="22"/>
  <c r="G10" i="22"/>
  <c r="H10" i="22"/>
  <c r="I10" i="22"/>
  <c r="J10" i="22"/>
  <c r="K10" i="22"/>
  <c r="L10" i="22"/>
  <c r="M10" i="22"/>
  <c r="N10" i="22"/>
  <c r="O10" i="22"/>
  <c r="P10" i="22"/>
  <c r="Q10" i="22"/>
  <c r="S10" i="22"/>
  <c r="T10" i="22"/>
  <c r="C11" i="22"/>
  <c r="D11" i="22"/>
  <c r="E11" i="22"/>
  <c r="F11" i="22"/>
  <c r="G11" i="22"/>
  <c r="H11" i="22"/>
  <c r="I11" i="22"/>
  <c r="J11" i="22"/>
  <c r="K11" i="22"/>
  <c r="L11" i="22"/>
  <c r="M11" i="22"/>
  <c r="N11" i="22"/>
  <c r="O11" i="22"/>
  <c r="P11" i="22"/>
  <c r="Q11" i="22"/>
  <c r="S11" i="22"/>
  <c r="T11" i="22"/>
  <c r="C12" i="22"/>
  <c r="D12" i="22"/>
  <c r="E12" i="22"/>
  <c r="F12" i="22"/>
  <c r="G12" i="22"/>
  <c r="H12" i="22"/>
  <c r="I12" i="22"/>
  <c r="J12" i="22"/>
  <c r="K12" i="22"/>
  <c r="L12" i="22"/>
  <c r="M12" i="22"/>
  <c r="N12" i="22"/>
  <c r="O12" i="22"/>
  <c r="P12" i="22"/>
  <c r="Q12" i="22"/>
  <c r="S12" i="22"/>
  <c r="T12" i="22"/>
  <c r="C13" i="22"/>
  <c r="D13" i="22"/>
  <c r="E13" i="22"/>
  <c r="F13" i="22"/>
  <c r="G13" i="22"/>
  <c r="H13" i="22"/>
  <c r="I13" i="22"/>
  <c r="J13" i="22"/>
  <c r="K13" i="22"/>
  <c r="L13" i="22"/>
  <c r="M13" i="22"/>
  <c r="N13" i="22"/>
  <c r="O13" i="22"/>
  <c r="P13" i="22"/>
  <c r="Q13" i="22"/>
  <c r="S13" i="22"/>
  <c r="T13" i="22"/>
  <c r="C14" i="22"/>
  <c r="D14" i="22"/>
  <c r="E14" i="22"/>
  <c r="F14" i="22"/>
  <c r="G14" i="22"/>
  <c r="H14" i="22"/>
  <c r="I14" i="22"/>
  <c r="J14" i="22"/>
  <c r="K14" i="22"/>
  <c r="L14" i="22"/>
  <c r="M14" i="22"/>
  <c r="N14" i="22"/>
  <c r="O14" i="22"/>
  <c r="P14" i="22"/>
  <c r="Q14" i="22"/>
  <c r="S14" i="22"/>
  <c r="T14" i="22"/>
  <c r="C15" i="22"/>
  <c r="D15" i="22"/>
  <c r="E15" i="22"/>
  <c r="F15" i="22"/>
  <c r="G15" i="22"/>
  <c r="H15" i="22"/>
  <c r="I15" i="22"/>
  <c r="J15" i="22"/>
  <c r="K15" i="22"/>
  <c r="L15" i="22"/>
  <c r="M15" i="22"/>
  <c r="N15" i="22"/>
  <c r="O15" i="22"/>
  <c r="P15" i="22"/>
  <c r="Q15" i="22"/>
  <c r="T15" i="22"/>
  <c r="C16" i="22"/>
  <c r="D16" i="22"/>
  <c r="E16" i="22"/>
  <c r="F16" i="22"/>
  <c r="G16" i="22"/>
  <c r="H16" i="22"/>
  <c r="I16" i="22"/>
  <c r="J16" i="22"/>
  <c r="K16" i="22"/>
  <c r="L16" i="22"/>
  <c r="M16" i="22"/>
  <c r="N16" i="22"/>
  <c r="O16" i="22"/>
  <c r="P16" i="22"/>
  <c r="Q16" i="22"/>
  <c r="S16" i="22"/>
  <c r="T16" i="22"/>
  <c r="C17" i="22"/>
  <c r="D17" i="22"/>
  <c r="E17" i="22"/>
  <c r="F17" i="22"/>
  <c r="G17" i="22"/>
  <c r="H17" i="22"/>
  <c r="I17" i="22"/>
  <c r="J17" i="22"/>
  <c r="K17" i="22"/>
  <c r="L17" i="22"/>
  <c r="M17" i="22"/>
  <c r="N17" i="22"/>
  <c r="O17" i="22"/>
  <c r="P17" i="22"/>
  <c r="Q17" i="22"/>
  <c r="S17" i="22"/>
  <c r="T17" i="22"/>
  <c r="C18" i="22"/>
  <c r="D18" i="22"/>
  <c r="E18" i="22"/>
  <c r="F18" i="22"/>
  <c r="G18" i="22"/>
  <c r="H18" i="22"/>
  <c r="I18" i="22"/>
  <c r="J18" i="22"/>
  <c r="K18" i="22"/>
  <c r="L18" i="22"/>
  <c r="M18" i="22"/>
  <c r="N18" i="22"/>
  <c r="O18" i="22"/>
  <c r="P18" i="22"/>
  <c r="Q18" i="22"/>
  <c r="S18" i="22"/>
  <c r="T18" i="22"/>
  <c r="C19" i="22"/>
  <c r="D19" i="22"/>
  <c r="E19" i="22"/>
  <c r="F19" i="22"/>
  <c r="G19" i="22"/>
  <c r="H19" i="22"/>
  <c r="I19" i="22"/>
  <c r="J19" i="22"/>
  <c r="K19" i="22"/>
  <c r="L19" i="22"/>
  <c r="M19" i="22"/>
  <c r="N19" i="22"/>
  <c r="O19" i="22"/>
  <c r="P19" i="22"/>
  <c r="Q19" i="22"/>
  <c r="S19" i="22"/>
  <c r="T19" i="22"/>
  <c r="C20" i="22"/>
  <c r="D20" i="22"/>
  <c r="E20" i="22"/>
  <c r="F20" i="22"/>
  <c r="G20" i="22"/>
  <c r="H20" i="22"/>
  <c r="I20" i="22"/>
  <c r="J20" i="22"/>
  <c r="K20" i="22"/>
  <c r="L20" i="22"/>
  <c r="M20" i="22"/>
  <c r="N20" i="22"/>
  <c r="O20" i="22"/>
  <c r="P20" i="22"/>
  <c r="Q20" i="22"/>
  <c r="S20" i="22"/>
  <c r="T20" i="22"/>
  <c r="C21" i="22"/>
  <c r="D21" i="22"/>
  <c r="E21" i="22"/>
  <c r="F21" i="22"/>
  <c r="G21" i="22"/>
  <c r="H21" i="22"/>
  <c r="I21" i="22"/>
  <c r="J21" i="22"/>
  <c r="K21" i="22"/>
  <c r="L21" i="22"/>
  <c r="M21" i="22"/>
  <c r="N21" i="22"/>
  <c r="O21" i="22"/>
  <c r="P21" i="22"/>
  <c r="Q21" i="22"/>
  <c r="S21" i="22"/>
  <c r="T21" i="22"/>
  <c r="C22" i="22"/>
  <c r="D22" i="22"/>
  <c r="E22" i="22"/>
  <c r="F22" i="22"/>
  <c r="G22" i="22"/>
  <c r="H22" i="22"/>
  <c r="I22" i="22"/>
  <c r="J22" i="22"/>
  <c r="K22" i="22"/>
  <c r="L22" i="22"/>
  <c r="M22" i="22"/>
  <c r="N22" i="22"/>
  <c r="O22" i="22"/>
  <c r="P22" i="22"/>
  <c r="Q22" i="22"/>
  <c r="S22" i="22"/>
  <c r="T22" i="22"/>
  <c r="C23" i="22"/>
  <c r="D23" i="22"/>
  <c r="E23" i="22"/>
  <c r="F23" i="22"/>
  <c r="G23" i="22"/>
  <c r="H23" i="22"/>
  <c r="I23" i="22"/>
  <c r="J23" i="22"/>
  <c r="K23" i="22"/>
  <c r="L23" i="22"/>
  <c r="M23" i="22"/>
  <c r="N23" i="22"/>
  <c r="O23" i="22"/>
  <c r="P23" i="22"/>
  <c r="Q23" i="22"/>
  <c r="S23" i="22"/>
  <c r="T23" i="22"/>
  <c r="C24" i="22"/>
  <c r="D24" i="22"/>
  <c r="E24" i="22"/>
  <c r="F24" i="22"/>
  <c r="G24" i="22"/>
  <c r="H24" i="22"/>
  <c r="I24" i="22"/>
  <c r="J24" i="22"/>
  <c r="K24" i="22"/>
  <c r="L24" i="22"/>
  <c r="M24" i="22"/>
  <c r="N24" i="22"/>
  <c r="O24" i="22"/>
  <c r="P24" i="22"/>
  <c r="Q24" i="22"/>
  <c r="S24" i="22"/>
  <c r="T24" i="22"/>
  <c r="C25" i="22"/>
  <c r="D25" i="22"/>
  <c r="E25" i="22"/>
  <c r="F25" i="22"/>
  <c r="G25" i="22"/>
  <c r="H25" i="22"/>
  <c r="I25" i="22"/>
  <c r="J25" i="22"/>
  <c r="K25" i="22"/>
  <c r="L25" i="22"/>
  <c r="M25" i="22"/>
  <c r="N25" i="22"/>
  <c r="O25" i="22"/>
  <c r="P25" i="22"/>
  <c r="Q25" i="22"/>
  <c r="S25" i="22"/>
  <c r="T25" i="22"/>
  <c r="C26" i="22"/>
  <c r="D26" i="22"/>
  <c r="E26" i="22"/>
  <c r="F26" i="22"/>
  <c r="G26" i="22"/>
  <c r="H26" i="22"/>
  <c r="I26" i="22"/>
  <c r="J26" i="22"/>
  <c r="K26" i="22"/>
  <c r="L26" i="22"/>
  <c r="M26" i="22"/>
  <c r="N26" i="22"/>
  <c r="O26" i="22"/>
  <c r="P26" i="22"/>
  <c r="Q26" i="22"/>
  <c r="S26" i="22"/>
  <c r="T26" i="22"/>
  <c r="C27" i="22"/>
  <c r="D27" i="22"/>
  <c r="E27" i="22"/>
  <c r="F27" i="22"/>
  <c r="G27" i="22"/>
  <c r="H27" i="22"/>
  <c r="I27" i="22"/>
  <c r="J27" i="22"/>
  <c r="K27" i="22"/>
  <c r="L27" i="22"/>
  <c r="M27" i="22"/>
  <c r="N27" i="22"/>
  <c r="O27" i="22"/>
  <c r="P27" i="22"/>
  <c r="Q27" i="22"/>
  <c r="S27" i="22"/>
  <c r="T27" i="22"/>
  <c r="C28" i="22"/>
  <c r="D28" i="22"/>
  <c r="E28" i="22"/>
  <c r="F28" i="22"/>
  <c r="G28" i="22"/>
  <c r="H28" i="22"/>
  <c r="I28" i="22"/>
  <c r="J28" i="22"/>
  <c r="K28" i="22"/>
  <c r="L28" i="22"/>
  <c r="M28" i="22"/>
  <c r="N28" i="22"/>
  <c r="O28" i="22"/>
  <c r="P28" i="22"/>
  <c r="Q28" i="22"/>
  <c r="S28" i="22"/>
  <c r="T28" i="22"/>
  <c r="C29" i="22"/>
  <c r="D29" i="22"/>
  <c r="E29" i="22"/>
  <c r="F29" i="22"/>
  <c r="G29" i="22"/>
  <c r="H29" i="22"/>
  <c r="I29" i="22"/>
  <c r="J29" i="22"/>
  <c r="K29" i="22"/>
  <c r="L29" i="22"/>
  <c r="M29" i="22"/>
  <c r="N29" i="22"/>
  <c r="O29" i="22"/>
  <c r="P29" i="22"/>
  <c r="Q29" i="22"/>
  <c r="S29" i="22"/>
  <c r="T29" i="22"/>
  <c r="C30" i="22"/>
  <c r="D30" i="22"/>
  <c r="E30" i="22"/>
  <c r="F30" i="22"/>
  <c r="G30" i="22"/>
  <c r="H30" i="22"/>
  <c r="I30" i="22"/>
  <c r="J30" i="22"/>
  <c r="K30" i="22"/>
  <c r="L30" i="22"/>
  <c r="M30" i="22"/>
  <c r="N30" i="22"/>
  <c r="O30" i="22"/>
  <c r="P30" i="22"/>
  <c r="Q30" i="22"/>
  <c r="S30" i="22"/>
  <c r="T30" i="22"/>
  <c r="C31" i="22"/>
  <c r="D31" i="22"/>
  <c r="E31" i="22"/>
  <c r="F31" i="22"/>
  <c r="G31" i="22"/>
  <c r="H31" i="22"/>
  <c r="I31" i="22"/>
  <c r="J31" i="22"/>
  <c r="K31" i="22"/>
  <c r="L31" i="22"/>
  <c r="M31" i="22"/>
  <c r="N31" i="22"/>
  <c r="O31" i="22"/>
  <c r="P31" i="22"/>
  <c r="Q31" i="22"/>
  <c r="S31" i="22"/>
  <c r="T31" i="22"/>
  <c r="C32" i="22"/>
  <c r="D32" i="22"/>
  <c r="E32" i="22"/>
  <c r="F32" i="22"/>
  <c r="G32" i="22"/>
  <c r="H32" i="22"/>
  <c r="I32" i="22"/>
  <c r="J32" i="22"/>
  <c r="K32" i="22"/>
  <c r="L32" i="22"/>
  <c r="M32" i="22"/>
  <c r="N32" i="22"/>
  <c r="O32" i="22"/>
  <c r="P32" i="22"/>
  <c r="Q32" i="22"/>
  <c r="S32" i="22"/>
  <c r="T32" i="22"/>
  <c r="C33" i="22"/>
  <c r="D33" i="22"/>
  <c r="E33" i="22"/>
  <c r="F33" i="22"/>
  <c r="G33" i="22"/>
  <c r="H33" i="22"/>
  <c r="I33" i="22"/>
  <c r="J33" i="22"/>
  <c r="K33" i="22"/>
  <c r="L33" i="22"/>
  <c r="M33" i="22"/>
  <c r="N33" i="22"/>
  <c r="O33" i="22"/>
  <c r="P33" i="22"/>
  <c r="Q33" i="22"/>
  <c r="S33" i="22"/>
  <c r="T33" i="22"/>
  <c r="C34" i="22"/>
  <c r="D34" i="22"/>
  <c r="E34" i="22"/>
  <c r="F34" i="22"/>
  <c r="G34" i="22"/>
  <c r="H34" i="22"/>
  <c r="I34" i="22"/>
  <c r="J34" i="22"/>
  <c r="K34" i="22"/>
  <c r="L34" i="22"/>
  <c r="M34" i="22"/>
  <c r="N34" i="22"/>
  <c r="O34" i="22"/>
  <c r="P34" i="22"/>
  <c r="Q34" i="22"/>
  <c r="S34" i="22"/>
  <c r="T34" i="22"/>
  <c r="C35" i="22"/>
  <c r="D35" i="22"/>
  <c r="E35" i="22"/>
  <c r="F35" i="22"/>
  <c r="G35" i="22"/>
  <c r="H35" i="22"/>
  <c r="I35" i="22"/>
  <c r="J35" i="22"/>
  <c r="K35" i="22"/>
  <c r="L35" i="22"/>
  <c r="M35" i="22"/>
  <c r="N35" i="22"/>
  <c r="O35" i="22"/>
  <c r="P35" i="22"/>
  <c r="Q35" i="22"/>
  <c r="S35" i="22"/>
  <c r="T35" i="22"/>
  <c r="C36" i="22"/>
  <c r="D36" i="22"/>
  <c r="E36" i="22"/>
  <c r="F36" i="22"/>
  <c r="G36" i="22"/>
  <c r="H36" i="22"/>
  <c r="I36" i="22"/>
  <c r="J36" i="22"/>
  <c r="K36" i="22"/>
  <c r="L36" i="22"/>
  <c r="M36" i="22"/>
  <c r="N36" i="22"/>
  <c r="O36" i="22"/>
  <c r="P36" i="22"/>
  <c r="Q36" i="22"/>
  <c r="S36" i="22"/>
  <c r="T36" i="22"/>
  <c r="C37" i="22"/>
  <c r="D37" i="22"/>
  <c r="E37" i="22"/>
  <c r="F37" i="22"/>
  <c r="G37" i="22"/>
  <c r="H37" i="22"/>
  <c r="I37" i="22"/>
  <c r="J37" i="22"/>
  <c r="K37" i="22"/>
  <c r="L37" i="22"/>
  <c r="M37" i="22"/>
  <c r="N37" i="22"/>
  <c r="O37" i="22"/>
  <c r="P37" i="22"/>
  <c r="Q37" i="22"/>
  <c r="S37" i="22"/>
  <c r="T37" i="22"/>
  <c r="C38" i="22"/>
  <c r="D38" i="22"/>
  <c r="E38" i="22"/>
  <c r="F38" i="22"/>
  <c r="G38" i="22"/>
  <c r="H38" i="22"/>
  <c r="I38" i="22"/>
  <c r="J38" i="22"/>
  <c r="K38" i="22"/>
  <c r="L38" i="22"/>
  <c r="M38" i="22"/>
  <c r="N38" i="22"/>
  <c r="O38" i="22"/>
  <c r="P38" i="22"/>
  <c r="Q38" i="22"/>
  <c r="S38" i="22"/>
  <c r="T38" i="22"/>
  <c r="C39" i="22"/>
  <c r="D39" i="22"/>
  <c r="E39" i="22"/>
  <c r="F39" i="22"/>
  <c r="G39" i="22"/>
  <c r="H39" i="22"/>
  <c r="I39" i="22"/>
  <c r="J39" i="22"/>
  <c r="K39" i="22"/>
  <c r="L39" i="22"/>
  <c r="M39" i="22"/>
  <c r="N39" i="22"/>
  <c r="O39" i="22"/>
  <c r="P39" i="22"/>
  <c r="Q39" i="22"/>
  <c r="S39" i="22"/>
  <c r="T39" i="22"/>
  <c r="Q2" i="22"/>
  <c r="U3" i="12"/>
  <c r="U4" i="12"/>
  <c r="U5" i="12"/>
  <c r="U6" i="12"/>
  <c r="U7" i="12"/>
  <c r="U8" i="12"/>
  <c r="U9" i="12"/>
  <c r="U10" i="12"/>
  <c r="U11" i="12"/>
  <c r="U2" i="8"/>
  <c r="R7" i="22" l="1"/>
  <c r="R39" i="22"/>
  <c r="R35" i="22"/>
  <c r="R31" i="22"/>
  <c r="R27" i="22"/>
  <c r="R23" i="22"/>
  <c r="R19" i="22"/>
  <c r="R15" i="22"/>
  <c r="R3" i="22"/>
  <c r="R11" i="22"/>
  <c r="R6" i="22"/>
  <c r="R38" i="22"/>
  <c r="R34" i="22"/>
  <c r="R30" i="22"/>
  <c r="R26" i="22"/>
  <c r="R22" i="22"/>
  <c r="R18" i="22"/>
  <c r="R14" i="22"/>
  <c r="R10" i="22"/>
  <c r="R37" i="22"/>
  <c r="R33" i="22"/>
  <c r="R29" i="22"/>
  <c r="R25" i="22"/>
  <c r="R21" i="22"/>
  <c r="R17" i="22"/>
  <c r="R13" i="22"/>
  <c r="R9" i="22"/>
  <c r="R36" i="22"/>
  <c r="R32" i="22"/>
  <c r="R28" i="22"/>
  <c r="R24" i="22"/>
  <c r="R20" i="22"/>
  <c r="R16" i="22"/>
  <c r="R12" i="22"/>
  <c r="R8" i="22"/>
  <c r="R4" i="22"/>
  <c r="U495" i="4"/>
  <c r="V495" i="4"/>
  <c r="U496" i="4"/>
  <c r="V496" i="4"/>
  <c r="U497" i="4"/>
  <c r="V497" i="4"/>
  <c r="U498" i="4"/>
  <c r="V498" i="4"/>
  <c r="U499" i="4"/>
  <c r="V499" i="4"/>
  <c r="U500" i="4"/>
  <c r="V500" i="4"/>
  <c r="U501" i="4"/>
  <c r="V501" i="4"/>
  <c r="U502" i="4"/>
  <c r="V502" i="4"/>
  <c r="U503" i="4"/>
  <c r="V503" i="4"/>
  <c r="U504" i="4"/>
  <c r="V504" i="4"/>
  <c r="U505" i="4"/>
  <c r="V505" i="4"/>
  <c r="U506" i="4"/>
  <c r="V506" i="4"/>
  <c r="U507" i="4"/>
  <c r="V507" i="4"/>
  <c r="U508" i="4"/>
  <c r="V508" i="4"/>
  <c r="U509" i="4"/>
  <c r="V509" i="4"/>
  <c r="U510" i="4"/>
  <c r="V510" i="4"/>
  <c r="U511" i="4"/>
  <c r="V511" i="4"/>
  <c r="U512" i="4"/>
  <c r="V512" i="4"/>
  <c r="U513" i="4"/>
  <c r="V513" i="4"/>
  <c r="U514" i="4"/>
  <c r="V514" i="4"/>
  <c r="U515" i="4"/>
  <c r="V515" i="4"/>
  <c r="U516" i="4"/>
  <c r="V516" i="4"/>
  <c r="U517" i="4"/>
  <c r="V517" i="4"/>
  <c r="U518" i="4"/>
  <c r="V518" i="4"/>
  <c r="U519" i="4"/>
  <c r="V519" i="4"/>
  <c r="U520" i="4"/>
  <c r="V520" i="4"/>
  <c r="U521" i="4"/>
  <c r="V521" i="4"/>
  <c r="U522" i="4"/>
  <c r="V522" i="4"/>
  <c r="U523" i="4"/>
  <c r="V523" i="4"/>
  <c r="U524" i="4"/>
  <c r="V524" i="4"/>
  <c r="U525" i="4"/>
  <c r="V52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495" i="4"/>
  <c r="H2" i="27"/>
  <c r="V468" i="4" l="1"/>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U469" i="4"/>
  <c r="U470" i="4"/>
  <c r="U471" i="4"/>
  <c r="U472" i="4"/>
  <c r="U473" i="4"/>
  <c r="U474" i="4"/>
  <c r="U475" i="4"/>
  <c r="U476" i="4"/>
  <c r="U477" i="4"/>
  <c r="U478" i="4"/>
  <c r="U479" i="4"/>
  <c r="U480" i="4"/>
  <c r="U481" i="4"/>
  <c r="U482" i="4"/>
  <c r="U483" i="4"/>
  <c r="U484" i="4"/>
  <c r="U485" i="4"/>
  <c r="U486" i="4"/>
  <c r="U487" i="4"/>
  <c r="U488" i="4"/>
  <c r="U489" i="4"/>
  <c r="U490" i="4"/>
  <c r="U491" i="4"/>
  <c r="U492" i="4"/>
  <c r="U493" i="4"/>
  <c r="U494" i="4"/>
  <c r="L468" i="4"/>
  <c r="M468" i="4" s="1"/>
  <c r="O468" i="4"/>
  <c r="P468" i="4"/>
  <c r="R468" i="4"/>
  <c r="L469" i="4"/>
  <c r="N469" i="4" s="1"/>
  <c r="O469" i="4"/>
  <c r="P469" i="4"/>
  <c r="R469" i="4"/>
  <c r="L470" i="4"/>
  <c r="M470" i="4" s="1"/>
  <c r="O470" i="4"/>
  <c r="P470" i="4"/>
  <c r="R470" i="4"/>
  <c r="L471" i="4"/>
  <c r="N471" i="4" s="1"/>
  <c r="O471" i="4"/>
  <c r="P471" i="4"/>
  <c r="R471" i="4"/>
  <c r="L472" i="4"/>
  <c r="M472" i="4" s="1"/>
  <c r="O472" i="4"/>
  <c r="P472" i="4"/>
  <c r="R472" i="4"/>
  <c r="L473" i="4"/>
  <c r="N473" i="4" s="1"/>
  <c r="O473" i="4"/>
  <c r="P473" i="4"/>
  <c r="R473" i="4"/>
  <c r="L474" i="4"/>
  <c r="M474" i="4" s="1"/>
  <c r="O474" i="4"/>
  <c r="P474" i="4"/>
  <c r="R474" i="4"/>
  <c r="L475" i="4"/>
  <c r="N475" i="4" s="1"/>
  <c r="O475" i="4"/>
  <c r="P475" i="4"/>
  <c r="R475" i="4"/>
  <c r="L476" i="4"/>
  <c r="M476" i="4" s="1"/>
  <c r="O476" i="4"/>
  <c r="P476" i="4"/>
  <c r="R476" i="4"/>
  <c r="L477" i="4"/>
  <c r="N477" i="4" s="1"/>
  <c r="O477" i="4"/>
  <c r="P477" i="4"/>
  <c r="R477" i="4"/>
  <c r="L478" i="4"/>
  <c r="M478" i="4" s="1"/>
  <c r="O478" i="4"/>
  <c r="P478" i="4"/>
  <c r="R478" i="4"/>
  <c r="L479" i="4"/>
  <c r="M479" i="4" s="1"/>
  <c r="O479" i="4"/>
  <c r="P479" i="4"/>
  <c r="R479" i="4"/>
  <c r="L480" i="4"/>
  <c r="M480" i="4" s="1"/>
  <c r="O480" i="4"/>
  <c r="P480" i="4"/>
  <c r="R480" i="4"/>
  <c r="L481" i="4"/>
  <c r="M481" i="4" s="1"/>
  <c r="O481" i="4"/>
  <c r="P481" i="4"/>
  <c r="R481" i="4"/>
  <c r="L482" i="4"/>
  <c r="M482" i="4" s="1"/>
  <c r="O482" i="4"/>
  <c r="P482" i="4"/>
  <c r="R482" i="4"/>
  <c r="L483" i="4"/>
  <c r="M483" i="4" s="1"/>
  <c r="O483" i="4"/>
  <c r="P483" i="4"/>
  <c r="R483" i="4"/>
  <c r="L484" i="4"/>
  <c r="N484" i="4" s="1"/>
  <c r="O484" i="4"/>
  <c r="P484" i="4"/>
  <c r="R484" i="4"/>
  <c r="L485" i="4"/>
  <c r="M485" i="4" s="1"/>
  <c r="O485" i="4"/>
  <c r="P485" i="4"/>
  <c r="R485" i="4"/>
  <c r="L486" i="4"/>
  <c r="N486" i="4" s="1"/>
  <c r="O486" i="4"/>
  <c r="P486" i="4"/>
  <c r="R486" i="4"/>
  <c r="L487" i="4"/>
  <c r="M487" i="4" s="1"/>
  <c r="O487" i="4"/>
  <c r="P487" i="4"/>
  <c r="R487" i="4"/>
  <c r="L488" i="4"/>
  <c r="N488" i="4" s="1"/>
  <c r="O488" i="4"/>
  <c r="P488" i="4"/>
  <c r="R488" i="4"/>
  <c r="L489" i="4"/>
  <c r="M489" i="4" s="1"/>
  <c r="O489" i="4"/>
  <c r="P489" i="4"/>
  <c r="R489" i="4"/>
  <c r="L490" i="4"/>
  <c r="M490" i="4" s="1"/>
  <c r="O490" i="4"/>
  <c r="P490" i="4"/>
  <c r="R490" i="4"/>
  <c r="L491" i="4"/>
  <c r="N491" i="4" s="1"/>
  <c r="O491" i="4"/>
  <c r="P491" i="4"/>
  <c r="R491" i="4"/>
  <c r="L492" i="4"/>
  <c r="M492" i="4" s="1"/>
  <c r="O492" i="4"/>
  <c r="P492" i="4"/>
  <c r="R492" i="4"/>
  <c r="L493" i="4"/>
  <c r="N493" i="4" s="1"/>
  <c r="O493" i="4"/>
  <c r="P493" i="4"/>
  <c r="R493" i="4"/>
  <c r="L494" i="4"/>
  <c r="N494" i="4" s="1"/>
  <c r="O494" i="4"/>
  <c r="P494" i="4"/>
  <c r="R494" i="4"/>
  <c r="G468" i="4"/>
  <c r="I468" i="4" s="1"/>
  <c r="G469" i="4"/>
  <c r="I469" i="4" s="1"/>
  <c r="G470" i="4"/>
  <c r="I470" i="4" s="1"/>
  <c r="G471" i="4"/>
  <c r="I471" i="4" s="1"/>
  <c r="G472" i="4"/>
  <c r="I472" i="4" s="1"/>
  <c r="G473" i="4"/>
  <c r="I473" i="4" s="1"/>
  <c r="G474" i="4"/>
  <c r="I474" i="4" s="1"/>
  <c r="G475" i="4"/>
  <c r="I475" i="4" s="1"/>
  <c r="G476" i="4"/>
  <c r="I476" i="4" s="1"/>
  <c r="G477" i="4"/>
  <c r="I477" i="4" s="1"/>
  <c r="G478" i="4"/>
  <c r="I478" i="4" s="1"/>
  <c r="G479" i="4"/>
  <c r="I479" i="4" s="1"/>
  <c r="G480" i="4"/>
  <c r="I480" i="4" s="1"/>
  <c r="G481" i="4"/>
  <c r="I481" i="4" s="1"/>
  <c r="G482" i="4"/>
  <c r="I482" i="4" s="1"/>
  <c r="G483" i="4"/>
  <c r="I483" i="4" s="1"/>
  <c r="G484" i="4"/>
  <c r="I484" i="4" s="1"/>
  <c r="G485" i="4"/>
  <c r="I485" i="4" s="1"/>
  <c r="G486" i="4"/>
  <c r="I486" i="4" s="1"/>
  <c r="G487" i="4"/>
  <c r="I487" i="4" s="1"/>
  <c r="G488" i="4"/>
  <c r="I488" i="4" s="1"/>
  <c r="G489" i="4"/>
  <c r="I489" i="4" s="1"/>
  <c r="G490" i="4"/>
  <c r="I490" i="4" s="1"/>
  <c r="G491" i="4"/>
  <c r="I491" i="4" s="1"/>
  <c r="G492" i="4"/>
  <c r="I492" i="4" s="1"/>
  <c r="G493" i="4"/>
  <c r="I493" i="4" s="1"/>
  <c r="G494" i="4"/>
  <c r="I494" i="4" s="1"/>
  <c r="B471" i="4"/>
  <c r="J471" i="4" s="1"/>
  <c r="B472" i="4"/>
  <c r="J472" i="4" s="1"/>
  <c r="B473" i="4"/>
  <c r="J473" i="4" s="1"/>
  <c r="B474" i="4"/>
  <c r="J474" i="4" s="1"/>
  <c r="B475" i="4"/>
  <c r="J475" i="4" s="1"/>
  <c r="B476" i="4"/>
  <c r="J476" i="4" s="1"/>
  <c r="B477" i="4"/>
  <c r="J477" i="4" s="1"/>
  <c r="B478" i="4"/>
  <c r="J478" i="4" s="1"/>
  <c r="K478" i="4" s="1"/>
  <c r="B479" i="4"/>
  <c r="J479" i="4" s="1"/>
  <c r="B480" i="4"/>
  <c r="J480" i="4" s="1"/>
  <c r="B481" i="4"/>
  <c r="J481" i="4" s="1"/>
  <c r="B482" i="4"/>
  <c r="J482" i="4" s="1"/>
  <c r="B483" i="4"/>
  <c r="J483" i="4" s="1"/>
  <c r="B484" i="4"/>
  <c r="J484" i="4" s="1"/>
  <c r="B485" i="4"/>
  <c r="J485" i="4" s="1"/>
  <c r="B486" i="4"/>
  <c r="J486" i="4" s="1"/>
  <c r="B487" i="4"/>
  <c r="J487" i="4" s="1"/>
  <c r="B488" i="4"/>
  <c r="J488" i="4" s="1"/>
  <c r="B489" i="4"/>
  <c r="J489" i="4" s="1"/>
  <c r="B490" i="4"/>
  <c r="J490" i="4" s="1"/>
  <c r="B491" i="4"/>
  <c r="J491" i="4" s="1"/>
  <c r="B492" i="4"/>
  <c r="J492" i="4" s="1"/>
  <c r="B493" i="4"/>
  <c r="J493" i="4" s="1"/>
  <c r="B494" i="4"/>
  <c r="J494" i="4" s="1"/>
  <c r="U468" i="4"/>
  <c r="B470" i="4"/>
  <c r="J470" i="4" s="1"/>
  <c r="B469" i="4"/>
  <c r="J469" i="4" s="1"/>
  <c r="B468" i="4"/>
  <c r="J468" i="4" s="1"/>
  <c r="Q473" i="4" l="1"/>
  <c r="Q494" i="4"/>
  <c r="Q486" i="4"/>
  <c r="Q478" i="4"/>
  <c r="Q8" i="20" s="1"/>
  <c r="Q474" i="4"/>
  <c r="K473" i="4"/>
  <c r="Q15" i="20" s="1"/>
  <c r="K474" i="4"/>
  <c r="Q5" i="20" s="1"/>
  <c r="Q492" i="4"/>
  <c r="Q493" i="4"/>
  <c r="K493" i="4"/>
  <c r="Q33" i="20" s="1"/>
  <c r="K492" i="4"/>
  <c r="Q24" i="20" s="1"/>
  <c r="N474" i="4"/>
  <c r="S474" i="4" s="1"/>
  <c r="M493" i="4"/>
  <c r="Q489" i="4"/>
  <c r="Q485" i="4"/>
  <c r="Q481" i="4"/>
  <c r="Q491" i="4"/>
  <c r="Q490" i="4"/>
  <c r="K491" i="4"/>
  <c r="Q28" i="20" s="1"/>
  <c r="K490" i="4"/>
  <c r="Q488" i="4"/>
  <c r="Q484" i="4"/>
  <c r="Q480" i="4"/>
  <c r="Q476" i="4"/>
  <c r="Q472" i="4"/>
  <c r="Q468" i="4"/>
  <c r="Q487" i="4"/>
  <c r="Q483" i="4"/>
  <c r="Q479" i="4"/>
  <c r="Q475" i="4"/>
  <c r="Q471" i="4"/>
  <c r="N479" i="4"/>
  <c r="K485" i="4"/>
  <c r="M484" i="4"/>
  <c r="Q482" i="4"/>
  <c r="K489" i="4"/>
  <c r="K488" i="4"/>
  <c r="Q23" i="20" s="1"/>
  <c r="K487" i="4"/>
  <c r="K484" i="4"/>
  <c r="Q14" i="20" s="1"/>
  <c r="K483" i="4"/>
  <c r="Q7" i="20" s="1"/>
  <c r="K481" i="4"/>
  <c r="Q13" i="20" s="1"/>
  <c r="Q470" i="4"/>
  <c r="N492" i="4"/>
  <c r="M471" i="4"/>
  <c r="K477" i="4"/>
  <c r="Q469" i="4"/>
  <c r="N485" i="4"/>
  <c r="N481" i="4"/>
  <c r="M475" i="4"/>
  <c r="M473" i="4"/>
  <c r="S473" i="4" s="1"/>
  <c r="N470" i="4"/>
  <c r="M494" i="4"/>
  <c r="M486" i="4"/>
  <c r="M469" i="4"/>
  <c r="K480" i="4"/>
  <c r="Q18" i="20" s="1"/>
  <c r="Q477" i="4"/>
  <c r="K476" i="4"/>
  <c r="Q16" i="20" s="1"/>
  <c r="K472" i="4"/>
  <c r="Q6" i="20" s="1"/>
  <c r="K469" i="4"/>
  <c r="Q3" i="20" s="1"/>
  <c r="K468" i="4"/>
  <c r="Q2" i="20" s="1"/>
  <c r="K470" i="4"/>
  <c r="Q21" i="20" s="1"/>
  <c r="K479" i="4"/>
  <c r="Q12" i="20" s="1"/>
  <c r="K486" i="4"/>
  <c r="Q34" i="20" s="1"/>
  <c r="K482" i="4"/>
  <c r="K475" i="4"/>
  <c r="Q10" i="20" s="1"/>
  <c r="K471" i="4"/>
  <c r="Q4" i="20" s="1"/>
  <c r="K494" i="4"/>
  <c r="Q32" i="20" s="1"/>
  <c r="S493" i="4"/>
  <c r="N489" i="4"/>
  <c r="M488" i="4"/>
  <c r="N482" i="4"/>
  <c r="N478" i="4"/>
  <c r="S478" i="4" s="1"/>
  <c r="M477" i="4"/>
  <c r="M491" i="4"/>
  <c r="N490" i="4"/>
  <c r="N487" i="4"/>
  <c r="N483" i="4"/>
  <c r="N480" i="4"/>
  <c r="N476" i="4"/>
  <c r="N472" i="4"/>
  <c r="N468" i="4"/>
  <c r="P2" i="22"/>
  <c r="T3" i="12"/>
  <c r="W3" i="12"/>
  <c r="O4" i="12"/>
  <c r="T4" i="12"/>
  <c r="W4" i="12"/>
  <c r="K5" i="12"/>
  <c r="L5" i="12"/>
  <c r="T5" i="12"/>
  <c r="W5" i="12"/>
  <c r="J6" i="12"/>
  <c r="M6" i="12"/>
  <c r="T6" i="12"/>
  <c r="W6" i="12"/>
  <c r="C7" i="12"/>
  <c r="E7" i="12"/>
  <c r="T7" i="12"/>
  <c r="W7" i="12"/>
  <c r="I8" i="12"/>
  <c r="P8" i="12"/>
  <c r="T8" i="12"/>
  <c r="W8" i="12"/>
  <c r="F9" i="12"/>
  <c r="G9" i="12"/>
  <c r="I9" i="12"/>
  <c r="J9" i="12"/>
  <c r="K9" i="12"/>
  <c r="L9" i="12"/>
  <c r="M9" i="12"/>
  <c r="N9" i="12"/>
  <c r="O9" i="12"/>
  <c r="P9" i="12"/>
  <c r="Q9" i="12"/>
  <c r="R9" i="12"/>
  <c r="S9" i="12"/>
  <c r="T9" i="12"/>
  <c r="W9" i="12"/>
  <c r="D10" i="12"/>
  <c r="O10" i="12"/>
  <c r="P10" i="12"/>
  <c r="Q10" i="12"/>
  <c r="R10" i="12"/>
  <c r="T10" i="12"/>
  <c r="W10" i="12"/>
  <c r="C11" i="12"/>
  <c r="D11" i="12"/>
  <c r="E11" i="12"/>
  <c r="F11" i="12"/>
  <c r="G11" i="12"/>
  <c r="H11" i="12"/>
  <c r="I11" i="12"/>
  <c r="J11" i="12"/>
  <c r="K11" i="12"/>
  <c r="L11" i="12"/>
  <c r="M11" i="12"/>
  <c r="N11" i="12"/>
  <c r="O11" i="12"/>
  <c r="P11" i="12"/>
  <c r="Q11" i="12"/>
  <c r="S11" i="12"/>
  <c r="T11" i="12"/>
  <c r="W11" i="12"/>
  <c r="B462" i="4"/>
  <c r="J462" i="4" s="1"/>
  <c r="G462" i="4"/>
  <c r="I462" i="4" s="1"/>
  <c r="L462" i="4"/>
  <c r="N462" i="4" s="1"/>
  <c r="O462" i="4"/>
  <c r="P462" i="4"/>
  <c r="R462" i="4"/>
  <c r="U462" i="4"/>
  <c r="V462" i="4"/>
  <c r="L456" i="4"/>
  <c r="Q19" i="20" l="1"/>
  <c r="Q11" i="20"/>
  <c r="Q20" i="20"/>
  <c r="Q9" i="20"/>
  <c r="Q27" i="20"/>
  <c r="Q22" i="20"/>
  <c r="S481" i="4"/>
  <c r="S483" i="4"/>
  <c r="S484" i="4"/>
  <c r="S480" i="4"/>
  <c r="S476" i="4"/>
  <c r="S471" i="4"/>
  <c r="S479" i="4"/>
  <c r="S494" i="4"/>
  <c r="S470" i="4"/>
  <c r="S492" i="4"/>
  <c r="S488" i="4"/>
  <c r="S489" i="4"/>
  <c r="S486" i="4"/>
  <c r="S485" i="4"/>
  <c r="S472" i="4"/>
  <c r="S487" i="4"/>
  <c r="S491" i="4"/>
  <c r="S475" i="4"/>
  <c r="S490" i="4"/>
  <c r="S469" i="4"/>
  <c r="S482" i="4"/>
  <c r="S477" i="4"/>
  <c r="S468" i="4"/>
  <c r="S10" i="12"/>
  <c r="S7" i="12"/>
  <c r="M462" i="4"/>
  <c r="Q462" i="4"/>
  <c r="K462" i="4"/>
  <c r="P22" i="20" s="1"/>
  <c r="U441" i="4"/>
  <c r="V441" i="4"/>
  <c r="U442" i="4"/>
  <c r="V442" i="4"/>
  <c r="U443" i="4"/>
  <c r="V443" i="4"/>
  <c r="U444" i="4"/>
  <c r="V444" i="4"/>
  <c r="U445" i="4"/>
  <c r="V445" i="4"/>
  <c r="U446" i="4"/>
  <c r="V446" i="4"/>
  <c r="U447" i="4"/>
  <c r="V447" i="4"/>
  <c r="U448" i="4"/>
  <c r="V448" i="4"/>
  <c r="U449" i="4"/>
  <c r="V449" i="4"/>
  <c r="U450" i="4"/>
  <c r="V450" i="4"/>
  <c r="U451" i="4"/>
  <c r="V451" i="4"/>
  <c r="U452" i="4"/>
  <c r="V452" i="4"/>
  <c r="U453" i="4"/>
  <c r="V453" i="4"/>
  <c r="U454" i="4"/>
  <c r="V454" i="4"/>
  <c r="U455" i="4"/>
  <c r="V455" i="4"/>
  <c r="U456" i="4"/>
  <c r="V456" i="4"/>
  <c r="U457" i="4"/>
  <c r="V457" i="4"/>
  <c r="U458" i="4"/>
  <c r="V458" i="4"/>
  <c r="U459" i="4"/>
  <c r="V459" i="4"/>
  <c r="U460" i="4"/>
  <c r="V460" i="4"/>
  <c r="U461" i="4"/>
  <c r="V461" i="4"/>
  <c r="U463" i="4"/>
  <c r="V463" i="4"/>
  <c r="U464" i="4"/>
  <c r="V464" i="4"/>
  <c r="U465" i="4"/>
  <c r="V465" i="4"/>
  <c r="U466" i="4"/>
  <c r="V466" i="4"/>
  <c r="U467" i="4"/>
  <c r="V467" i="4"/>
  <c r="U440" i="4"/>
  <c r="V440" i="4"/>
  <c r="L440" i="4"/>
  <c r="M440" i="4" s="1"/>
  <c r="O440" i="4"/>
  <c r="P440" i="4"/>
  <c r="R440" i="4"/>
  <c r="L441" i="4"/>
  <c r="N441" i="4" s="1"/>
  <c r="O441" i="4"/>
  <c r="P441" i="4"/>
  <c r="R441" i="4"/>
  <c r="L442" i="4"/>
  <c r="M442" i="4" s="1"/>
  <c r="O442" i="4"/>
  <c r="P442" i="4"/>
  <c r="R442" i="4"/>
  <c r="L443" i="4"/>
  <c r="N443" i="4" s="1"/>
  <c r="O443" i="4"/>
  <c r="P443" i="4"/>
  <c r="R443" i="4"/>
  <c r="L444" i="4"/>
  <c r="M444" i="4" s="1"/>
  <c r="O444" i="4"/>
  <c r="P444" i="4"/>
  <c r="R444" i="4"/>
  <c r="N445" i="4"/>
  <c r="M445" i="4"/>
  <c r="O445" i="4"/>
  <c r="P445" i="4"/>
  <c r="R445" i="4"/>
  <c r="M446" i="4"/>
  <c r="N446" i="4"/>
  <c r="O446" i="4"/>
  <c r="P446" i="4"/>
  <c r="R446" i="4"/>
  <c r="M447" i="4"/>
  <c r="O447" i="4"/>
  <c r="P447" i="4"/>
  <c r="R447" i="4"/>
  <c r="L448" i="4"/>
  <c r="M448" i="4" s="1"/>
  <c r="O448" i="4"/>
  <c r="P448" i="4"/>
  <c r="R448" i="4"/>
  <c r="N449" i="4"/>
  <c r="O449" i="4"/>
  <c r="P449" i="4"/>
  <c r="R449" i="4"/>
  <c r="M450" i="4"/>
  <c r="O450" i="4"/>
  <c r="P450" i="4"/>
  <c r="R450" i="4"/>
  <c r="L451" i="4"/>
  <c r="N451" i="4" s="1"/>
  <c r="O451" i="4"/>
  <c r="P451" i="4"/>
  <c r="R451" i="4"/>
  <c r="L452" i="4"/>
  <c r="N452" i="4" s="1"/>
  <c r="O452" i="4"/>
  <c r="P452" i="4"/>
  <c r="R452" i="4"/>
  <c r="M453" i="4"/>
  <c r="N453" i="4"/>
  <c r="O453" i="4"/>
  <c r="P453" i="4"/>
  <c r="R453" i="4"/>
  <c r="L454" i="4"/>
  <c r="M454" i="4" s="1"/>
  <c r="O454" i="4"/>
  <c r="P454" i="4"/>
  <c r="R454" i="4"/>
  <c r="M455" i="4"/>
  <c r="O455" i="4"/>
  <c r="P455" i="4"/>
  <c r="R455" i="4"/>
  <c r="N456" i="4"/>
  <c r="O456" i="4"/>
  <c r="P456" i="4"/>
  <c r="R456" i="4"/>
  <c r="L457" i="4"/>
  <c r="M457" i="4" s="1"/>
  <c r="O457" i="4"/>
  <c r="P457" i="4"/>
  <c r="R457" i="4"/>
  <c r="M458" i="4"/>
  <c r="O458" i="4"/>
  <c r="P458" i="4"/>
  <c r="R458" i="4"/>
  <c r="L459" i="4"/>
  <c r="M459" i="4" s="1"/>
  <c r="O459" i="4"/>
  <c r="P459" i="4"/>
  <c r="R459" i="4"/>
  <c r="N460" i="4"/>
  <c r="M460" i="4"/>
  <c r="O460" i="4"/>
  <c r="P460" i="4"/>
  <c r="R460" i="4"/>
  <c r="L461" i="4"/>
  <c r="M461" i="4" s="1"/>
  <c r="O461" i="4"/>
  <c r="P461" i="4"/>
  <c r="R461" i="4"/>
  <c r="L463" i="4"/>
  <c r="M463" i="4" s="1"/>
  <c r="O463" i="4"/>
  <c r="P463" i="4"/>
  <c r="R463" i="4"/>
  <c r="L464" i="4"/>
  <c r="M464" i="4" s="1"/>
  <c r="O464" i="4"/>
  <c r="P464" i="4"/>
  <c r="R464" i="4"/>
  <c r="N465" i="4"/>
  <c r="O465" i="4"/>
  <c r="P465" i="4"/>
  <c r="R465" i="4"/>
  <c r="L466" i="4"/>
  <c r="M466" i="4" s="1"/>
  <c r="O466" i="4"/>
  <c r="P466" i="4"/>
  <c r="R466" i="4"/>
  <c r="L467" i="4"/>
  <c r="N467" i="4" s="1"/>
  <c r="O467" i="4"/>
  <c r="P467" i="4"/>
  <c r="R467" i="4"/>
  <c r="G440" i="4"/>
  <c r="I440" i="4" s="1"/>
  <c r="G441" i="4"/>
  <c r="I441" i="4" s="1"/>
  <c r="G442" i="4"/>
  <c r="I442" i="4" s="1"/>
  <c r="G443" i="4"/>
  <c r="I443" i="4" s="1"/>
  <c r="G444" i="4"/>
  <c r="I444" i="4" s="1"/>
  <c r="G445" i="4"/>
  <c r="I445" i="4" s="1"/>
  <c r="G446" i="4"/>
  <c r="I446" i="4" s="1"/>
  <c r="G447" i="4"/>
  <c r="I447" i="4" s="1"/>
  <c r="G448" i="4"/>
  <c r="I448" i="4" s="1"/>
  <c r="G449" i="4"/>
  <c r="I449" i="4" s="1"/>
  <c r="G450" i="4"/>
  <c r="I450" i="4" s="1"/>
  <c r="G451" i="4"/>
  <c r="I451" i="4" s="1"/>
  <c r="G452" i="4"/>
  <c r="I452" i="4" s="1"/>
  <c r="G453" i="4"/>
  <c r="I453" i="4" s="1"/>
  <c r="G454" i="4"/>
  <c r="I454" i="4" s="1"/>
  <c r="G455" i="4"/>
  <c r="I455" i="4" s="1"/>
  <c r="G456" i="4"/>
  <c r="I456" i="4" s="1"/>
  <c r="G457" i="4"/>
  <c r="I457" i="4" s="1"/>
  <c r="G458" i="4"/>
  <c r="I458" i="4" s="1"/>
  <c r="G459" i="4"/>
  <c r="I459" i="4" s="1"/>
  <c r="G460" i="4"/>
  <c r="I460" i="4" s="1"/>
  <c r="G461" i="4"/>
  <c r="I461" i="4" s="1"/>
  <c r="G463" i="4"/>
  <c r="I463" i="4" s="1"/>
  <c r="G464" i="4"/>
  <c r="I464" i="4" s="1"/>
  <c r="G465" i="4"/>
  <c r="I465" i="4" s="1"/>
  <c r="G466" i="4"/>
  <c r="I466" i="4" s="1"/>
  <c r="G467" i="4"/>
  <c r="I467" i="4" s="1"/>
  <c r="T37" i="20" s="1"/>
  <c r="B467" i="4"/>
  <c r="J467" i="4" s="1"/>
  <c r="B466" i="4"/>
  <c r="J466" i="4" s="1"/>
  <c r="B465" i="4"/>
  <c r="J465" i="4" s="1"/>
  <c r="B464" i="4"/>
  <c r="J464" i="4" s="1"/>
  <c r="B463" i="4"/>
  <c r="J463" i="4" s="1"/>
  <c r="B461" i="4"/>
  <c r="J461" i="4" s="1"/>
  <c r="B460" i="4"/>
  <c r="J460" i="4" s="1"/>
  <c r="B459" i="4"/>
  <c r="J459" i="4" s="1"/>
  <c r="B458" i="4"/>
  <c r="J458" i="4" s="1"/>
  <c r="B457" i="4"/>
  <c r="J457" i="4" s="1"/>
  <c r="B456" i="4"/>
  <c r="J456" i="4" s="1"/>
  <c r="B455" i="4"/>
  <c r="J455" i="4" s="1"/>
  <c r="B454" i="4"/>
  <c r="J454" i="4" s="1"/>
  <c r="B453" i="4"/>
  <c r="J453" i="4" s="1"/>
  <c r="B452" i="4"/>
  <c r="J452" i="4" s="1"/>
  <c r="B451" i="4"/>
  <c r="J451" i="4" s="1"/>
  <c r="B450" i="4"/>
  <c r="J450" i="4" s="1"/>
  <c r="B449" i="4"/>
  <c r="J449" i="4" s="1"/>
  <c r="B448" i="4"/>
  <c r="J448" i="4" s="1"/>
  <c r="B447" i="4"/>
  <c r="J447" i="4" s="1"/>
  <c r="B446" i="4"/>
  <c r="J446" i="4" s="1"/>
  <c r="B445" i="4"/>
  <c r="J445" i="4" s="1"/>
  <c r="B444" i="4"/>
  <c r="J444" i="4" s="1"/>
  <c r="B443" i="4"/>
  <c r="J443" i="4" s="1"/>
  <c r="B442" i="4"/>
  <c r="J442" i="4" s="1"/>
  <c r="B441" i="4"/>
  <c r="J441" i="4" s="1"/>
  <c r="B440" i="4"/>
  <c r="J440" i="4" s="1"/>
  <c r="S5" i="12" l="1"/>
  <c r="S3" i="12"/>
  <c r="S4" i="12"/>
  <c r="S6" i="12"/>
  <c r="S8" i="12"/>
  <c r="K467" i="4"/>
  <c r="P37" i="20" s="1"/>
  <c r="R37" i="20" s="1"/>
  <c r="Q467" i="4"/>
  <c r="Q466" i="4"/>
  <c r="S462" i="4"/>
  <c r="K466" i="4"/>
  <c r="P32" i="20" s="1"/>
  <c r="K465" i="4"/>
  <c r="K464" i="4"/>
  <c r="P24" i="20" s="1"/>
  <c r="Q465" i="4"/>
  <c r="Q463" i="4"/>
  <c r="Q464" i="4"/>
  <c r="K463" i="4"/>
  <c r="P28" i="20" s="1"/>
  <c r="K461" i="4"/>
  <c r="Q452" i="4"/>
  <c r="N458" i="4"/>
  <c r="M443" i="4"/>
  <c r="K452" i="4"/>
  <c r="P18" i="20" s="1"/>
  <c r="K456" i="4"/>
  <c r="K460" i="4"/>
  <c r="Q457" i="4"/>
  <c r="Q453" i="4"/>
  <c r="Q449" i="4"/>
  <c r="Q445" i="4"/>
  <c r="Q441" i="4"/>
  <c r="Q461" i="4"/>
  <c r="K458" i="4"/>
  <c r="P23" i="20" s="1"/>
  <c r="Q459" i="4"/>
  <c r="Q455" i="4"/>
  <c r="Q451" i="4"/>
  <c r="Q447" i="4"/>
  <c r="Q443" i="4"/>
  <c r="M467" i="4"/>
  <c r="Q456" i="4"/>
  <c r="Q460" i="4"/>
  <c r="K453" i="4"/>
  <c r="Q458" i="4"/>
  <c r="Q454" i="4"/>
  <c r="Q450" i="4"/>
  <c r="N463" i="4"/>
  <c r="K459" i="4"/>
  <c r="P19" i="20" s="1"/>
  <c r="K457" i="4"/>
  <c r="P20" i="20" s="1"/>
  <c r="K455" i="4"/>
  <c r="P7" i="20" s="1"/>
  <c r="K454" i="4"/>
  <c r="K450" i="4"/>
  <c r="P8" i="20" s="1"/>
  <c r="K443" i="4"/>
  <c r="P4" i="20" s="1"/>
  <c r="Q446" i="4"/>
  <c r="Q442" i="4"/>
  <c r="N457" i="4"/>
  <c r="K449" i="4"/>
  <c r="P16" i="20" s="1"/>
  <c r="Q448" i="4"/>
  <c r="Q444" i="4"/>
  <c r="Q440" i="4"/>
  <c r="K448" i="4"/>
  <c r="P11" i="20" s="1"/>
  <c r="K447" i="4"/>
  <c r="P10" i="20" s="1"/>
  <c r="K446" i="4"/>
  <c r="K445" i="4"/>
  <c r="P15" i="20" s="1"/>
  <c r="K444" i="4"/>
  <c r="P6" i="20" s="1"/>
  <c r="K442" i="4"/>
  <c r="P21" i="20" s="1"/>
  <c r="K441" i="4"/>
  <c r="P3" i="20" s="1"/>
  <c r="K440" i="4"/>
  <c r="P2" i="20" s="1"/>
  <c r="M456" i="4"/>
  <c r="M452" i="4"/>
  <c r="S452" i="4" s="1"/>
  <c r="M451" i="4"/>
  <c r="N447" i="4"/>
  <c r="K451" i="4"/>
  <c r="P12" i="20" s="1"/>
  <c r="N461" i="4"/>
  <c r="S461" i="4" s="1"/>
  <c r="N454" i="4"/>
  <c r="N450" i="4"/>
  <c r="M449" i="4"/>
  <c r="N442" i="4"/>
  <c r="M441" i="4"/>
  <c r="M465" i="4"/>
  <c r="N466" i="4"/>
  <c r="S466" i="4" s="1"/>
  <c r="N464" i="4"/>
  <c r="N459" i="4"/>
  <c r="N455" i="4"/>
  <c r="N448" i="4"/>
  <c r="N444" i="4"/>
  <c r="N440" i="4"/>
  <c r="O2" i="22"/>
  <c r="P13" i="20" l="1"/>
  <c r="P5" i="20"/>
  <c r="P9" i="20"/>
  <c r="P34" i="20"/>
  <c r="P33" i="20"/>
  <c r="P14" i="20"/>
  <c r="P27" i="20"/>
  <c r="S464" i="4"/>
  <c r="S465" i="4"/>
  <c r="S448" i="4"/>
  <c r="S443" i="4"/>
  <c r="S467" i="4"/>
  <c r="R7" i="12"/>
  <c r="R11" i="12"/>
  <c r="V11" i="12" s="1"/>
  <c r="S446" i="4"/>
  <c r="S463" i="4"/>
  <c r="S453" i="4"/>
  <c r="S445" i="4"/>
  <c r="S460" i="4"/>
  <c r="S440" i="4"/>
  <c r="S456" i="4"/>
  <c r="S449" i="4"/>
  <c r="S458" i="4"/>
  <c r="S454" i="4"/>
  <c r="S457" i="4"/>
  <c r="S455" i="4"/>
  <c r="S450" i="4"/>
  <c r="S447" i="4"/>
  <c r="S444" i="4"/>
  <c r="S459" i="4"/>
  <c r="S442" i="4"/>
  <c r="S441" i="4"/>
  <c r="S451" i="4"/>
  <c r="G426" i="4"/>
  <c r="R6" i="12" l="1"/>
  <c r="R5" i="12"/>
  <c r="R4" i="12"/>
  <c r="R3" i="12"/>
  <c r="R8" i="12"/>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H6" i="26"/>
  <c r="H5" i="26"/>
  <c r="H4" i="26"/>
  <c r="H3" i="26"/>
  <c r="H2" i="26"/>
  <c r="H36" i="23"/>
  <c r="H35" i="23"/>
  <c r="H34" i="23"/>
  <c r="H33" i="23"/>
  <c r="H32" i="23"/>
  <c r="H31" i="23"/>
  <c r="H30" i="23"/>
  <c r="H29" i="23"/>
  <c r="H28" i="23"/>
  <c r="H27" i="23"/>
  <c r="H26" i="23"/>
  <c r="H25" i="23"/>
  <c r="H24" i="23"/>
  <c r="H23" i="23"/>
  <c r="H22" i="23"/>
  <c r="H21" i="23"/>
  <c r="H20" i="23"/>
  <c r="H19" i="23"/>
  <c r="H18" i="23"/>
  <c r="H17" i="23"/>
  <c r="H16" i="23"/>
  <c r="H15" i="23"/>
  <c r="H14" i="23"/>
  <c r="H13" i="23"/>
  <c r="H12" i="23"/>
  <c r="H11" i="23"/>
  <c r="H10" i="23"/>
  <c r="H9" i="23"/>
  <c r="H8" i="23"/>
  <c r="L7" i="23"/>
  <c r="K7" i="23"/>
  <c r="H7" i="23"/>
  <c r="L6" i="23"/>
  <c r="K6" i="23"/>
  <c r="H6" i="23"/>
  <c r="L5" i="23"/>
  <c r="K5" i="23"/>
  <c r="H5" i="23"/>
  <c r="L4" i="23"/>
  <c r="K4" i="23"/>
  <c r="H4" i="23"/>
  <c r="L3" i="23"/>
  <c r="H3" i="23"/>
  <c r="H2" i="23"/>
  <c r="U38" i="17"/>
  <c r="U37" i="17"/>
  <c r="U36" i="17"/>
  <c r="U35" i="17"/>
  <c r="U34" i="17"/>
  <c r="S34" i="17"/>
  <c r="R34" i="17"/>
  <c r="Q34" i="17"/>
  <c r="U33" i="17"/>
  <c r="S33" i="17"/>
  <c r="R33" i="17"/>
  <c r="Q33" i="17"/>
  <c r="U32" i="17"/>
  <c r="S32" i="17"/>
  <c r="R32" i="17"/>
  <c r="Q32" i="17"/>
  <c r="N32" i="17"/>
  <c r="U31" i="17"/>
  <c r="S31" i="17"/>
  <c r="R31" i="17"/>
  <c r="Q31" i="17"/>
  <c r="U30" i="17"/>
  <c r="S30" i="17"/>
  <c r="R30" i="17"/>
  <c r="Q30" i="17"/>
  <c r="O30" i="17"/>
  <c r="N30" i="17"/>
  <c r="C30" i="17"/>
  <c r="U29" i="17"/>
  <c r="S29" i="17"/>
  <c r="R29" i="17"/>
  <c r="Q29" i="17"/>
  <c r="H29" i="17"/>
  <c r="U28" i="17"/>
  <c r="S28" i="17"/>
  <c r="R28" i="17"/>
  <c r="Q28" i="17"/>
  <c r="U27" i="17"/>
  <c r="S27" i="17"/>
  <c r="R27" i="17"/>
  <c r="Q27" i="17"/>
  <c r="U26" i="17"/>
  <c r="S26" i="17"/>
  <c r="R26" i="17"/>
  <c r="Q26" i="17"/>
  <c r="O26" i="17"/>
  <c r="N26" i="17"/>
  <c r="M26" i="17"/>
  <c r="L26" i="17"/>
  <c r="K26" i="17"/>
  <c r="J26" i="17"/>
  <c r="I26" i="17"/>
  <c r="H26" i="17"/>
  <c r="F26" i="17"/>
  <c r="E26" i="17"/>
  <c r="U25" i="17"/>
  <c r="S25" i="17"/>
  <c r="R25" i="17"/>
  <c r="Q25" i="17"/>
  <c r="U24" i="17"/>
  <c r="S24" i="17"/>
  <c r="R24" i="17"/>
  <c r="Q24" i="17"/>
  <c r="O24" i="17"/>
  <c r="N24" i="17"/>
  <c r="K24" i="17"/>
  <c r="J24" i="17"/>
  <c r="I24" i="17"/>
  <c r="H24" i="17"/>
  <c r="U23" i="17"/>
  <c r="S23" i="17"/>
  <c r="R23" i="17"/>
  <c r="Q23" i="17"/>
  <c r="U22" i="17"/>
  <c r="S22" i="17"/>
  <c r="R22" i="17"/>
  <c r="Q22" i="17"/>
  <c r="U19" i="17"/>
  <c r="U18" i="17"/>
  <c r="U17" i="17"/>
  <c r="U16" i="17"/>
  <c r="U15" i="17"/>
  <c r="U14" i="17"/>
  <c r="S14" i="17"/>
  <c r="R14" i="17"/>
  <c r="Q14" i="17"/>
  <c r="P14" i="17"/>
  <c r="U13" i="17"/>
  <c r="S13" i="17"/>
  <c r="R13" i="17"/>
  <c r="Q13" i="17"/>
  <c r="U12" i="17"/>
  <c r="S12" i="17"/>
  <c r="R12" i="17"/>
  <c r="Q12" i="17"/>
  <c r="F12" i="17"/>
  <c r="E12" i="17"/>
  <c r="D12" i="17"/>
  <c r="U11" i="17"/>
  <c r="S11" i="17"/>
  <c r="R11" i="17"/>
  <c r="Q11" i="17"/>
  <c r="L11" i="17"/>
  <c r="U10" i="17"/>
  <c r="S10" i="17"/>
  <c r="R10" i="17"/>
  <c r="Q10" i="17"/>
  <c r="O10" i="17"/>
  <c r="N10" i="17"/>
  <c r="M10" i="17"/>
  <c r="L10" i="17"/>
  <c r="K10" i="17"/>
  <c r="J10" i="17"/>
  <c r="I10" i="17"/>
  <c r="H10" i="17"/>
  <c r="F10" i="17"/>
  <c r="C10" i="17"/>
  <c r="U9" i="17"/>
  <c r="S9" i="17"/>
  <c r="R9" i="17"/>
  <c r="Q9" i="17"/>
  <c r="U8" i="17"/>
  <c r="S8" i="17"/>
  <c r="R8" i="17"/>
  <c r="Q8" i="17"/>
  <c r="L8" i="17"/>
  <c r="I8" i="17"/>
  <c r="U7" i="17"/>
  <c r="S7" i="17"/>
  <c r="R7" i="17"/>
  <c r="Q7" i="17"/>
  <c r="K7" i="17"/>
  <c r="J7" i="17"/>
  <c r="U6" i="17"/>
  <c r="S6" i="17"/>
  <c r="R6" i="17"/>
  <c r="Q6" i="17"/>
  <c r="P6" i="17"/>
  <c r="O6" i="17"/>
  <c r="N6" i="17"/>
  <c r="L6" i="17"/>
  <c r="I6" i="17"/>
  <c r="U5" i="17"/>
  <c r="S5" i="17"/>
  <c r="R5" i="17"/>
  <c r="Q5" i="17"/>
  <c r="I5" i="17"/>
  <c r="U4" i="17"/>
  <c r="S4" i="17"/>
  <c r="R4" i="17"/>
  <c r="Q4" i="17"/>
  <c r="F4" i="17"/>
  <c r="C4" i="17"/>
  <c r="U3" i="17"/>
  <c r="S3" i="17"/>
  <c r="R3" i="17"/>
  <c r="Q3" i="17"/>
  <c r="Q43" i="20"/>
  <c r="P43" i="20"/>
  <c r="O43" i="20"/>
  <c r="N43" i="20"/>
  <c r="M43" i="20"/>
  <c r="L43" i="20"/>
  <c r="K43" i="20"/>
  <c r="J43" i="20"/>
  <c r="I43" i="20"/>
  <c r="H43" i="20"/>
  <c r="G43" i="20"/>
  <c r="F43" i="20"/>
  <c r="Q42" i="20"/>
  <c r="P42" i="20"/>
  <c r="O42" i="20"/>
  <c r="N42" i="20"/>
  <c r="M42" i="20"/>
  <c r="L42" i="20"/>
  <c r="K42" i="20"/>
  <c r="J42" i="20"/>
  <c r="I42" i="20"/>
  <c r="H42" i="20"/>
  <c r="G42" i="20"/>
  <c r="F42" i="20"/>
  <c r="Q41" i="20"/>
  <c r="P41" i="20"/>
  <c r="O41" i="20"/>
  <c r="N41" i="20"/>
  <c r="M41" i="20"/>
  <c r="L41" i="20"/>
  <c r="K41" i="20"/>
  <c r="J41" i="20"/>
  <c r="I41" i="20"/>
  <c r="H41" i="20"/>
  <c r="G41" i="20"/>
  <c r="F41" i="20"/>
  <c r="Q40" i="20"/>
  <c r="P40" i="20"/>
  <c r="O40" i="20"/>
  <c r="N40" i="20"/>
  <c r="M40" i="20"/>
  <c r="L40" i="20"/>
  <c r="K40" i="20"/>
  <c r="J40" i="20"/>
  <c r="I40" i="20"/>
  <c r="H40" i="20"/>
  <c r="G40" i="20"/>
  <c r="F40" i="20"/>
  <c r="S2" i="20"/>
  <c r="P43" i="22"/>
  <c r="O43" i="22"/>
  <c r="N43" i="22"/>
  <c r="M43" i="22"/>
  <c r="L43" i="22"/>
  <c r="K43" i="22"/>
  <c r="J43" i="22"/>
  <c r="I43" i="22"/>
  <c r="H43" i="22"/>
  <c r="P42" i="22"/>
  <c r="O42" i="22"/>
  <c r="N42" i="22"/>
  <c r="M42" i="22"/>
  <c r="L42" i="22"/>
  <c r="K42" i="22"/>
  <c r="J42" i="22"/>
  <c r="I42" i="22"/>
  <c r="H42" i="22"/>
  <c r="P41" i="22"/>
  <c r="O41" i="22"/>
  <c r="N41" i="22"/>
  <c r="M41" i="22"/>
  <c r="L41" i="22"/>
  <c r="K41" i="22"/>
  <c r="J41" i="22"/>
  <c r="I41" i="22"/>
  <c r="H41" i="22"/>
  <c r="P40" i="22"/>
  <c r="O40" i="22"/>
  <c r="N40" i="22"/>
  <c r="M40" i="22"/>
  <c r="L40" i="22"/>
  <c r="K40" i="22"/>
  <c r="J40" i="22"/>
  <c r="I40" i="22"/>
  <c r="H40" i="22"/>
  <c r="T2" i="22"/>
  <c r="S2" i="22"/>
  <c r="N2" i="22"/>
  <c r="M2" i="22"/>
  <c r="L2" i="22"/>
  <c r="K2" i="22"/>
  <c r="J2" i="22"/>
  <c r="I2" i="22"/>
  <c r="H2" i="22"/>
  <c r="G2" i="22"/>
  <c r="F2" i="22"/>
  <c r="E2" i="22"/>
  <c r="D2" i="22"/>
  <c r="C2" i="22"/>
  <c r="T32" i="13"/>
  <c r="S32" i="13"/>
  <c r="R32" i="13"/>
  <c r="Q32" i="13"/>
  <c r="P32" i="13"/>
  <c r="O32" i="13"/>
  <c r="N32" i="13"/>
  <c r="M32" i="13"/>
  <c r="L32" i="13"/>
  <c r="K32" i="13"/>
  <c r="J32" i="13"/>
  <c r="I32" i="13"/>
  <c r="H32" i="13"/>
  <c r="G32" i="13"/>
  <c r="F32" i="13"/>
  <c r="E32" i="13"/>
  <c r="D32" i="13"/>
  <c r="C32" i="13"/>
  <c r="T31" i="13"/>
  <c r="S31" i="13"/>
  <c r="R31" i="13"/>
  <c r="Q31" i="13"/>
  <c r="P31" i="13"/>
  <c r="O31" i="13"/>
  <c r="N31" i="13"/>
  <c r="M31" i="13"/>
  <c r="L31" i="13"/>
  <c r="K31" i="13"/>
  <c r="J31" i="13"/>
  <c r="I31" i="13"/>
  <c r="H31" i="13"/>
  <c r="G31" i="13"/>
  <c r="F31" i="13"/>
  <c r="E31" i="13"/>
  <c r="D31" i="13"/>
  <c r="C31" i="13"/>
  <c r="T30" i="13"/>
  <c r="S30" i="13"/>
  <c r="R30" i="13"/>
  <c r="Q30" i="13"/>
  <c r="P30" i="13"/>
  <c r="O30" i="13"/>
  <c r="N30" i="13"/>
  <c r="M30" i="13"/>
  <c r="L30" i="13"/>
  <c r="K30" i="13"/>
  <c r="J30" i="13"/>
  <c r="I30" i="13"/>
  <c r="H30" i="13"/>
  <c r="G30" i="13"/>
  <c r="F30" i="13"/>
  <c r="E30" i="13"/>
  <c r="D30" i="13"/>
  <c r="C30" i="13"/>
  <c r="W2" i="13"/>
  <c r="U2" i="13"/>
  <c r="T2" i="13"/>
  <c r="S2" i="13"/>
  <c r="R2" i="13"/>
  <c r="W13" i="12"/>
  <c r="U13" i="12"/>
  <c r="T13" i="12"/>
  <c r="S13" i="12"/>
  <c r="R13" i="12"/>
  <c r="Q13" i="12"/>
  <c r="P13" i="12"/>
  <c r="O13" i="12"/>
  <c r="N13" i="12"/>
  <c r="M13" i="12"/>
  <c r="L13" i="12"/>
  <c r="K13" i="12"/>
  <c r="J13" i="12"/>
  <c r="I13" i="12"/>
  <c r="H13" i="12"/>
  <c r="G13" i="12"/>
  <c r="F13" i="12"/>
  <c r="E13" i="12"/>
  <c r="D13" i="12"/>
  <c r="C13" i="12"/>
  <c r="W12" i="12"/>
  <c r="U12" i="12"/>
  <c r="T12" i="12"/>
  <c r="S12" i="12"/>
  <c r="R12" i="12"/>
  <c r="Q12" i="12"/>
  <c r="P12" i="12"/>
  <c r="O12" i="12"/>
  <c r="N12" i="12"/>
  <c r="M12" i="12"/>
  <c r="L12" i="12"/>
  <c r="K12" i="12"/>
  <c r="J12" i="12"/>
  <c r="I12" i="12"/>
  <c r="H12" i="12"/>
  <c r="G12" i="12"/>
  <c r="F12" i="12"/>
  <c r="E12" i="12"/>
  <c r="D12" i="12"/>
  <c r="C12" i="12"/>
  <c r="W2" i="12"/>
  <c r="U2" i="12"/>
  <c r="T2" i="12"/>
  <c r="S2" i="12"/>
  <c r="R2" i="12"/>
  <c r="T43" i="8"/>
  <c r="S43" i="8"/>
  <c r="R43" i="8"/>
  <c r="Q43" i="8"/>
  <c r="P43" i="8"/>
  <c r="O43" i="8"/>
  <c r="N43" i="8"/>
  <c r="M43" i="8"/>
  <c r="L43" i="8"/>
  <c r="K43" i="8"/>
  <c r="J43" i="8"/>
  <c r="I43" i="8"/>
  <c r="H43" i="8"/>
  <c r="G43" i="8"/>
  <c r="F43" i="8"/>
  <c r="E43" i="8"/>
  <c r="D43" i="8"/>
  <c r="C43" i="8"/>
  <c r="T42" i="8"/>
  <c r="S42" i="8"/>
  <c r="R42" i="8"/>
  <c r="Q42" i="8"/>
  <c r="P42" i="8"/>
  <c r="O42" i="8"/>
  <c r="N42" i="8"/>
  <c r="M42" i="8"/>
  <c r="L42" i="8"/>
  <c r="K42" i="8"/>
  <c r="J42" i="8"/>
  <c r="I42" i="8"/>
  <c r="H42" i="8"/>
  <c r="G42" i="8"/>
  <c r="F42" i="8"/>
  <c r="E42" i="8"/>
  <c r="D42" i="8"/>
  <c r="C42" i="8"/>
  <c r="T41" i="8"/>
  <c r="S41" i="8"/>
  <c r="R41" i="8"/>
  <c r="Q41" i="8"/>
  <c r="P41" i="8"/>
  <c r="O41" i="8"/>
  <c r="N41" i="8"/>
  <c r="M41" i="8"/>
  <c r="L41" i="8"/>
  <c r="K41" i="8"/>
  <c r="J41" i="8"/>
  <c r="I41" i="8"/>
  <c r="H41" i="8"/>
  <c r="G41" i="8"/>
  <c r="F41" i="8"/>
  <c r="E41" i="8"/>
  <c r="D41" i="8"/>
  <c r="C41" i="8"/>
  <c r="T40" i="8"/>
  <c r="S40" i="8"/>
  <c r="R40" i="8"/>
  <c r="Q40" i="8"/>
  <c r="P40" i="8"/>
  <c r="O40" i="8"/>
  <c r="N40" i="8"/>
  <c r="M40" i="8"/>
  <c r="L40" i="8"/>
  <c r="K40" i="8"/>
  <c r="J40" i="8"/>
  <c r="I40" i="8"/>
  <c r="H40" i="8"/>
  <c r="G40" i="8"/>
  <c r="F40" i="8"/>
  <c r="E40" i="8"/>
  <c r="D40" i="8"/>
  <c r="C40" i="8"/>
  <c r="X2" i="8"/>
  <c r="W2" i="8"/>
  <c r="T2" i="8"/>
  <c r="S2" i="8"/>
  <c r="R2" i="8"/>
  <c r="V439" i="4"/>
  <c r="U439" i="4"/>
  <c r="R439" i="4"/>
  <c r="P439" i="4"/>
  <c r="O439" i="4"/>
  <c r="L439" i="4"/>
  <c r="N439" i="4" s="1"/>
  <c r="G439" i="4"/>
  <c r="I439" i="4" s="1"/>
  <c r="B439" i="4"/>
  <c r="J439" i="4" s="1"/>
  <c r="V438" i="4"/>
  <c r="U438" i="4"/>
  <c r="R438" i="4"/>
  <c r="P438" i="4"/>
  <c r="O438" i="4"/>
  <c r="L438" i="4"/>
  <c r="N438" i="4" s="1"/>
  <c r="G438" i="4"/>
  <c r="I438" i="4" s="1"/>
  <c r="B438" i="4"/>
  <c r="J438" i="4" s="1"/>
  <c r="V437" i="4"/>
  <c r="U437" i="4"/>
  <c r="R437" i="4"/>
  <c r="P437" i="4"/>
  <c r="O437" i="4"/>
  <c r="L437" i="4"/>
  <c r="M437" i="4" s="1"/>
  <c r="G437" i="4"/>
  <c r="I437" i="4" s="1"/>
  <c r="B437" i="4"/>
  <c r="J437" i="4" s="1"/>
  <c r="V436" i="4"/>
  <c r="U436" i="4"/>
  <c r="R436" i="4"/>
  <c r="P436" i="4"/>
  <c r="O436" i="4"/>
  <c r="L436" i="4"/>
  <c r="N436" i="4" s="1"/>
  <c r="G436" i="4"/>
  <c r="I436" i="4" s="1"/>
  <c r="B436" i="4"/>
  <c r="J436" i="4" s="1"/>
  <c r="V435" i="4"/>
  <c r="U435" i="4"/>
  <c r="R435" i="4"/>
  <c r="P435" i="4"/>
  <c r="O435" i="4"/>
  <c r="L435" i="4"/>
  <c r="M435" i="4" s="1"/>
  <c r="G435" i="4"/>
  <c r="I435" i="4" s="1"/>
  <c r="B435" i="4"/>
  <c r="J435" i="4" s="1"/>
  <c r="V434" i="4"/>
  <c r="U434" i="4"/>
  <c r="R434" i="4"/>
  <c r="P434" i="4"/>
  <c r="O434" i="4"/>
  <c r="M434" i="4"/>
  <c r="N434" i="4"/>
  <c r="G434" i="4"/>
  <c r="I434" i="4" s="1"/>
  <c r="B434" i="4"/>
  <c r="J434" i="4" s="1"/>
  <c r="V433" i="4"/>
  <c r="U433" i="4"/>
  <c r="R433" i="4"/>
  <c r="P433" i="4"/>
  <c r="O433" i="4"/>
  <c r="N433" i="4"/>
  <c r="G433" i="4"/>
  <c r="I433" i="4" s="1"/>
  <c r="B433" i="4"/>
  <c r="J433" i="4" s="1"/>
  <c r="V432" i="4"/>
  <c r="U432" i="4"/>
  <c r="R432" i="4"/>
  <c r="P432" i="4"/>
  <c r="O432" i="4"/>
  <c r="L432" i="4"/>
  <c r="M432" i="4" s="1"/>
  <c r="G432" i="4"/>
  <c r="I432" i="4" s="1"/>
  <c r="B432" i="4"/>
  <c r="J432" i="4" s="1"/>
  <c r="V431" i="4"/>
  <c r="U431" i="4"/>
  <c r="R431" i="4"/>
  <c r="P431" i="4"/>
  <c r="O431" i="4"/>
  <c r="N431" i="4"/>
  <c r="M431" i="4"/>
  <c r="G431" i="4"/>
  <c r="I431" i="4" s="1"/>
  <c r="B431" i="4"/>
  <c r="J431" i="4" s="1"/>
  <c r="V430" i="4"/>
  <c r="U430" i="4"/>
  <c r="R430" i="4"/>
  <c r="P430" i="4"/>
  <c r="O430" i="4"/>
  <c r="L430" i="4"/>
  <c r="N430" i="4" s="1"/>
  <c r="G430" i="4"/>
  <c r="I430" i="4" s="1"/>
  <c r="B430" i="4"/>
  <c r="J430" i="4" s="1"/>
  <c r="V429" i="4"/>
  <c r="U429" i="4"/>
  <c r="R429" i="4"/>
  <c r="P429" i="4"/>
  <c r="O429" i="4"/>
  <c r="L429" i="4"/>
  <c r="N429" i="4" s="1"/>
  <c r="G429" i="4"/>
  <c r="I429" i="4" s="1"/>
  <c r="B429" i="4"/>
  <c r="J429" i="4" s="1"/>
  <c r="V428" i="4"/>
  <c r="U428" i="4"/>
  <c r="R428" i="4"/>
  <c r="P428" i="4"/>
  <c r="O428" i="4"/>
  <c r="N428" i="4"/>
  <c r="M428" i="4"/>
  <c r="G428" i="4"/>
  <c r="I428" i="4" s="1"/>
  <c r="B428" i="4"/>
  <c r="J428" i="4" s="1"/>
  <c r="V427" i="4"/>
  <c r="U427" i="4"/>
  <c r="R427" i="4"/>
  <c r="P427" i="4"/>
  <c r="O427" i="4"/>
  <c r="L427" i="4"/>
  <c r="N427" i="4" s="1"/>
  <c r="G427" i="4"/>
  <c r="I427" i="4" s="1"/>
  <c r="B427" i="4"/>
  <c r="J427" i="4" s="1"/>
  <c r="V426" i="4"/>
  <c r="U426" i="4"/>
  <c r="R426" i="4"/>
  <c r="P426" i="4"/>
  <c r="O426" i="4"/>
  <c r="L426" i="4"/>
  <c r="N426" i="4" s="1"/>
  <c r="I426" i="4"/>
  <c r="B426" i="4"/>
  <c r="J426" i="4" s="1"/>
  <c r="V425" i="4"/>
  <c r="U425" i="4"/>
  <c r="R425" i="4"/>
  <c r="P425" i="4"/>
  <c r="O425" i="4"/>
  <c r="L425" i="4"/>
  <c r="N425" i="4" s="1"/>
  <c r="G425" i="4"/>
  <c r="I425" i="4" s="1"/>
  <c r="B425" i="4"/>
  <c r="J425" i="4" s="1"/>
  <c r="V424" i="4"/>
  <c r="U424" i="4"/>
  <c r="R424" i="4"/>
  <c r="P424" i="4"/>
  <c r="O424" i="4"/>
  <c r="L424" i="4"/>
  <c r="M424" i="4" s="1"/>
  <c r="G424" i="4"/>
  <c r="I424" i="4" s="1"/>
  <c r="B424" i="4"/>
  <c r="J424" i="4" s="1"/>
  <c r="V423" i="4"/>
  <c r="U423" i="4"/>
  <c r="R423" i="4"/>
  <c r="P423" i="4"/>
  <c r="O423" i="4"/>
  <c r="N423" i="4"/>
  <c r="M423" i="4"/>
  <c r="G423" i="4"/>
  <c r="I423" i="4" s="1"/>
  <c r="B423" i="4"/>
  <c r="J423" i="4" s="1"/>
  <c r="V422" i="4"/>
  <c r="U422" i="4"/>
  <c r="R422" i="4"/>
  <c r="P422" i="4"/>
  <c r="O422" i="4"/>
  <c r="L422" i="4"/>
  <c r="M422" i="4" s="1"/>
  <c r="G422" i="4"/>
  <c r="I422" i="4" s="1"/>
  <c r="B422" i="4"/>
  <c r="J422" i="4" s="1"/>
  <c r="V421" i="4"/>
  <c r="U421" i="4"/>
  <c r="R421" i="4"/>
  <c r="P421" i="4"/>
  <c r="O421" i="4"/>
  <c r="L421" i="4"/>
  <c r="M421" i="4" s="1"/>
  <c r="G421" i="4"/>
  <c r="I421" i="4" s="1"/>
  <c r="B421" i="4"/>
  <c r="J421" i="4" s="1"/>
  <c r="V420" i="4"/>
  <c r="U420" i="4"/>
  <c r="R420" i="4"/>
  <c r="P420" i="4"/>
  <c r="O420" i="4"/>
  <c r="L420" i="4"/>
  <c r="N420" i="4" s="1"/>
  <c r="G420" i="4"/>
  <c r="I420" i="4" s="1"/>
  <c r="B420" i="4"/>
  <c r="J420" i="4" s="1"/>
  <c r="V419" i="4"/>
  <c r="U419" i="4"/>
  <c r="R419" i="4"/>
  <c r="P419" i="4"/>
  <c r="O419" i="4"/>
  <c r="N419" i="4"/>
  <c r="M419" i="4"/>
  <c r="G419" i="4"/>
  <c r="I419" i="4" s="1"/>
  <c r="B419" i="4"/>
  <c r="V418" i="4"/>
  <c r="U418" i="4"/>
  <c r="R418" i="4"/>
  <c r="P418" i="4"/>
  <c r="O418" i="4"/>
  <c r="N418" i="4"/>
  <c r="M418" i="4"/>
  <c r="G418" i="4"/>
  <c r="I418" i="4" s="1"/>
  <c r="B418" i="4"/>
  <c r="J418" i="4" s="1"/>
  <c r="V417" i="4"/>
  <c r="U417" i="4"/>
  <c r="R417" i="4"/>
  <c r="P417" i="4"/>
  <c r="O417" i="4"/>
  <c r="L417" i="4"/>
  <c r="N417" i="4" s="1"/>
  <c r="G417" i="4"/>
  <c r="I417" i="4" s="1"/>
  <c r="B417" i="4"/>
  <c r="J417" i="4" s="1"/>
  <c r="V416" i="4"/>
  <c r="U416" i="4"/>
  <c r="R416" i="4"/>
  <c r="P416" i="4"/>
  <c r="O416" i="4"/>
  <c r="N416" i="4"/>
  <c r="M416" i="4"/>
  <c r="G416" i="4"/>
  <c r="I416" i="4" s="1"/>
  <c r="B416" i="4"/>
  <c r="J416" i="4" s="1"/>
  <c r="V415" i="4"/>
  <c r="U415" i="4"/>
  <c r="R415" i="4"/>
  <c r="P415" i="4"/>
  <c r="O415" i="4"/>
  <c r="L415" i="4"/>
  <c r="N415" i="4" s="1"/>
  <c r="G415" i="4"/>
  <c r="I415" i="4" s="1"/>
  <c r="T35" i="20" s="1"/>
  <c r="B415" i="4"/>
  <c r="J415" i="4" s="1"/>
  <c r="V414" i="4"/>
  <c r="U414" i="4"/>
  <c r="R414" i="4"/>
  <c r="P414" i="4"/>
  <c r="O414" i="4"/>
  <c r="N414" i="4"/>
  <c r="M414" i="4"/>
  <c r="G414" i="4"/>
  <c r="I414" i="4" s="1"/>
  <c r="B414" i="4"/>
  <c r="J414" i="4" s="1"/>
  <c r="V413" i="4"/>
  <c r="U413" i="4"/>
  <c r="R413" i="4"/>
  <c r="P413" i="4"/>
  <c r="O413" i="4"/>
  <c r="N413" i="4"/>
  <c r="M413" i="4"/>
  <c r="G413" i="4"/>
  <c r="I413" i="4" s="1"/>
  <c r="B413" i="4"/>
  <c r="J413" i="4" s="1"/>
  <c r="V412" i="4"/>
  <c r="U412" i="4"/>
  <c r="R412" i="4"/>
  <c r="P412" i="4"/>
  <c r="O412" i="4"/>
  <c r="L412" i="4"/>
  <c r="N412" i="4" s="1"/>
  <c r="G412" i="4"/>
  <c r="I412" i="4" s="1"/>
  <c r="B412" i="4"/>
  <c r="J412" i="4" s="1"/>
  <c r="V411" i="4"/>
  <c r="U411" i="4"/>
  <c r="R411" i="4"/>
  <c r="P411" i="4"/>
  <c r="O411" i="4"/>
  <c r="L411" i="4"/>
  <c r="N411" i="4" s="1"/>
  <c r="G411" i="4"/>
  <c r="I411" i="4" s="1"/>
  <c r="B411" i="4"/>
  <c r="J411" i="4" s="1"/>
  <c r="V410" i="4"/>
  <c r="U410" i="4"/>
  <c r="R410" i="4"/>
  <c r="P410" i="4"/>
  <c r="O410" i="4"/>
  <c r="L410" i="4"/>
  <c r="M410" i="4" s="1"/>
  <c r="G410" i="4"/>
  <c r="I410" i="4" s="1"/>
  <c r="B410" i="4"/>
  <c r="J410" i="4" s="1"/>
  <c r="V409" i="4"/>
  <c r="U409" i="4"/>
  <c r="R409" i="4"/>
  <c r="P409" i="4"/>
  <c r="O409" i="4"/>
  <c r="N409" i="4"/>
  <c r="M409" i="4"/>
  <c r="G409" i="4"/>
  <c r="I409" i="4" s="1"/>
  <c r="B409" i="4"/>
  <c r="J409" i="4" s="1"/>
  <c r="V408" i="4"/>
  <c r="U408" i="4"/>
  <c r="R408" i="4"/>
  <c r="P408" i="4"/>
  <c r="O408" i="4"/>
  <c r="L408" i="4"/>
  <c r="M408" i="4" s="1"/>
  <c r="G408" i="4"/>
  <c r="I408" i="4" s="1"/>
  <c r="B408" i="4"/>
  <c r="V407" i="4"/>
  <c r="U407" i="4"/>
  <c r="R407" i="4"/>
  <c r="P407" i="4"/>
  <c r="O407" i="4"/>
  <c r="N407" i="4"/>
  <c r="M407" i="4"/>
  <c r="G407" i="4"/>
  <c r="I407" i="4" s="1"/>
  <c r="B407" i="4"/>
  <c r="J407" i="4" s="1"/>
  <c r="V406" i="4"/>
  <c r="U406" i="4"/>
  <c r="R406" i="4"/>
  <c r="P406" i="4"/>
  <c r="O406" i="4"/>
  <c r="L406" i="4"/>
  <c r="N406" i="4" s="1"/>
  <c r="G406" i="4"/>
  <c r="I406" i="4" s="1"/>
  <c r="B406" i="4"/>
  <c r="J406" i="4" s="1"/>
  <c r="V405" i="4"/>
  <c r="U405" i="4"/>
  <c r="R405" i="4"/>
  <c r="P405" i="4"/>
  <c r="O405" i="4"/>
  <c r="L405" i="4"/>
  <c r="N405" i="4" s="1"/>
  <c r="G405" i="4"/>
  <c r="I405" i="4" s="1"/>
  <c r="B405" i="4"/>
  <c r="J405" i="4" s="1"/>
  <c r="V404" i="4"/>
  <c r="U404" i="4"/>
  <c r="R404" i="4"/>
  <c r="P404" i="4"/>
  <c r="O404" i="4"/>
  <c r="N404" i="4"/>
  <c r="M404" i="4"/>
  <c r="G404" i="4"/>
  <c r="I404" i="4" s="1"/>
  <c r="B404" i="4"/>
  <c r="V403" i="4"/>
  <c r="U403" i="4"/>
  <c r="R403" i="4"/>
  <c r="P403" i="4"/>
  <c r="O403" i="4"/>
  <c r="L403" i="4"/>
  <c r="N403" i="4" s="1"/>
  <c r="G403" i="4"/>
  <c r="I403" i="4" s="1"/>
  <c r="B403" i="4"/>
  <c r="J403" i="4" s="1"/>
  <c r="V402" i="4"/>
  <c r="U402" i="4"/>
  <c r="R402" i="4"/>
  <c r="P402" i="4"/>
  <c r="O402" i="4"/>
  <c r="L402" i="4"/>
  <c r="N402" i="4" s="1"/>
  <c r="G402" i="4"/>
  <c r="I402" i="4" s="1"/>
  <c r="B402" i="4"/>
  <c r="J402" i="4" s="1"/>
  <c r="V401" i="4"/>
  <c r="U401" i="4"/>
  <c r="R401" i="4"/>
  <c r="P401" i="4"/>
  <c r="O401" i="4"/>
  <c r="L401" i="4"/>
  <c r="M401" i="4" s="1"/>
  <c r="G401" i="4"/>
  <c r="I401" i="4" s="1"/>
  <c r="B401" i="4"/>
  <c r="V400" i="4"/>
  <c r="U400" i="4"/>
  <c r="R400" i="4"/>
  <c r="P400" i="4"/>
  <c r="O400" i="4"/>
  <c r="M400" i="4"/>
  <c r="L400" i="4"/>
  <c r="N400" i="4" s="1"/>
  <c r="G400" i="4"/>
  <c r="I400" i="4" s="1"/>
  <c r="B400" i="4"/>
  <c r="J400" i="4" s="1"/>
  <c r="V399" i="4"/>
  <c r="U399" i="4"/>
  <c r="R399" i="4"/>
  <c r="P399" i="4"/>
  <c r="O399" i="4"/>
  <c r="N399" i="4"/>
  <c r="M399" i="4"/>
  <c r="G399" i="4"/>
  <c r="I399" i="4" s="1"/>
  <c r="B399" i="4"/>
  <c r="J399" i="4" s="1"/>
  <c r="V398" i="4"/>
  <c r="U398" i="4"/>
  <c r="R398" i="4"/>
  <c r="P398" i="4"/>
  <c r="O398" i="4"/>
  <c r="L398" i="4"/>
  <c r="M398" i="4" s="1"/>
  <c r="G398" i="4"/>
  <c r="I398" i="4" s="1"/>
  <c r="B398" i="4"/>
  <c r="J398" i="4" s="1"/>
  <c r="V397" i="4"/>
  <c r="U397" i="4"/>
  <c r="R397" i="4"/>
  <c r="P397" i="4"/>
  <c r="O397" i="4"/>
  <c r="L397" i="4"/>
  <c r="N397" i="4" s="1"/>
  <c r="G397" i="4"/>
  <c r="I397" i="4" s="1"/>
  <c r="B397" i="4"/>
  <c r="J397" i="4" s="1"/>
  <c r="V396" i="4"/>
  <c r="U396" i="4"/>
  <c r="R396" i="4"/>
  <c r="P396" i="4"/>
  <c r="O396" i="4"/>
  <c r="N396" i="4"/>
  <c r="M396" i="4"/>
  <c r="G396" i="4"/>
  <c r="I396" i="4" s="1"/>
  <c r="B396" i="4"/>
  <c r="V395" i="4"/>
  <c r="U395" i="4"/>
  <c r="R395" i="4"/>
  <c r="P395" i="4"/>
  <c r="O395" i="4"/>
  <c r="L395" i="4"/>
  <c r="M395" i="4" s="1"/>
  <c r="G395" i="4"/>
  <c r="I395" i="4" s="1"/>
  <c r="B395" i="4"/>
  <c r="J395" i="4" s="1"/>
  <c r="V394" i="4"/>
  <c r="U394" i="4"/>
  <c r="R394" i="4"/>
  <c r="P394" i="4"/>
  <c r="O394" i="4"/>
  <c r="L394" i="4"/>
  <c r="N394" i="4" s="1"/>
  <c r="G394" i="4"/>
  <c r="I394" i="4" s="1"/>
  <c r="B394" i="4"/>
  <c r="J394" i="4" s="1"/>
  <c r="V393" i="4"/>
  <c r="U393" i="4"/>
  <c r="R393" i="4"/>
  <c r="P393" i="4"/>
  <c r="O393" i="4"/>
  <c r="L393" i="4"/>
  <c r="G393" i="4"/>
  <c r="I393" i="4" s="1"/>
  <c r="B393" i="4"/>
  <c r="J393" i="4" s="1"/>
  <c r="V392" i="4"/>
  <c r="U392" i="4"/>
  <c r="R392" i="4"/>
  <c r="P392" i="4"/>
  <c r="O392" i="4"/>
  <c r="N392" i="4"/>
  <c r="M392" i="4"/>
  <c r="G392" i="4"/>
  <c r="I392" i="4" s="1"/>
  <c r="B392" i="4"/>
  <c r="J392" i="4" s="1"/>
  <c r="V391" i="4"/>
  <c r="U391" i="4"/>
  <c r="R391" i="4"/>
  <c r="P391" i="4"/>
  <c r="O391" i="4"/>
  <c r="N391" i="4"/>
  <c r="M391" i="4"/>
  <c r="G391" i="4"/>
  <c r="I391" i="4" s="1"/>
  <c r="B391" i="4"/>
  <c r="J391" i="4" s="1"/>
  <c r="V390" i="4"/>
  <c r="U390" i="4"/>
  <c r="R390" i="4"/>
  <c r="P390" i="4"/>
  <c r="O390" i="4"/>
  <c r="N390" i="4"/>
  <c r="M390" i="4"/>
  <c r="G390" i="4"/>
  <c r="I390" i="4" s="1"/>
  <c r="B390" i="4"/>
  <c r="J390" i="4" s="1"/>
  <c r="V389" i="4"/>
  <c r="U389" i="4"/>
  <c r="R389" i="4"/>
  <c r="P389" i="4"/>
  <c r="O389" i="4"/>
  <c r="L389" i="4"/>
  <c r="N389" i="4" s="1"/>
  <c r="G389" i="4"/>
  <c r="I389" i="4" s="1"/>
  <c r="B389" i="4"/>
  <c r="J389" i="4" s="1"/>
  <c r="V388" i="4"/>
  <c r="U388" i="4"/>
  <c r="R388" i="4"/>
  <c r="P388" i="4"/>
  <c r="O388" i="4"/>
  <c r="N388" i="4"/>
  <c r="M388" i="4"/>
  <c r="G388" i="4"/>
  <c r="I388" i="4" s="1"/>
  <c r="B388" i="4"/>
  <c r="J388" i="4" s="1"/>
  <c r="V387" i="4"/>
  <c r="U387" i="4"/>
  <c r="R387" i="4"/>
  <c r="O387" i="4"/>
  <c r="L387" i="4"/>
  <c r="N387" i="4" s="1"/>
  <c r="G387" i="4"/>
  <c r="D387" i="4"/>
  <c r="B387" i="4"/>
  <c r="V386" i="4"/>
  <c r="U386" i="4"/>
  <c r="R386" i="4"/>
  <c r="P386" i="4"/>
  <c r="O386" i="4"/>
  <c r="N386" i="4"/>
  <c r="M386" i="4"/>
  <c r="G386" i="4"/>
  <c r="I386" i="4" s="1"/>
  <c r="B386" i="4"/>
  <c r="J386" i="4" s="1"/>
  <c r="V385" i="4"/>
  <c r="U385" i="4"/>
  <c r="R385" i="4"/>
  <c r="P385" i="4"/>
  <c r="O385" i="4"/>
  <c r="L385" i="4"/>
  <c r="M385" i="4" s="1"/>
  <c r="G385" i="4"/>
  <c r="I385" i="4" s="1"/>
  <c r="B385" i="4"/>
  <c r="V384" i="4"/>
  <c r="U384" i="4"/>
  <c r="R384" i="4"/>
  <c r="P384" i="4"/>
  <c r="O384" i="4"/>
  <c r="L384" i="4"/>
  <c r="N384" i="4" s="1"/>
  <c r="G384" i="4"/>
  <c r="I384" i="4" s="1"/>
  <c r="B384" i="4"/>
  <c r="J384" i="4" s="1"/>
  <c r="V383" i="4"/>
  <c r="U383" i="4"/>
  <c r="R383" i="4"/>
  <c r="P383" i="4"/>
  <c r="O383" i="4"/>
  <c r="N383" i="4"/>
  <c r="M383" i="4"/>
  <c r="G383" i="4"/>
  <c r="I383" i="4" s="1"/>
  <c r="B383" i="4"/>
  <c r="J383" i="4" s="1"/>
  <c r="V382" i="4"/>
  <c r="U382" i="4"/>
  <c r="R382" i="4"/>
  <c r="P382" i="4"/>
  <c r="O382" i="4"/>
  <c r="L382" i="4"/>
  <c r="N382" i="4" s="1"/>
  <c r="G382" i="4"/>
  <c r="I382" i="4" s="1"/>
  <c r="B382" i="4"/>
  <c r="J382" i="4" s="1"/>
  <c r="V381" i="4"/>
  <c r="U381" i="4"/>
  <c r="R381" i="4"/>
  <c r="P381" i="4"/>
  <c r="O381" i="4"/>
  <c r="L381" i="4"/>
  <c r="N381" i="4" s="1"/>
  <c r="G381" i="4"/>
  <c r="I381" i="4" s="1"/>
  <c r="B381" i="4"/>
  <c r="J381" i="4" s="1"/>
  <c r="K381" i="4" s="1"/>
  <c r="V380" i="4"/>
  <c r="U380" i="4"/>
  <c r="R380" i="4"/>
  <c r="P380" i="4"/>
  <c r="O380" i="4"/>
  <c r="L380" i="4"/>
  <c r="N380" i="4" s="1"/>
  <c r="G380" i="4"/>
  <c r="I380" i="4" s="1"/>
  <c r="B380" i="4"/>
  <c r="J380" i="4" s="1"/>
  <c r="V379" i="4"/>
  <c r="U379" i="4"/>
  <c r="R379" i="4"/>
  <c r="P379" i="4"/>
  <c r="O379" i="4"/>
  <c r="L379" i="4"/>
  <c r="N379" i="4" s="1"/>
  <c r="G379" i="4"/>
  <c r="I379" i="4" s="1"/>
  <c r="B379" i="4"/>
  <c r="J379" i="4" s="1"/>
  <c r="V378" i="4"/>
  <c r="U378" i="4"/>
  <c r="R378" i="4"/>
  <c r="P378" i="4"/>
  <c r="O378" i="4"/>
  <c r="L378" i="4"/>
  <c r="M378" i="4" s="1"/>
  <c r="G378" i="4"/>
  <c r="I378" i="4" s="1"/>
  <c r="B378" i="4"/>
  <c r="J378" i="4" s="1"/>
  <c r="V377" i="4"/>
  <c r="U377" i="4"/>
  <c r="R377" i="4"/>
  <c r="P377" i="4"/>
  <c r="O377" i="4"/>
  <c r="L377" i="4"/>
  <c r="M377" i="4" s="1"/>
  <c r="G377" i="4"/>
  <c r="I377" i="4" s="1"/>
  <c r="B377" i="4"/>
  <c r="J377" i="4" s="1"/>
  <c r="V376" i="4"/>
  <c r="U376" i="4"/>
  <c r="R376" i="4"/>
  <c r="P376" i="4"/>
  <c r="O376" i="4"/>
  <c r="N376" i="4"/>
  <c r="M376" i="4"/>
  <c r="G376" i="4"/>
  <c r="I376" i="4" s="1"/>
  <c r="B376" i="4"/>
  <c r="V375" i="4"/>
  <c r="U375" i="4"/>
  <c r="R375" i="4"/>
  <c r="P375" i="4"/>
  <c r="O375" i="4"/>
  <c r="L375" i="4"/>
  <c r="N375" i="4" s="1"/>
  <c r="G375" i="4"/>
  <c r="I375" i="4" s="1"/>
  <c r="B375" i="4"/>
  <c r="J375" i="4" s="1"/>
  <c r="V374" i="4"/>
  <c r="U374" i="4"/>
  <c r="R374" i="4"/>
  <c r="P374" i="4"/>
  <c r="O374" i="4"/>
  <c r="N374" i="4"/>
  <c r="M374" i="4"/>
  <c r="G374" i="4"/>
  <c r="I374" i="4" s="1"/>
  <c r="B374" i="4"/>
  <c r="J374" i="4" s="1"/>
  <c r="V373" i="4"/>
  <c r="U373" i="4"/>
  <c r="R373" i="4"/>
  <c r="P373" i="4"/>
  <c r="O373" i="4"/>
  <c r="N373" i="4"/>
  <c r="M373" i="4"/>
  <c r="G373" i="4"/>
  <c r="I373" i="4" s="1"/>
  <c r="B373" i="4"/>
  <c r="J373" i="4" s="1"/>
  <c r="V372" i="4"/>
  <c r="U372" i="4"/>
  <c r="R372" i="4"/>
  <c r="P372" i="4"/>
  <c r="O372" i="4"/>
  <c r="N372" i="4"/>
  <c r="M372" i="4"/>
  <c r="G372" i="4"/>
  <c r="I372" i="4" s="1"/>
  <c r="B372" i="4"/>
  <c r="V371" i="4"/>
  <c r="U371" i="4"/>
  <c r="R371" i="4"/>
  <c r="P371" i="4"/>
  <c r="O371" i="4"/>
  <c r="N371" i="4"/>
  <c r="M371" i="4"/>
  <c r="G371" i="4"/>
  <c r="I371" i="4" s="1"/>
  <c r="B371" i="4"/>
  <c r="J371" i="4" s="1"/>
  <c r="V370" i="4"/>
  <c r="U370" i="4"/>
  <c r="R370" i="4"/>
  <c r="P370" i="4"/>
  <c r="O370" i="4"/>
  <c r="L370" i="4"/>
  <c r="M370" i="4" s="1"/>
  <c r="G370" i="4"/>
  <c r="I370" i="4" s="1"/>
  <c r="B370" i="4"/>
  <c r="J370" i="4" s="1"/>
  <c r="V369" i="4"/>
  <c r="U369" i="4"/>
  <c r="R369" i="4"/>
  <c r="P369" i="4"/>
  <c r="O369" i="4"/>
  <c r="L369" i="4"/>
  <c r="N369" i="4" s="1"/>
  <c r="G369" i="4"/>
  <c r="I369" i="4" s="1"/>
  <c r="B369" i="4"/>
  <c r="J369" i="4" s="1"/>
  <c r="V368" i="4"/>
  <c r="U368" i="4"/>
  <c r="R368" i="4"/>
  <c r="P368" i="4"/>
  <c r="O368" i="4"/>
  <c r="L368" i="4"/>
  <c r="N368" i="4" s="1"/>
  <c r="G368" i="4"/>
  <c r="I368" i="4" s="1"/>
  <c r="B368" i="4"/>
  <c r="J368" i="4" s="1"/>
  <c r="V367" i="4"/>
  <c r="U367" i="4"/>
  <c r="R367" i="4"/>
  <c r="P367" i="4"/>
  <c r="O367" i="4"/>
  <c r="N367" i="4"/>
  <c r="M367" i="4"/>
  <c r="G367" i="4"/>
  <c r="I367" i="4" s="1"/>
  <c r="B367" i="4"/>
  <c r="J367" i="4" s="1"/>
  <c r="V366" i="4"/>
  <c r="U366" i="4"/>
  <c r="R366" i="4"/>
  <c r="P366" i="4"/>
  <c r="O366" i="4"/>
  <c r="N366" i="4"/>
  <c r="M366" i="4"/>
  <c r="G366" i="4"/>
  <c r="I366" i="4" s="1"/>
  <c r="B366" i="4"/>
  <c r="J366" i="4" s="1"/>
  <c r="V365" i="4"/>
  <c r="U365" i="4"/>
  <c r="R365" i="4"/>
  <c r="P365" i="4"/>
  <c r="O365" i="4"/>
  <c r="L365" i="4"/>
  <c r="N365" i="4" s="1"/>
  <c r="G365" i="4"/>
  <c r="I365" i="4" s="1"/>
  <c r="B365" i="4"/>
  <c r="J365" i="4" s="1"/>
  <c r="V364" i="4"/>
  <c r="U364" i="4"/>
  <c r="S364" i="4"/>
  <c r="B364" i="4"/>
  <c r="V363" i="4"/>
  <c r="U363" i="4"/>
  <c r="S363" i="4"/>
  <c r="B363" i="4"/>
  <c r="V362" i="4"/>
  <c r="U362" i="4"/>
  <c r="S362" i="4"/>
  <c r="B362" i="4"/>
  <c r="V361" i="4"/>
  <c r="U361" i="4"/>
  <c r="S361" i="4"/>
  <c r="B361" i="4"/>
  <c r="V360" i="4"/>
  <c r="U360" i="4"/>
  <c r="S360" i="4"/>
  <c r="B360" i="4"/>
  <c r="V359" i="4"/>
  <c r="U359" i="4"/>
  <c r="S359" i="4"/>
  <c r="B359" i="4"/>
  <c r="V358" i="4"/>
  <c r="U358" i="4"/>
  <c r="S358" i="4"/>
  <c r="B358" i="4"/>
  <c r="V357" i="4"/>
  <c r="U357" i="4"/>
  <c r="S357" i="4"/>
  <c r="B357" i="4"/>
  <c r="V356" i="4"/>
  <c r="U356" i="4"/>
  <c r="S356" i="4"/>
  <c r="B356" i="4"/>
  <c r="V355" i="4"/>
  <c r="U355" i="4"/>
  <c r="S355" i="4"/>
  <c r="B355" i="4"/>
  <c r="V354" i="4"/>
  <c r="U354" i="4"/>
  <c r="S354" i="4"/>
  <c r="B354" i="4"/>
  <c r="V353" i="4"/>
  <c r="U353" i="4"/>
  <c r="S353" i="4"/>
  <c r="B353" i="4"/>
  <c r="V352" i="4"/>
  <c r="U352" i="4"/>
  <c r="S352" i="4"/>
  <c r="B352" i="4"/>
  <c r="V351" i="4"/>
  <c r="U351" i="4"/>
  <c r="S351" i="4"/>
  <c r="B351" i="4"/>
  <c r="V350" i="4"/>
  <c r="U350" i="4"/>
  <c r="S350" i="4"/>
  <c r="B350" i="4"/>
  <c r="V349" i="4"/>
  <c r="U349" i="4"/>
  <c r="S349" i="4"/>
  <c r="B349" i="4"/>
  <c r="V348" i="4"/>
  <c r="U348" i="4"/>
  <c r="S348" i="4"/>
  <c r="B348" i="4"/>
  <c r="V347" i="4"/>
  <c r="U347" i="4"/>
  <c r="S347" i="4"/>
  <c r="B347" i="4"/>
  <c r="V346" i="4"/>
  <c r="U346" i="4"/>
  <c r="S346" i="4"/>
  <c r="B346" i="4"/>
  <c r="V345" i="4"/>
  <c r="U345" i="4"/>
  <c r="S345" i="4"/>
  <c r="B345" i="4"/>
  <c r="V344" i="4"/>
  <c r="U344" i="4"/>
  <c r="S344" i="4"/>
  <c r="B344" i="4"/>
  <c r="V343" i="4"/>
  <c r="U343" i="4"/>
  <c r="S343" i="4"/>
  <c r="B343" i="4"/>
  <c r="V342" i="4"/>
  <c r="U342" i="4"/>
  <c r="S342" i="4"/>
  <c r="B342" i="4"/>
  <c r="V341" i="4"/>
  <c r="U341" i="4"/>
  <c r="S341" i="4"/>
  <c r="B341" i="4"/>
  <c r="V340" i="4"/>
  <c r="U340" i="4"/>
  <c r="S340" i="4"/>
  <c r="B340" i="4"/>
  <c r="V339" i="4"/>
  <c r="U339" i="4"/>
  <c r="S339" i="4"/>
  <c r="B339" i="4"/>
  <c r="V338" i="4"/>
  <c r="U338" i="4"/>
  <c r="S338" i="4"/>
  <c r="B338" i="4"/>
  <c r="V337" i="4"/>
  <c r="U337" i="4"/>
  <c r="S337" i="4"/>
  <c r="B337" i="4"/>
  <c r="V336" i="4"/>
  <c r="U336" i="4"/>
  <c r="S336" i="4"/>
  <c r="B336" i="4"/>
  <c r="V335" i="4"/>
  <c r="U335" i="4"/>
  <c r="S335" i="4"/>
  <c r="B335" i="4"/>
  <c r="V334" i="4"/>
  <c r="U334" i="4"/>
  <c r="S334" i="4"/>
  <c r="B334" i="4"/>
  <c r="V333" i="4"/>
  <c r="U333" i="4"/>
  <c r="S333" i="4"/>
  <c r="B333" i="4"/>
  <c r="V332" i="4"/>
  <c r="U332" i="4"/>
  <c r="R332" i="4"/>
  <c r="P332" i="4"/>
  <c r="O332" i="4"/>
  <c r="N332" i="4"/>
  <c r="M332" i="4"/>
  <c r="G332" i="4"/>
  <c r="I332" i="4" s="1"/>
  <c r="B332" i="4"/>
  <c r="J332" i="4" s="1"/>
  <c r="V331" i="4"/>
  <c r="U331" i="4"/>
  <c r="R331" i="4"/>
  <c r="P331" i="4"/>
  <c r="O331" i="4"/>
  <c r="L331" i="4"/>
  <c r="G331" i="4"/>
  <c r="I331" i="4" s="1"/>
  <c r="B331" i="4"/>
  <c r="J331" i="4" s="1"/>
  <c r="V330" i="4"/>
  <c r="U330" i="4"/>
  <c r="R330" i="4"/>
  <c r="P330" i="4"/>
  <c r="O330" i="4"/>
  <c r="L330" i="4"/>
  <c r="G330" i="4"/>
  <c r="I330" i="4" s="1"/>
  <c r="B330" i="4"/>
  <c r="J330" i="4" s="1"/>
  <c r="V329" i="4"/>
  <c r="U329" i="4"/>
  <c r="R329" i="4"/>
  <c r="P329" i="4"/>
  <c r="O329" i="4"/>
  <c r="L329" i="4"/>
  <c r="M329" i="4" s="1"/>
  <c r="G329" i="4"/>
  <c r="I329" i="4" s="1"/>
  <c r="B329" i="4"/>
  <c r="J329" i="4" s="1"/>
  <c r="V328" i="4"/>
  <c r="U328" i="4"/>
  <c r="R328" i="4"/>
  <c r="P328" i="4"/>
  <c r="O328" i="4"/>
  <c r="L328" i="4"/>
  <c r="N328" i="4" s="1"/>
  <c r="G328" i="4"/>
  <c r="I328" i="4" s="1"/>
  <c r="B328" i="4"/>
  <c r="J328" i="4" s="1"/>
  <c r="V327" i="4"/>
  <c r="U327" i="4"/>
  <c r="R327" i="4"/>
  <c r="P327" i="4"/>
  <c r="O327" i="4"/>
  <c r="L327" i="4"/>
  <c r="N327" i="4" s="1"/>
  <c r="G327" i="4"/>
  <c r="I327" i="4" s="1"/>
  <c r="B327" i="4"/>
  <c r="J327" i="4" s="1"/>
  <c r="V326" i="4"/>
  <c r="U326" i="4"/>
  <c r="R326" i="4"/>
  <c r="P326" i="4"/>
  <c r="O326" i="4"/>
  <c r="N326" i="4"/>
  <c r="M326" i="4"/>
  <c r="G326" i="4"/>
  <c r="I326" i="4" s="1"/>
  <c r="B326" i="4"/>
  <c r="V325" i="4"/>
  <c r="U325" i="4"/>
  <c r="R325" i="4"/>
  <c r="P325" i="4"/>
  <c r="O325" i="4"/>
  <c r="L325" i="4"/>
  <c r="N325" i="4" s="1"/>
  <c r="G325" i="4"/>
  <c r="I325" i="4" s="1"/>
  <c r="B325" i="4"/>
  <c r="V324" i="4"/>
  <c r="U324" i="4"/>
  <c r="R324" i="4"/>
  <c r="P324" i="4"/>
  <c r="O324" i="4"/>
  <c r="L324" i="4"/>
  <c r="N324" i="4" s="1"/>
  <c r="G324" i="4"/>
  <c r="I324" i="4" s="1"/>
  <c r="B324" i="4"/>
  <c r="J324" i="4" s="1"/>
  <c r="V323" i="4"/>
  <c r="U323" i="4"/>
  <c r="R323" i="4"/>
  <c r="P323" i="4"/>
  <c r="O323" i="4"/>
  <c r="N323" i="4"/>
  <c r="M323" i="4"/>
  <c r="G323" i="4"/>
  <c r="I323" i="4" s="1"/>
  <c r="B323" i="4"/>
  <c r="J323" i="4" s="1"/>
  <c r="V322" i="4"/>
  <c r="U322" i="4"/>
  <c r="R322" i="4"/>
  <c r="P322" i="4"/>
  <c r="O322" i="4"/>
  <c r="L322" i="4"/>
  <c r="G322" i="4"/>
  <c r="I322" i="4" s="1"/>
  <c r="B322" i="4"/>
  <c r="V321" i="4"/>
  <c r="U321" i="4"/>
  <c r="R321" i="4"/>
  <c r="P321" i="4"/>
  <c r="O321" i="4"/>
  <c r="L321" i="4"/>
  <c r="M321" i="4" s="1"/>
  <c r="G321" i="4"/>
  <c r="I321" i="4" s="1"/>
  <c r="B321" i="4"/>
  <c r="J321" i="4" s="1"/>
  <c r="V320" i="4"/>
  <c r="U320" i="4"/>
  <c r="R320" i="4"/>
  <c r="P320" i="4"/>
  <c r="O320" i="4"/>
  <c r="L320" i="4"/>
  <c r="M320" i="4" s="1"/>
  <c r="G320" i="4"/>
  <c r="I320" i="4" s="1"/>
  <c r="B320" i="4"/>
  <c r="J320" i="4" s="1"/>
  <c r="V319" i="4"/>
  <c r="U319" i="4"/>
  <c r="R319" i="4"/>
  <c r="P319" i="4"/>
  <c r="O319" i="4"/>
  <c r="L319" i="4"/>
  <c r="G319" i="4"/>
  <c r="I319" i="4" s="1"/>
  <c r="B319" i="4"/>
  <c r="J319" i="4" s="1"/>
  <c r="V318" i="4"/>
  <c r="U318" i="4"/>
  <c r="R318" i="4"/>
  <c r="P318" i="4"/>
  <c r="O318" i="4"/>
  <c r="L318" i="4"/>
  <c r="N318" i="4" s="1"/>
  <c r="G318" i="4"/>
  <c r="I318" i="4" s="1"/>
  <c r="B318" i="4"/>
  <c r="J318" i="4" s="1"/>
  <c r="V317" i="4"/>
  <c r="U317" i="4"/>
  <c r="R317" i="4"/>
  <c r="P317" i="4"/>
  <c r="O317" i="4"/>
  <c r="N317" i="4"/>
  <c r="M317" i="4"/>
  <c r="G317" i="4"/>
  <c r="I317" i="4" s="1"/>
  <c r="B317" i="4"/>
  <c r="J317" i="4" s="1"/>
  <c r="V316" i="4"/>
  <c r="U316" i="4"/>
  <c r="R316" i="4"/>
  <c r="P316" i="4"/>
  <c r="O316" i="4"/>
  <c r="N316" i="4"/>
  <c r="M316" i="4"/>
  <c r="G316" i="4"/>
  <c r="I316" i="4" s="1"/>
  <c r="B316" i="4"/>
  <c r="J316" i="4" s="1"/>
  <c r="V315" i="4"/>
  <c r="U315" i="4"/>
  <c r="R315" i="4"/>
  <c r="P315" i="4"/>
  <c r="O315" i="4"/>
  <c r="N315" i="4"/>
  <c r="M315" i="4"/>
  <c r="G315" i="4"/>
  <c r="I315" i="4" s="1"/>
  <c r="B315" i="4"/>
  <c r="J315" i="4" s="1"/>
  <c r="V314" i="4"/>
  <c r="U314" i="4"/>
  <c r="R314" i="4"/>
  <c r="P314" i="4"/>
  <c r="O314" i="4"/>
  <c r="L314" i="4"/>
  <c r="M314" i="4" s="1"/>
  <c r="G314" i="4"/>
  <c r="I314" i="4" s="1"/>
  <c r="B314" i="4"/>
  <c r="J314" i="4" s="1"/>
  <c r="V313" i="4"/>
  <c r="U313" i="4"/>
  <c r="R313" i="4"/>
  <c r="P313" i="4"/>
  <c r="O313" i="4"/>
  <c r="N313" i="4"/>
  <c r="M313" i="4"/>
  <c r="G313" i="4"/>
  <c r="I313" i="4" s="1"/>
  <c r="B313" i="4"/>
  <c r="J313" i="4" s="1"/>
  <c r="V312" i="4"/>
  <c r="U312" i="4"/>
  <c r="R312" i="4"/>
  <c r="P312" i="4"/>
  <c r="O312" i="4"/>
  <c r="N312" i="4"/>
  <c r="M312" i="4"/>
  <c r="G312" i="4"/>
  <c r="I312" i="4" s="1"/>
  <c r="B312" i="4"/>
  <c r="J312" i="4" s="1"/>
  <c r="V311" i="4"/>
  <c r="U311" i="4"/>
  <c r="R311" i="4"/>
  <c r="P311" i="4"/>
  <c r="O311" i="4"/>
  <c r="L311" i="4"/>
  <c r="M311" i="4" s="1"/>
  <c r="G311" i="4"/>
  <c r="I311" i="4" s="1"/>
  <c r="B311" i="4"/>
  <c r="J311" i="4" s="1"/>
  <c r="V310" i="4"/>
  <c r="U310" i="4"/>
  <c r="R310" i="4"/>
  <c r="P310" i="4"/>
  <c r="O310" i="4"/>
  <c r="L310" i="4"/>
  <c r="M310" i="4" s="1"/>
  <c r="G310" i="4"/>
  <c r="I310" i="4" s="1"/>
  <c r="B310" i="4"/>
  <c r="J310" i="4" s="1"/>
  <c r="V309" i="4"/>
  <c r="U309" i="4"/>
  <c r="R309" i="4"/>
  <c r="P309" i="4"/>
  <c r="O309" i="4"/>
  <c r="L309" i="4"/>
  <c r="M309" i="4" s="1"/>
  <c r="G309" i="4"/>
  <c r="I309" i="4" s="1"/>
  <c r="B309" i="4"/>
  <c r="J309" i="4" s="1"/>
  <c r="V308" i="4"/>
  <c r="U308" i="4"/>
  <c r="R308" i="4"/>
  <c r="P308" i="4"/>
  <c r="O308" i="4"/>
  <c r="L308" i="4"/>
  <c r="M308" i="4" s="1"/>
  <c r="G308" i="4"/>
  <c r="I308" i="4" s="1"/>
  <c r="B308" i="4"/>
  <c r="J308" i="4" s="1"/>
  <c r="V307" i="4"/>
  <c r="U307" i="4"/>
  <c r="R307" i="4"/>
  <c r="P307" i="4"/>
  <c r="O307" i="4"/>
  <c r="L307" i="4"/>
  <c r="N307" i="4" s="1"/>
  <c r="G307" i="4"/>
  <c r="I307" i="4" s="1"/>
  <c r="B307" i="4"/>
  <c r="J307" i="4" s="1"/>
  <c r="V306" i="4"/>
  <c r="U306" i="4"/>
  <c r="R306" i="4"/>
  <c r="P306" i="4"/>
  <c r="O306" i="4"/>
  <c r="L306" i="4"/>
  <c r="N306" i="4" s="1"/>
  <c r="G306" i="4"/>
  <c r="I306" i="4" s="1"/>
  <c r="B306" i="4"/>
  <c r="J306" i="4" s="1"/>
  <c r="V305" i="4"/>
  <c r="U305" i="4"/>
  <c r="R305" i="4"/>
  <c r="P305" i="4"/>
  <c r="O305" i="4"/>
  <c r="L305" i="4"/>
  <c r="N305" i="4" s="1"/>
  <c r="G305" i="4"/>
  <c r="I305" i="4" s="1"/>
  <c r="B305" i="4"/>
  <c r="J305" i="4" s="1"/>
  <c r="V304" i="4"/>
  <c r="U304" i="4"/>
  <c r="R304" i="4"/>
  <c r="P304" i="4"/>
  <c r="O304" i="4"/>
  <c r="L304" i="4"/>
  <c r="M304" i="4" s="1"/>
  <c r="G304" i="4"/>
  <c r="I304" i="4" s="1"/>
  <c r="B304" i="4"/>
  <c r="J304" i="4" s="1"/>
  <c r="V303" i="4"/>
  <c r="U303" i="4"/>
  <c r="R303" i="4"/>
  <c r="P303" i="4"/>
  <c r="O303" i="4"/>
  <c r="L303" i="4"/>
  <c r="M303" i="4" s="1"/>
  <c r="G303" i="4"/>
  <c r="I303" i="4" s="1"/>
  <c r="B303" i="4"/>
  <c r="J303" i="4" s="1"/>
  <c r="V302" i="4"/>
  <c r="U302" i="4"/>
  <c r="R302" i="4"/>
  <c r="P302" i="4"/>
  <c r="O302" i="4"/>
  <c r="L302" i="4"/>
  <c r="N302" i="4" s="1"/>
  <c r="G302" i="4"/>
  <c r="I302" i="4" s="1"/>
  <c r="B302" i="4"/>
  <c r="J302" i="4" s="1"/>
  <c r="V301" i="4"/>
  <c r="U301" i="4"/>
  <c r="R301" i="4"/>
  <c r="P301" i="4"/>
  <c r="O301" i="4"/>
  <c r="L301" i="4"/>
  <c r="M301" i="4" s="1"/>
  <c r="G301" i="4"/>
  <c r="I301" i="4" s="1"/>
  <c r="B301" i="4"/>
  <c r="J301" i="4" s="1"/>
  <c r="V300" i="4"/>
  <c r="U300" i="4"/>
  <c r="R300" i="4"/>
  <c r="P300" i="4"/>
  <c r="O300" i="4"/>
  <c r="L300" i="4"/>
  <c r="M300" i="4" s="1"/>
  <c r="G300" i="4"/>
  <c r="I300" i="4" s="1"/>
  <c r="B300" i="4"/>
  <c r="J300" i="4" s="1"/>
  <c r="V299" i="4"/>
  <c r="U299" i="4"/>
  <c r="R299" i="4"/>
  <c r="P299" i="4"/>
  <c r="O299" i="4"/>
  <c r="N299" i="4"/>
  <c r="M299" i="4"/>
  <c r="G299" i="4"/>
  <c r="I299" i="4" s="1"/>
  <c r="B299" i="4"/>
  <c r="J299" i="4" s="1"/>
  <c r="V298" i="4"/>
  <c r="U298" i="4"/>
  <c r="B298" i="4"/>
  <c r="V297" i="4"/>
  <c r="U297" i="4"/>
  <c r="R297" i="4"/>
  <c r="P297" i="4"/>
  <c r="O297" i="4"/>
  <c r="N297" i="4"/>
  <c r="M297" i="4"/>
  <c r="G297" i="4"/>
  <c r="I297" i="4" s="1"/>
  <c r="B297" i="4"/>
  <c r="J297" i="4" s="1"/>
  <c r="V296" i="4"/>
  <c r="U296" i="4"/>
  <c r="R296" i="4"/>
  <c r="P296" i="4"/>
  <c r="O296" i="4"/>
  <c r="L296" i="4"/>
  <c r="M296" i="4" s="1"/>
  <c r="G296" i="4"/>
  <c r="I296" i="4" s="1"/>
  <c r="B296" i="4"/>
  <c r="J296" i="4" s="1"/>
  <c r="V295" i="4"/>
  <c r="U295" i="4"/>
  <c r="R295" i="4"/>
  <c r="P295" i="4"/>
  <c r="O295" i="4"/>
  <c r="L295" i="4"/>
  <c r="G295" i="4"/>
  <c r="I295" i="4" s="1"/>
  <c r="B295" i="4"/>
  <c r="V294" i="4"/>
  <c r="U294" i="4"/>
  <c r="R294" i="4"/>
  <c r="P294" i="4"/>
  <c r="O294" i="4"/>
  <c r="L294" i="4"/>
  <c r="M294" i="4" s="1"/>
  <c r="G294" i="4"/>
  <c r="I294" i="4" s="1"/>
  <c r="B294" i="4"/>
  <c r="J294" i="4" s="1"/>
  <c r="V293" i="4"/>
  <c r="U293" i="4"/>
  <c r="R293" i="4"/>
  <c r="P293" i="4"/>
  <c r="O293" i="4"/>
  <c r="L293" i="4"/>
  <c r="M293" i="4" s="1"/>
  <c r="G293" i="4"/>
  <c r="I293" i="4" s="1"/>
  <c r="B293" i="4"/>
  <c r="J293" i="4" s="1"/>
  <c r="V292" i="4"/>
  <c r="U292" i="4"/>
  <c r="R292" i="4"/>
  <c r="P292" i="4"/>
  <c r="O292" i="4"/>
  <c r="N292" i="4"/>
  <c r="M292" i="4"/>
  <c r="G292" i="4"/>
  <c r="I292" i="4" s="1"/>
  <c r="B292" i="4"/>
  <c r="J292" i="4" s="1"/>
  <c r="V291" i="4"/>
  <c r="U291" i="4"/>
  <c r="R291" i="4"/>
  <c r="P291" i="4"/>
  <c r="O291" i="4"/>
  <c r="L291" i="4"/>
  <c r="M291" i="4" s="1"/>
  <c r="G291" i="4"/>
  <c r="I291" i="4" s="1"/>
  <c r="B291" i="4"/>
  <c r="J291" i="4" s="1"/>
  <c r="V290" i="4"/>
  <c r="U290" i="4"/>
  <c r="R290" i="4"/>
  <c r="P290" i="4"/>
  <c r="O290" i="4"/>
  <c r="L290" i="4"/>
  <c r="N290" i="4" s="1"/>
  <c r="G290" i="4"/>
  <c r="I290" i="4" s="1"/>
  <c r="B290" i="4"/>
  <c r="J290" i="4" s="1"/>
  <c r="V289" i="4"/>
  <c r="U289" i="4"/>
  <c r="R289" i="4"/>
  <c r="P289" i="4"/>
  <c r="O289" i="4"/>
  <c r="L289" i="4"/>
  <c r="N289" i="4" s="1"/>
  <c r="G289" i="4"/>
  <c r="I289" i="4" s="1"/>
  <c r="B289" i="4"/>
  <c r="J289" i="4" s="1"/>
  <c r="V288" i="4"/>
  <c r="U288" i="4"/>
  <c r="R288" i="4"/>
  <c r="P288" i="4"/>
  <c r="O288" i="4"/>
  <c r="N288" i="4"/>
  <c r="M288" i="4"/>
  <c r="G288" i="4"/>
  <c r="I288" i="4" s="1"/>
  <c r="B288" i="4"/>
  <c r="J288" i="4" s="1"/>
  <c r="V287" i="4"/>
  <c r="U287" i="4"/>
  <c r="R287" i="4"/>
  <c r="P287" i="4"/>
  <c r="O287" i="4"/>
  <c r="N287" i="4"/>
  <c r="M287" i="4"/>
  <c r="G287" i="4"/>
  <c r="I287" i="4" s="1"/>
  <c r="B287" i="4"/>
  <c r="J287" i="4" s="1"/>
  <c r="V286" i="4"/>
  <c r="U286" i="4"/>
  <c r="R286" i="4"/>
  <c r="P286" i="4"/>
  <c r="O286" i="4"/>
  <c r="N286" i="4"/>
  <c r="M286" i="4"/>
  <c r="G286" i="4"/>
  <c r="I286" i="4" s="1"/>
  <c r="B286" i="4"/>
  <c r="J286" i="4" s="1"/>
  <c r="V285" i="4"/>
  <c r="U285" i="4"/>
  <c r="R285" i="4"/>
  <c r="P285" i="4"/>
  <c r="O285" i="4"/>
  <c r="L285" i="4"/>
  <c r="M285" i="4" s="1"/>
  <c r="G285" i="4"/>
  <c r="I285" i="4" s="1"/>
  <c r="B285" i="4"/>
  <c r="V284" i="4"/>
  <c r="U284" i="4"/>
  <c r="R284" i="4"/>
  <c r="P284" i="4"/>
  <c r="O284" i="4"/>
  <c r="N284" i="4"/>
  <c r="M284" i="4"/>
  <c r="G284" i="4"/>
  <c r="I284" i="4" s="1"/>
  <c r="B284" i="4"/>
  <c r="J284" i="4" s="1"/>
  <c r="V283" i="4"/>
  <c r="U283" i="4"/>
  <c r="R283" i="4"/>
  <c r="P283" i="4"/>
  <c r="O283" i="4"/>
  <c r="L283" i="4"/>
  <c r="M283" i="4" s="1"/>
  <c r="G283" i="4"/>
  <c r="I283" i="4" s="1"/>
  <c r="B283" i="4"/>
  <c r="J283" i="4" s="1"/>
  <c r="V282" i="4"/>
  <c r="U282" i="4"/>
  <c r="R282" i="4"/>
  <c r="P282" i="4"/>
  <c r="O282" i="4"/>
  <c r="L282" i="4"/>
  <c r="M282" i="4" s="1"/>
  <c r="G282" i="4"/>
  <c r="I282" i="4" s="1"/>
  <c r="B282" i="4"/>
  <c r="V281" i="4"/>
  <c r="U281" i="4"/>
  <c r="R281" i="4"/>
  <c r="P281" i="4"/>
  <c r="O281" i="4"/>
  <c r="L281" i="4"/>
  <c r="G281" i="4"/>
  <c r="I281" i="4" s="1"/>
  <c r="B281" i="4"/>
  <c r="J281" i="4" s="1"/>
  <c r="V280" i="4"/>
  <c r="U280" i="4"/>
  <c r="R280" i="4"/>
  <c r="P280" i="4"/>
  <c r="O280" i="4"/>
  <c r="L280" i="4"/>
  <c r="M280" i="4" s="1"/>
  <c r="G280" i="4"/>
  <c r="I280" i="4" s="1"/>
  <c r="B280" i="4"/>
  <c r="J280" i="4" s="1"/>
  <c r="V279" i="4"/>
  <c r="U279" i="4"/>
  <c r="R279" i="4"/>
  <c r="P279" i="4"/>
  <c r="O279" i="4"/>
  <c r="N279" i="4"/>
  <c r="M279" i="4"/>
  <c r="G279" i="4"/>
  <c r="I279" i="4" s="1"/>
  <c r="B279" i="4"/>
  <c r="J279" i="4" s="1"/>
  <c r="V278" i="4"/>
  <c r="U278" i="4"/>
  <c r="R278" i="4"/>
  <c r="P278" i="4"/>
  <c r="O278" i="4"/>
  <c r="L278" i="4"/>
  <c r="G278" i="4"/>
  <c r="I278" i="4" s="1"/>
  <c r="B278" i="4"/>
  <c r="J278" i="4" s="1"/>
  <c r="V277" i="4"/>
  <c r="U277" i="4"/>
  <c r="R277" i="4"/>
  <c r="P277" i="4"/>
  <c r="O277" i="4"/>
  <c r="N277" i="4"/>
  <c r="M277" i="4"/>
  <c r="G277" i="4"/>
  <c r="I277" i="4" s="1"/>
  <c r="B277" i="4"/>
  <c r="V276" i="4"/>
  <c r="U276" i="4"/>
  <c r="R276" i="4"/>
  <c r="P276" i="4"/>
  <c r="O276" i="4"/>
  <c r="L276" i="4"/>
  <c r="N276" i="4" s="1"/>
  <c r="G276" i="4"/>
  <c r="I276" i="4" s="1"/>
  <c r="B276" i="4"/>
  <c r="J276" i="4" s="1"/>
  <c r="V275" i="4"/>
  <c r="U275" i="4"/>
  <c r="R275" i="4"/>
  <c r="P275" i="4"/>
  <c r="O275" i="4"/>
  <c r="L275" i="4"/>
  <c r="G275" i="4"/>
  <c r="I275" i="4" s="1"/>
  <c r="B275" i="4"/>
  <c r="V274" i="4"/>
  <c r="U274" i="4"/>
  <c r="R274" i="4"/>
  <c r="P274" i="4"/>
  <c r="O274" i="4"/>
  <c r="L274" i="4"/>
  <c r="G274" i="4"/>
  <c r="I274" i="4" s="1"/>
  <c r="B274" i="4"/>
  <c r="J274" i="4" s="1"/>
  <c r="V273" i="4"/>
  <c r="U273" i="4"/>
  <c r="R273" i="4"/>
  <c r="P273" i="4"/>
  <c r="O273" i="4"/>
  <c r="L273" i="4"/>
  <c r="M273" i="4" s="1"/>
  <c r="G273" i="4"/>
  <c r="I273" i="4" s="1"/>
  <c r="T38" i="20" s="1"/>
  <c r="B273" i="4"/>
  <c r="J273" i="4" s="1"/>
  <c r="V272" i="4"/>
  <c r="U272" i="4"/>
  <c r="R272" i="4"/>
  <c r="P272" i="4"/>
  <c r="O272" i="4"/>
  <c r="L272" i="4"/>
  <c r="M272" i="4" s="1"/>
  <c r="G272" i="4"/>
  <c r="I272" i="4" s="1"/>
  <c r="B272" i="4"/>
  <c r="J272" i="4" s="1"/>
  <c r="V271" i="4"/>
  <c r="U271" i="4"/>
  <c r="R271" i="4"/>
  <c r="P271" i="4"/>
  <c r="O271" i="4"/>
  <c r="L271" i="4"/>
  <c r="G271" i="4"/>
  <c r="I271" i="4" s="1"/>
  <c r="B271" i="4"/>
  <c r="J271" i="4" s="1"/>
  <c r="V270" i="4"/>
  <c r="U270" i="4"/>
  <c r="R270" i="4"/>
  <c r="P270" i="4"/>
  <c r="O270" i="4"/>
  <c r="N270" i="4"/>
  <c r="M270" i="4"/>
  <c r="G270" i="4"/>
  <c r="I270" i="4" s="1"/>
  <c r="B270" i="4"/>
  <c r="J270" i="4" s="1"/>
  <c r="V269" i="4"/>
  <c r="U269" i="4"/>
  <c r="R269" i="4"/>
  <c r="P269" i="4"/>
  <c r="O269" i="4"/>
  <c r="L269" i="4"/>
  <c r="N269" i="4" s="1"/>
  <c r="G269" i="4"/>
  <c r="I269" i="4" s="1"/>
  <c r="B269" i="4"/>
  <c r="J269" i="4" s="1"/>
  <c r="V268" i="4"/>
  <c r="U268" i="4"/>
  <c r="R268" i="4"/>
  <c r="P268" i="4"/>
  <c r="O268" i="4"/>
  <c r="L268" i="4"/>
  <c r="G268" i="4"/>
  <c r="I268" i="4" s="1"/>
  <c r="B268" i="4"/>
  <c r="J268" i="4" s="1"/>
  <c r="V267" i="4"/>
  <c r="U267" i="4"/>
  <c r="R267" i="4"/>
  <c r="P267" i="4"/>
  <c r="O267" i="4"/>
  <c r="L267" i="4"/>
  <c r="G267" i="4"/>
  <c r="I267" i="4" s="1"/>
  <c r="B267" i="4"/>
  <c r="V266" i="4"/>
  <c r="U266" i="4"/>
  <c r="R266" i="4"/>
  <c r="P266" i="4"/>
  <c r="O266" i="4"/>
  <c r="L266" i="4"/>
  <c r="M266" i="4" s="1"/>
  <c r="G266" i="4"/>
  <c r="I266" i="4" s="1"/>
  <c r="B266" i="4"/>
  <c r="J266" i="4" s="1"/>
  <c r="V265" i="4"/>
  <c r="U265" i="4"/>
  <c r="R265" i="4"/>
  <c r="P265" i="4"/>
  <c r="O265" i="4"/>
  <c r="L265" i="4"/>
  <c r="M265" i="4" s="1"/>
  <c r="G265" i="4"/>
  <c r="I265" i="4" s="1"/>
  <c r="B265" i="4"/>
  <c r="J265" i="4" s="1"/>
  <c r="V264" i="4"/>
  <c r="U264" i="4"/>
  <c r="R264" i="4"/>
  <c r="P264" i="4"/>
  <c r="O264" i="4"/>
  <c r="L264" i="4"/>
  <c r="G264" i="4"/>
  <c r="I264" i="4" s="1"/>
  <c r="B264" i="4"/>
  <c r="J264" i="4" s="1"/>
  <c r="V263" i="4"/>
  <c r="U263" i="4"/>
  <c r="R263" i="4"/>
  <c r="P263" i="4"/>
  <c r="O263" i="4"/>
  <c r="L263" i="4"/>
  <c r="M263" i="4" s="1"/>
  <c r="G263" i="4"/>
  <c r="I263" i="4" s="1"/>
  <c r="B263" i="4"/>
  <c r="V262" i="4"/>
  <c r="U262" i="4"/>
  <c r="R262" i="4"/>
  <c r="P262" i="4"/>
  <c r="O262" i="4"/>
  <c r="N262" i="4"/>
  <c r="M262" i="4"/>
  <c r="G262" i="4"/>
  <c r="I262" i="4" s="1"/>
  <c r="B262" i="4"/>
  <c r="V261" i="4"/>
  <c r="U261" i="4"/>
  <c r="R261" i="4"/>
  <c r="P261" i="4"/>
  <c r="O261" i="4"/>
  <c r="L261" i="4"/>
  <c r="G261" i="4"/>
  <c r="I261" i="4" s="1"/>
  <c r="B261" i="4"/>
  <c r="J261" i="4" s="1"/>
  <c r="V260" i="4"/>
  <c r="U260" i="4"/>
  <c r="R260" i="4"/>
  <c r="P260" i="4"/>
  <c r="O260" i="4"/>
  <c r="N260" i="4"/>
  <c r="M260" i="4"/>
  <c r="G260" i="4"/>
  <c r="I260" i="4" s="1"/>
  <c r="B260" i="4"/>
  <c r="V259" i="4"/>
  <c r="U259" i="4"/>
  <c r="R259" i="4"/>
  <c r="P259" i="4"/>
  <c r="O259" i="4"/>
  <c r="N259" i="4"/>
  <c r="M259" i="4"/>
  <c r="G259" i="4"/>
  <c r="I259" i="4" s="1"/>
  <c r="B259" i="4"/>
  <c r="J259" i="4" s="1"/>
  <c r="V258" i="4"/>
  <c r="U258" i="4"/>
  <c r="R258" i="4"/>
  <c r="P258" i="4"/>
  <c r="O258" i="4"/>
  <c r="N258" i="4"/>
  <c r="M258" i="4"/>
  <c r="G258" i="4"/>
  <c r="I258" i="4" s="1"/>
  <c r="B258" i="4"/>
  <c r="J258" i="4" s="1"/>
  <c r="V257" i="4"/>
  <c r="U257" i="4"/>
  <c r="R257" i="4"/>
  <c r="P257" i="4"/>
  <c r="O257" i="4"/>
  <c r="N257" i="4"/>
  <c r="M257" i="4"/>
  <c r="G257" i="4"/>
  <c r="I257" i="4" s="1"/>
  <c r="B257" i="4"/>
  <c r="J257" i="4" s="1"/>
  <c r="V256" i="4"/>
  <c r="U256" i="4"/>
  <c r="R256" i="4"/>
  <c r="P256" i="4"/>
  <c r="O256" i="4"/>
  <c r="N256" i="4"/>
  <c r="M256" i="4"/>
  <c r="G256" i="4"/>
  <c r="I256" i="4" s="1"/>
  <c r="B256" i="4"/>
  <c r="V255" i="4"/>
  <c r="U255" i="4"/>
  <c r="R255" i="4"/>
  <c r="P255" i="4"/>
  <c r="O255" i="4"/>
  <c r="L255" i="4"/>
  <c r="N255" i="4" s="1"/>
  <c r="G255" i="4"/>
  <c r="I255" i="4" s="1"/>
  <c r="B255" i="4"/>
  <c r="J255" i="4" s="1"/>
  <c r="V254" i="4"/>
  <c r="U254" i="4"/>
  <c r="R254" i="4"/>
  <c r="P254" i="4"/>
  <c r="O254" i="4"/>
  <c r="L254" i="4"/>
  <c r="G254" i="4"/>
  <c r="I254" i="4" s="1"/>
  <c r="B254" i="4"/>
  <c r="J254" i="4" s="1"/>
  <c r="V253" i="4"/>
  <c r="U253" i="4"/>
  <c r="R253" i="4"/>
  <c r="P253" i="4"/>
  <c r="O253" i="4"/>
  <c r="N253" i="4"/>
  <c r="M253" i="4"/>
  <c r="G253" i="4"/>
  <c r="I253" i="4" s="1"/>
  <c r="B253" i="4"/>
  <c r="V252" i="4"/>
  <c r="U252" i="4"/>
  <c r="R252" i="4"/>
  <c r="P252" i="4"/>
  <c r="O252" i="4"/>
  <c r="L252" i="4"/>
  <c r="N252" i="4" s="1"/>
  <c r="G252" i="4"/>
  <c r="I252" i="4" s="1"/>
  <c r="B252" i="4"/>
  <c r="J252" i="4" s="1"/>
  <c r="V251" i="4"/>
  <c r="U251" i="4"/>
  <c r="R251" i="4"/>
  <c r="P251" i="4"/>
  <c r="O251" i="4"/>
  <c r="L251" i="4"/>
  <c r="G251" i="4"/>
  <c r="I251" i="4" s="1"/>
  <c r="B251" i="4"/>
  <c r="J251" i="4" s="1"/>
  <c r="V250" i="4"/>
  <c r="U250" i="4"/>
  <c r="R250" i="4"/>
  <c r="P250" i="4"/>
  <c r="O250" i="4"/>
  <c r="N250" i="4"/>
  <c r="M250" i="4"/>
  <c r="G250" i="4"/>
  <c r="I250" i="4" s="1"/>
  <c r="B250" i="4"/>
  <c r="V249" i="4"/>
  <c r="U249" i="4"/>
  <c r="R249" i="4"/>
  <c r="P249" i="4"/>
  <c r="O249" i="4"/>
  <c r="L249" i="4"/>
  <c r="G249" i="4"/>
  <c r="I249" i="4" s="1"/>
  <c r="B249" i="4"/>
  <c r="J249" i="4" s="1"/>
  <c r="V248" i="4"/>
  <c r="U248" i="4"/>
  <c r="R248" i="4"/>
  <c r="P248" i="4"/>
  <c r="O248" i="4"/>
  <c r="L248" i="4"/>
  <c r="N248" i="4" s="1"/>
  <c r="G248" i="4"/>
  <c r="I248" i="4" s="1"/>
  <c r="B248" i="4"/>
  <c r="J248" i="4" s="1"/>
  <c r="V247" i="4"/>
  <c r="U247" i="4"/>
  <c r="R247" i="4"/>
  <c r="P247" i="4"/>
  <c r="O247" i="4"/>
  <c r="L247" i="4"/>
  <c r="G247" i="4"/>
  <c r="I247" i="4" s="1"/>
  <c r="B247" i="4"/>
  <c r="V246" i="4"/>
  <c r="U246" i="4"/>
  <c r="R246" i="4"/>
  <c r="P246" i="4"/>
  <c r="O246" i="4"/>
  <c r="L246" i="4"/>
  <c r="N246" i="4" s="1"/>
  <c r="G246" i="4"/>
  <c r="I246" i="4" s="1"/>
  <c r="B246" i="4"/>
  <c r="J246" i="4" s="1"/>
  <c r="V245" i="4"/>
  <c r="U245" i="4"/>
  <c r="R245" i="4"/>
  <c r="P245" i="4"/>
  <c r="O245" i="4"/>
  <c r="L245" i="4"/>
  <c r="N245" i="4" s="1"/>
  <c r="G245" i="4"/>
  <c r="I245" i="4" s="1"/>
  <c r="B245" i="4"/>
  <c r="J245" i="4" s="1"/>
  <c r="V244" i="4"/>
  <c r="U244" i="4"/>
  <c r="R244" i="4"/>
  <c r="P244" i="4"/>
  <c r="O244" i="4"/>
  <c r="L244" i="4"/>
  <c r="N244" i="4" s="1"/>
  <c r="G244" i="4"/>
  <c r="I244" i="4" s="1"/>
  <c r="B244" i="4"/>
  <c r="J244" i="4" s="1"/>
  <c r="V243" i="4"/>
  <c r="U243" i="4"/>
  <c r="R243" i="4"/>
  <c r="P243" i="4"/>
  <c r="O243" i="4"/>
  <c r="L243" i="4"/>
  <c r="G243" i="4"/>
  <c r="I243" i="4" s="1"/>
  <c r="B243" i="4"/>
  <c r="V242" i="4"/>
  <c r="U242" i="4"/>
  <c r="R242" i="4"/>
  <c r="P242" i="4"/>
  <c r="O242" i="4"/>
  <c r="L242" i="4"/>
  <c r="M242" i="4" s="1"/>
  <c r="G242" i="4"/>
  <c r="I242" i="4" s="1"/>
  <c r="B242" i="4"/>
  <c r="J242" i="4" s="1"/>
  <c r="V241" i="4"/>
  <c r="U241" i="4"/>
  <c r="R241" i="4"/>
  <c r="P241" i="4"/>
  <c r="O241" i="4"/>
  <c r="L241" i="4"/>
  <c r="N241" i="4" s="1"/>
  <c r="G241" i="4"/>
  <c r="I241" i="4" s="1"/>
  <c r="B241" i="4"/>
  <c r="J241" i="4" s="1"/>
  <c r="V240" i="4"/>
  <c r="U240" i="4"/>
  <c r="R240" i="4"/>
  <c r="P240" i="4"/>
  <c r="O240" i="4"/>
  <c r="L240" i="4"/>
  <c r="N240" i="4" s="1"/>
  <c r="G240" i="4"/>
  <c r="I240" i="4" s="1"/>
  <c r="B240" i="4"/>
  <c r="J240" i="4" s="1"/>
  <c r="V239" i="4"/>
  <c r="U239" i="4"/>
  <c r="R239" i="4"/>
  <c r="P239" i="4"/>
  <c r="O239" i="4"/>
  <c r="L239" i="4"/>
  <c r="G239" i="4"/>
  <c r="I239" i="4" s="1"/>
  <c r="B239" i="4"/>
  <c r="V238" i="4"/>
  <c r="U238" i="4"/>
  <c r="R238" i="4"/>
  <c r="P238" i="4"/>
  <c r="O238" i="4"/>
  <c r="N238" i="4"/>
  <c r="M238" i="4"/>
  <c r="G238" i="4"/>
  <c r="I238" i="4" s="1"/>
  <c r="B238" i="4"/>
  <c r="J238" i="4" s="1"/>
  <c r="V237" i="4"/>
  <c r="U237" i="4"/>
  <c r="R237" i="4"/>
  <c r="P237" i="4"/>
  <c r="O237" i="4"/>
  <c r="L237" i="4"/>
  <c r="G237" i="4"/>
  <c r="I237" i="4" s="1"/>
  <c r="B237" i="4"/>
  <c r="J237" i="4" s="1"/>
  <c r="V236" i="4"/>
  <c r="U236" i="4"/>
  <c r="R236" i="4"/>
  <c r="P236" i="4"/>
  <c r="O236" i="4"/>
  <c r="L236" i="4"/>
  <c r="M236" i="4" s="1"/>
  <c r="G236" i="4"/>
  <c r="I236" i="4" s="1"/>
  <c r="B236" i="4"/>
  <c r="J236" i="4" s="1"/>
  <c r="V235" i="4"/>
  <c r="U235" i="4"/>
  <c r="R235" i="4"/>
  <c r="P235" i="4"/>
  <c r="O235" i="4"/>
  <c r="L235" i="4"/>
  <c r="M235" i="4" s="1"/>
  <c r="G235" i="4"/>
  <c r="I235" i="4" s="1"/>
  <c r="B235" i="4"/>
  <c r="J235" i="4" s="1"/>
  <c r="V234" i="4"/>
  <c r="U234" i="4"/>
  <c r="R234" i="4"/>
  <c r="P234" i="4"/>
  <c r="O234" i="4"/>
  <c r="L234" i="4"/>
  <c r="N234" i="4" s="1"/>
  <c r="G234" i="4"/>
  <c r="I234" i="4" s="1"/>
  <c r="B234" i="4"/>
  <c r="J234" i="4" s="1"/>
  <c r="V233" i="4"/>
  <c r="U233" i="4"/>
  <c r="R233" i="4"/>
  <c r="P233" i="4"/>
  <c r="O233" i="4"/>
  <c r="L233" i="4"/>
  <c r="N233" i="4" s="1"/>
  <c r="G233" i="4"/>
  <c r="I233" i="4" s="1"/>
  <c r="B233" i="4"/>
  <c r="J233" i="4" s="1"/>
  <c r="V232" i="4"/>
  <c r="U232" i="4"/>
  <c r="R232" i="4"/>
  <c r="P232" i="4"/>
  <c r="O232" i="4"/>
  <c r="L232" i="4"/>
  <c r="M232" i="4" s="1"/>
  <c r="G232" i="4"/>
  <c r="I232" i="4" s="1"/>
  <c r="B232" i="4"/>
  <c r="V231" i="4"/>
  <c r="U231" i="4"/>
  <c r="R231" i="4"/>
  <c r="P231" i="4"/>
  <c r="O231" i="4"/>
  <c r="N231" i="4"/>
  <c r="M231" i="4"/>
  <c r="G231" i="4"/>
  <c r="I231" i="4" s="1"/>
  <c r="B231" i="4"/>
  <c r="J231" i="4" s="1"/>
  <c r="V230" i="4"/>
  <c r="U230" i="4"/>
  <c r="R230" i="4"/>
  <c r="P230" i="4"/>
  <c r="O230" i="4"/>
  <c r="N230" i="4"/>
  <c r="M230" i="4"/>
  <c r="G230" i="4"/>
  <c r="I230" i="4" s="1"/>
  <c r="B230" i="4"/>
  <c r="V229" i="4"/>
  <c r="U229" i="4"/>
  <c r="R229" i="4"/>
  <c r="P229" i="4"/>
  <c r="O229" i="4"/>
  <c r="N229" i="4"/>
  <c r="M229" i="4"/>
  <c r="G229" i="4"/>
  <c r="I229" i="4" s="1"/>
  <c r="B229" i="4"/>
  <c r="J229" i="4" s="1"/>
  <c r="V228" i="4"/>
  <c r="U228" i="4"/>
  <c r="R228" i="4"/>
  <c r="P228" i="4"/>
  <c r="O228" i="4"/>
  <c r="N228" i="4"/>
  <c r="M228" i="4"/>
  <c r="G228" i="4"/>
  <c r="I228" i="4" s="1"/>
  <c r="B228" i="4"/>
  <c r="V227" i="4"/>
  <c r="U227" i="4"/>
  <c r="R227" i="4"/>
  <c r="P227" i="4"/>
  <c r="O227" i="4"/>
  <c r="N227" i="4"/>
  <c r="M227" i="4"/>
  <c r="G227" i="4"/>
  <c r="I227" i="4" s="1"/>
  <c r="B227" i="4"/>
  <c r="J227" i="4" s="1"/>
  <c r="V226" i="4"/>
  <c r="U226" i="4"/>
  <c r="R226" i="4"/>
  <c r="P226" i="4"/>
  <c r="O226" i="4"/>
  <c r="L226" i="4"/>
  <c r="N226" i="4" s="1"/>
  <c r="G226" i="4"/>
  <c r="I226" i="4" s="1"/>
  <c r="B226" i="4"/>
  <c r="J226" i="4" s="1"/>
  <c r="V225" i="4"/>
  <c r="U225" i="4"/>
  <c r="R225" i="4"/>
  <c r="P225" i="4"/>
  <c r="O225" i="4"/>
  <c r="L225" i="4"/>
  <c r="N225" i="4" s="1"/>
  <c r="G225" i="4"/>
  <c r="I225" i="4" s="1"/>
  <c r="B225" i="4"/>
  <c r="V224" i="4"/>
  <c r="U224" i="4"/>
  <c r="R224" i="4"/>
  <c r="P224" i="4"/>
  <c r="O224" i="4"/>
  <c r="N224" i="4"/>
  <c r="M224" i="4"/>
  <c r="G224" i="4"/>
  <c r="I224" i="4" s="1"/>
  <c r="B224" i="4"/>
  <c r="J224" i="4" s="1"/>
  <c r="V223" i="4"/>
  <c r="U223" i="4"/>
  <c r="R223" i="4"/>
  <c r="P223" i="4"/>
  <c r="O223" i="4"/>
  <c r="N223" i="4"/>
  <c r="M223" i="4"/>
  <c r="G223" i="4"/>
  <c r="I223" i="4" s="1"/>
  <c r="B223" i="4"/>
  <c r="V222" i="4"/>
  <c r="U222" i="4"/>
  <c r="R222" i="4"/>
  <c r="P222" i="4"/>
  <c r="O222" i="4"/>
  <c r="L222" i="4"/>
  <c r="G222" i="4"/>
  <c r="I222" i="4" s="1"/>
  <c r="B222" i="4"/>
  <c r="J222" i="4" s="1"/>
  <c r="V221" i="4"/>
  <c r="U221" i="4"/>
  <c r="R221" i="4"/>
  <c r="P221" i="4"/>
  <c r="O221" i="4"/>
  <c r="L221" i="4"/>
  <c r="N221" i="4" s="1"/>
  <c r="G221" i="4"/>
  <c r="I221" i="4" s="1"/>
  <c r="B221" i="4"/>
  <c r="J221" i="4" s="1"/>
  <c r="V220" i="4"/>
  <c r="U220" i="4"/>
  <c r="B220" i="4"/>
  <c r="V219" i="4"/>
  <c r="U219" i="4"/>
  <c r="R219" i="4"/>
  <c r="P219" i="4"/>
  <c r="O219" i="4"/>
  <c r="L219" i="4"/>
  <c r="N219" i="4" s="1"/>
  <c r="G219" i="4"/>
  <c r="I219" i="4" s="1"/>
  <c r="B219" i="4"/>
  <c r="V218" i="4"/>
  <c r="U218" i="4"/>
  <c r="R218" i="4"/>
  <c r="P218" i="4"/>
  <c r="O218" i="4"/>
  <c r="L218" i="4"/>
  <c r="G218" i="4"/>
  <c r="I218" i="4" s="1"/>
  <c r="B218" i="4"/>
  <c r="J218" i="4" s="1"/>
  <c r="V217" i="4"/>
  <c r="U217" i="4"/>
  <c r="R217" i="4"/>
  <c r="P217" i="4"/>
  <c r="O217" i="4"/>
  <c r="N217" i="4"/>
  <c r="M217" i="4"/>
  <c r="G217" i="4"/>
  <c r="I217" i="4" s="1"/>
  <c r="B217" i="4"/>
  <c r="J217" i="4" s="1"/>
  <c r="V216" i="4"/>
  <c r="U216" i="4"/>
  <c r="R216" i="4"/>
  <c r="P216" i="4"/>
  <c r="O216" i="4"/>
  <c r="L216" i="4"/>
  <c r="N216" i="4" s="1"/>
  <c r="G216" i="4"/>
  <c r="I216" i="4" s="1"/>
  <c r="B216" i="4"/>
  <c r="V215" i="4"/>
  <c r="U215" i="4"/>
  <c r="R215" i="4"/>
  <c r="P215" i="4"/>
  <c r="O215" i="4"/>
  <c r="L215" i="4"/>
  <c r="G215" i="4"/>
  <c r="I215" i="4" s="1"/>
  <c r="B215" i="4"/>
  <c r="J215" i="4" s="1"/>
  <c r="V214" i="4"/>
  <c r="U214" i="4"/>
  <c r="R214" i="4"/>
  <c r="P214" i="4"/>
  <c r="O214" i="4"/>
  <c r="N214" i="4"/>
  <c r="M214" i="4"/>
  <c r="G214" i="4"/>
  <c r="I214" i="4" s="1"/>
  <c r="B214" i="4"/>
  <c r="J214" i="4" s="1"/>
  <c r="V213" i="4"/>
  <c r="U213" i="4"/>
  <c r="R213" i="4"/>
  <c r="P213" i="4"/>
  <c r="O213" i="4"/>
  <c r="N213" i="4"/>
  <c r="M213" i="4"/>
  <c r="G213" i="4"/>
  <c r="I213" i="4" s="1"/>
  <c r="B213" i="4"/>
  <c r="J213" i="4" s="1"/>
  <c r="V212" i="4"/>
  <c r="U212" i="4"/>
  <c r="R212" i="4"/>
  <c r="P212" i="4"/>
  <c r="O212" i="4"/>
  <c r="N212" i="4"/>
  <c r="M212" i="4"/>
  <c r="G212" i="4"/>
  <c r="I212" i="4" s="1"/>
  <c r="B212" i="4"/>
  <c r="J212" i="4" s="1"/>
  <c r="V211" i="4"/>
  <c r="U211" i="4"/>
  <c r="R211" i="4"/>
  <c r="P211" i="4"/>
  <c r="O211" i="4"/>
  <c r="L211" i="4"/>
  <c r="N211" i="4" s="1"/>
  <c r="G211" i="4"/>
  <c r="I211" i="4" s="1"/>
  <c r="B211" i="4"/>
  <c r="V210" i="4"/>
  <c r="U210" i="4"/>
  <c r="R210" i="4"/>
  <c r="P210" i="4"/>
  <c r="O210" i="4"/>
  <c r="L210" i="4"/>
  <c r="G210" i="4"/>
  <c r="I210" i="4" s="1"/>
  <c r="B210" i="4"/>
  <c r="J210" i="4" s="1"/>
  <c r="V209" i="4"/>
  <c r="U209" i="4"/>
  <c r="R209" i="4"/>
  <c r="P209" i="4"/>
  <c r="O209" i="4"/>
  <c r="L209" i="4"/>
  <c r="N209" i="4" s="1"/>
  <c r="G209" i="4"/>
  <c r="I209" i="4" s="1"/>
  <c r="B209" i="4"/>
  <c r="J209" i="4" s="1"/>
  <c r="V208" i="4"/>
  <c r="U208" i="4"/>
  <c r="R208" i="4"/>
  <c r="P208" i="4"/>
  <c r="O208" i="4"/>
  <c r="N208" i="4"/>
  <c r="M208" i="4"/>
  <c r="G208" i="4"/>
  <c r="I208" i="4" s="1"/>
  <c r="B208" i="4"/>
  <c r="V207" i="4"/>
  <c r="U207" i="4"/>
  <c r="R207" i="4"/>
  <c r="P207" i="4"/>
  <c r="O207" i="4"/>
  <c r="N207" i="4"/>
  <c r="M207" i="4"/>
  <c r="G207" i="4"/>
  <c r="I207" i="4" s="1"/>
  <c r="B207" i="4"/>
  <c r="J207" i="4" s="1"/>
  <c r="V206" i="4"/>
  <c r="U206" i="4"/>
  <c r="R206" i="4"/>
  <c r="P206" i="4"/>
  <c r="O206" i="4"/>
  <c r="L206" i="4"/>
  <c r="G206" i="4"/>
  <c r="I206" i="4" s="1"/>
  <c r="B206" i="4"/>
  <c r="J206" i="4" s="1"/>
  <c r="V205" i="4"/>
  <c r="U205" i="4"/>
  <c r="R205" i="4"/>
  <c r="P205" i="4"/>
  <c r="O205" i="4"/>
  <c r="N205" i="4"/>
  <c r="M205" i="4"/>
  <c r="G205" i="4"/>
  <c r="I205" i="4" s="1"/>
  <c r="B205" i="4"/>
  <c r="J205" i="4" s="1"/>
  <c r="V204" i="4"/>
  <c r="U204" i="4"/>
  <c r="R204" i="4"/>
  <c r="P204" i="4"/>
  <c r="O204" i="4"/>
  <c r="N204" i="4"/>
  <c r="M204" i="4"/>
  <c r="G204" i="4"/>
  <c r="I204" i="4" s="1"/>
  <c r="B204" i="4"/>
  <c r="J204" i="4" s="1"/>
  <c r="V203" i="4"/>
  <c r="U203" i="4"/>
  <c r="R203" i="4"/>
  <c r="P203" i="4"/>
  <c r="O203" i="4"/>
  <c r="N203" i="4"/>
  <c r="M203" i="4"/>
  <c r="G203" i="4"/>
  <c r="I203" i="4" s="1"/>
  <c r="B203" i="4"/>
  <c r="J203" i="4" s="1"/>
  <c r="V202" i="4"/>
  <c r="U202" i="4"/>
  <c r="R202" i="4"/>
  <c r="P202" i="4"/>
  <c r="O202" i="4"/>
  <c r="L202" i="4"/>
  <c r="N202" i="4" s="1"/>
  <c r="G202" i="4"/>
  <c r="I202" i="4" s="1"/>
  <c r="B202" i="4"/>
  <c r="J202" i="4" s="1"/>
  <c r="V201" i="4"/>
  <c r="U201" i="4"/>
  <c r="R201" i="4"/>
  <c r="P201" i="4"/>
  <c r="O201" i="4"/>
  <c r="L201" i="4"/>
  <c r="G201" i="4"/>
  <c r="I201" i="4" s="1"/>
  <c r="B201" i="4"/>
  <c r="J201" i="4" s="1"/>
  <c r="V200" i="4"/>
  <c r="U200" i="4"/>
  <c r="R200" i="4"/>
  <c r="P200" i="4"/>
  <c r="O200" i="4"/>
  <c r="N200" i="4"/>
  <c r="M200" i="4"/>
  <c r="G200" i="4"/>
  <c r="I200" i="4" s="1"/>
  <c r="B200" i="4"/>
  <c r="J200" i="4" s="1"/>
  <c r="V199" i="4"/>
  <c r="U199" i="4"/>
  <c r="R199" i="4"/>
  <c r="P199" i="4"/>
  <c r="O199" i="4"/>
  <c r="N199" i="4"/>
  <c r="M199" i="4"/>
  <c r="G199" i="4"/>
  <c r="I199" i="4" s="1"/>
  <c r="B199" i="4"/>
  <c r="V198" i="4"/>
  <c r="U198" i="4"/>
  <c r="R198" i="4"/>
  <c r="P198" i="4"/>
  <c r="O198" i="4"/>
  <c r="N198" i="4"/>
  <c r="M198" i="4"/>
  <c r="G198" i="4"/>
  <c r="I198" i="4" s="1"/>
  <c r="B198" i="4"/>
  <c r="J198" i="4" s="1"/>
  <c r="V197" i="4"/>
  <c r="U197" i="4"/>
  <c r="R197" i="4"/>
  <c r="P197" i="4"/>
  <c r="O197" i="4"/>
  <c r="N197" i="4"/>
  <c r="M197" i="4"/>
  <c r="G197" i="4"/>
  <c r="I197" i="4" s="1"/>
  <c r="B197" i="4"/>
  <c r="V196" i="4"/>
  <c r="U196" i="4"/>
  <c r="R196" i="4"/>
  <c r="P196" i="4"/>
  <c r="O196" i="4"/>
  <c r="N196" i="4"/>
  <c r="M196" i="4"/>
  <c r="G196" i="4"/>
  <c r="I196" i="4" s="1"/>
  <c r="B196" i="4"/>
  <c r="J196" i="4" s="1"/>
  <c r="V195" i="4"/>
  <c r="U195" i="4"/>
  <c r="S195" i="4"/>
  <c r="B195" i="4"/>
  <c r="V194" i="4"/>
  <c r="U194" i="4"/>
  <c r="S194" i="4"/>
  <c r="B194" i="4"/>
  <c r="V193" i="4"/>
  <c r="U193" i="4"/>
  <c r="S193" i="4"/>
  <c r="B193" i="4"/>
  <c r="V192" i="4"/>
  <c r="U192" i="4"/>
  <c r="S192" i="4"/>
  <c r="B192" i="4"/>
  <c r="V191" i="4"/>
  <c r="U191" i="4"/>
  <c r="S191" i="4"/>
  <c r="B191" i="4"/>
  <c r="V190" i="4"/>
  <c r="U190" i="4"/>
  <c r="S190" i="4"/>
  <c r="B190" i="4"/>
  <c r="V189" i="4"/>
  <c r="U189" i="4"/>
  <c r="S189" i="4"/>
  <c r="B189" i="4"/>
  <c r="V188" i="4"/>
  <c r="U188" i="4"/>
  <c r="S188" i="4"/>
  <c r="B188" i="4"/>
  <c r="V187" i="4"/>
  <c r="U187" i="4"/>
  <c r="S187" i="4"/>
  <c r="B187" i="4"/>
  <c r="V186" i="4"/>
  <c r="U186" i="4"/>
  <c r="S186" i="4"/>
  <c r="B186" i="4"/>
  <c r="V185" i="4"/>
  <c r="U185" i="4"/>
  <c r="S185" i="4"/>
  <c r="B185" i="4"/>
  <c r="V184" i="4"/>
  <c r="U184" i="4"/>
  <c r="S184" i="4"/>
  <c r="B184" i="4"/>
  <c r="V183" i="4"/>
  <c r="U183" i="4"/>
  <c r="S183" i="4"/>
  <c r="B183" i="4"/>
  <c r="V182" i="4"/>
  <c r="U182" i="4"/>
  <c r="S182" i="4"/>
  <c r="B182" i="4"/>
  <c r="V181" i="4"/>
  <c r="U181" i="4"/>
  <c r="S181" i="4"/>
  <c r="B181" i="4"/>
  <c r="V180" i="4"/>
  <c r="U180" i="4"/>
  <c r="S180" i="4"/>
  <c r="B180" i="4"/>
  <c r="V179" i="4"/>
  <c r="U179" i="4"/>
  <c r="S179" i="4"/>
  <c r="B179" i="4"/>
  <c r="V178" i="4"/>
  <c r="U178" i="4"/>
  <c r="S178" i="4"/>
  <c r="B178" i="4"/>
  <c r="V177" i="4"/>
  <c r="U177" i="4"/>
  <c r="S177" i="4"/>
  <c r="B177" i="4"/>
  <c r="V176" i="4"/>
  <c r="U176" i="4"/>
  <c r="S176" i="4"/>
  <c r="B176" i="4"/>
  <c r="V175" i="4"/>
  <c r="U175" i="4"/>
  <c r="S175" i="4"/>
  <c r="B175" i="4"/>
  <c r="V174" i="4"/>
  <c r="U174" i="4"/>
  <c r="S174" i="4"/>
  <c r="B174" i="4"/>
  <c r="V173" i="4"/>
  <c r="U173" i="4"/>
  <c r="S173" i="4"/>
  <c r="B173" i="4"/>
  <c r="V172" i="4"/>
  <c r="U172" i="4"/>
  <c r="S172" i="4"/>
  <c r="B172" i="4"/>
  <c r="V171" i="4"/>
  <c r="U171" i="4"/>
  <c r="S171" i="4"/>
  <c r="B171" i="4"/>
  <c r="V170" i="4"/>
  <c r="U170" i="4"/>
  <c r="S170" i="4"/>
  <c r="B170" i="4"/>
  <c r="V169" i="4"/>
  <c r="U169" i="4"/>
  <c r="S169" i="4"/>
  <c r="B169" i="4"/>
  <c r="V168" i="4"/>
  <c r="U168" i="4"/>
  <c r="S168" i="4"/>
  <c r="B168" i="4"/>
  <c r="V167" i="4"/>
  <c r="U167" i="4"/>
  <c r="S167" i="4"/>
  <c r="B167" i="4"/>
  <c r="V166" i="4"/>
  <c r="U166" i="4"/>
  <c r="S166" i="4"/>
  <c r="B166" i="4"/>
  <c r="V165" i="4"/>
  <c r="U165" i="4"/>
  <c r="S165" i="4"/>
  <c r="B165" i="4"/>
  <c r="V164" i="4"/>
  <c r="U164" i="4"/>
  <c r="S164" i="4"/>
  <c r="B164" i="4"/>
  <c r="V163" i="4"/>
  <c r="U163" i="4"/>
  <c r="S163" i="4"/>
  <c r="B163" i="4"/>
  <c r="V162" i="4"/>
  <c r="U162" i="4"/>
  <c r="S162" i="4"/>
  <c r="B162" i="4"/>
  <c r="V161" i="4"/>
  <c r="U161" i="4"/>
  <c r="S161" i="4"/>
  <c r="B161" i="4"/>
  <c r="V160" i="4"/>
  <c r="U160" i="4"/>
  <c r="R160" i="4"/>
  <c r="P160" i="4"/>
  <c r="O160" i="4"/>
  <c r="N160" i="4"/>
  <c r="M160" i="4"/>
  <c r="G160" i="4"/>
  <c r="I160" i="4" s="1"/>
  <c r="B160" i="4"/>
  <c r="V159" i="4"/>
  <c r="U159" i="4"/>
  <c r="R159" i="4"/>
  <c r="P159" i="4"/>
  <c r="O159" i="4"/>
  <c r="L159" i="4"/>
  <c r="N159" i="4" s="1"/>
  <c r="G159" i="4"/>
  <c r="I159" i="4" s="1"/>
  <c r="B159" i="4"/>
  <c r="J159" i="4" s="1"/>
  <c r="V158" i="4"/>
  <c r="U158" i="4"/>
  <c r="R158" i="4"/>
  <c r="P158" i="4"/>
  <c r="O158" i="4"/>
  <c r="N158" i="4"/>
  <c r="M158" i="4"/>
  <c r="G158" i="4"/>
  <c r="I158" i="4" s="1"/>
  <c r="B158" i="4"/>
  <c r="J158" i="4" s="1"/>
  <c r="V157" i="4"/>
  <c r="U157" i="4"/>
  <c r="R157" i="4"/>
  <c r="P157" i="4"/>
  <c r="O157" i="4"/>
  <c r="N157" i="4"/>
  <c r="M157" i="4"/>
  <c r="G157" i="4"/>
  <c r="I157" i="4" s="1"/>
  <c r="B157" i="4"/>
  <c r="J157" i="4" s="1"/>
  <c r="V156" i="4"/>
  <c r="U156" i="4"/>
  <c r="R156" i="4"/>
  <c r="P156" i="4"/>
  <c r="O156" i="4"/>
  <c r="L156" i="4"/>
  <c r="N156" i="4" s="1"/>
  <c r="G156" i="4"/>
  <c r="I156" i="4" s="1"/>
  <c r="B156" i="4"/>
  <c r="J156" i="4" s="1"/>
  <c r="V155" i="4"/>
  <c r="U155" i="4"/>
  <c r="R155" i="4"/>
  <c r="P155" i="4"/>
  <c r="O155" i="4"/>
  <c r="N155" i="4"/>
  <c r="M155" i="4"/>
  <c r="G155" i="4"/>
  <c r="I155" i="4" s="1"/>
  <c r="B155" i="4"/>
  <c r="V154" i="4"/>
  <c r="U154" i="4"/>
  <c r="R154" i="4"/>
  <c r="P154" i="4"/>
  <c r="O154" i="4"/>
  <c r="N154" i="4"/>
  <c r="M154" i="4"/>
  <c r="G154" i="4"/>
  <c r="I154" i="4" s="1"/>
  <c r="B154" i="4"/>
  <c r="J154" i="4" s="1"/>
  <c r="V153" i="4"/>
  <c r="U153" i="4"/>
  <c r="R153" i="4"/>
  <c r="P153" i="4"/>
  <c r="O153" i="4"/>
  <c r="L153" i="4"/>
  <c r="G153" i="4"/>
  <c r="I153" i="4" s="1"/>
  <c r="B153" i="4"/>
  <c r="J153" i="4" s="1"/>
  <c r="V152" i="4"/>
  <c r="U152" i="4"/>
  <c r="R152" i="4"/>
  <c r="P152" i="4"/>
  <c r="O152" i="4"/>
  <c r="L152" i="4"/>
  <c r="G152" i="4"/>
  <c r="I152" i="4" s="1"/>
  <c r="B152" i="4"/>
  <c r="V151" i="4"/>
  <c r="U151" i="4"/>
  <c r="R151" i="4"/>
  <c r="P151" i="4"/>
  <c r="O151" i="4"/>
  <c r="N151" i="4"/>
  <c r="M151" i="4"/>
  <c r="G151" i="4"/>
  <c r="I151" i="4" s="1"/>
  <c r="B151" i="4"/>
  <c r="J151" i="4" s="1"/>
  <c r="V150" i="4"/>
  <c r="U150" i="4"/>
  <c r="R150" i="4"/>
  <c r="P150" i="4"/>
  <c r="O150" i="4"/>
  <c r="L150" i="4"/>
  <c r="G150" i="4"/>
  <c r="I150" i="4" s="1"/>
  <c r="B150" i="4"/>
  <c r="J150" i="4" s="1"/>
  <c r="V149" i="4"/>
  <c r="U149" i="4"/>
  <c r="R149" i="4"/>
  <c r="P149" i="4"/>
  <c r="O149" i="4"/>
  <c r="L149" i="4"/>
  <c r="N149" i="4" s="1"/>
  <c r="G149" i="4"/>
  <c r="I149" i="4" s="1"/>
  <c r="B149" i="4"/>
  <c r="V148" i="4"/>
  <c r="U148" i="4"/>
  <c r="R148" i="4"/>
  <c r="P148" i="4"/>
  <c r="O148" i="4"/>
  <c r="L148" i="4"/>
  <c r="G148" i="4"/>
  <c r="I148" i="4" s="1"/>
  <c r="B148" i="4"/>
  <c r="J148" i="4" s="1"/>
  <c r="V147" i="4"/>
  <c r="U147" i="4"/>
  <c r="R147" i="4"/>
  <c r="P147" i="4"/>
  <c r="O147" i="4"/>
  <c r="L147" i="4"/>
  <c r="N147" i="4" s="1"/>
  <c r="G147" i="4"/>
  <c r="I147" i="4" s="1"/>
  <c r="B147" i="4"/>
  <c r="J147" i="4" s="1"/>
  <c r="V146" i="4"/>
  <c r="U146" i="4"/>
  <c r="R146" i="4"/>
  <c r="P146" i="4"/>
  <c r="O146" i="4"/>
  <c r="L146" i="4"/>
  <c r="G146" i="4"/>
  <c r="I146" i="4" s="1"/>
  <c r="B146" i="4"/>
  <c r="J146" i="4" s="1"/>
  <c r="V145" i="4"/>
  <c r="U145" i="4"/>
  <c r="R145" i="4"/>
  <c r="P145" i="4"/>
  <c r="O145" i="4"/>
  <c r="N145" i="4"/>
  <c r="M145" i="4"/>
  <c r="G145" i="4"/>
  <c r="I145" i="4" s="1"/>
  <c r="B145" i="4"/>
  <c r="J145" i="4" s="1"/>
  <c r="V144" i="4"/>
  <c r="U144" i="4"/>
  <c r="R144" i="4"/>
  <c r="P144" i="4"/>
  <c r="O144" i="4"/>
  <c r="N144" i="4"/>
  <c r="M144" i="4"/>
  <c r="G144" i="4"/>
  <c r="I144" i="4" s="1"/>
  <c r="B144" i="4"/>
  <c r="J144" i="4" s="1"/>
  <c r="V143" i="4"/>
  <c r="U143" i="4"/>
  <c r="R143" i="4"/>
  <c r="P143" i="4"/>
  <c r="O143" i="4"/>
  <c r="N143" i="4"/>
  <c r="M143" i="4"/>
  <c r="G143" i="4"/>
  <c r="I143" i="4" s="1"/>
  <c r="B143" i="4"/>
  <c r="J143" i="4" s="1"/>
  <c r="V142" i="4"/>
  <c r="U142" i="4"/>
  <c r="R142" i="4"/>
  <c r="P142" i="4"/>
  <c r="O142" i="4"/>
  <c r="N142" i="4"/>
  <c r="M142" i="4"/>
  <c r="G142" i="4"/>
  <c r="I142" i="4" s="1"/>
  <c r="B142" i="4"/>
  <c r="J142" i="4" s="1"/>
  <c r="V141" i="4"/>
  <c r="U141" i="4"/>
  <c r="R141" i="4"/>
  <c r="P141" i="4"/>
  <c r="O141" i="4"/>
  <c r="L141" i="4"/>
  <c r="M141" i="4" s="1"/>
  <c r="G141" i="4"/>
  <c r="I141" i="4" s="1"/>
  <c r="B141" i="4"/>
  <c r="J141" i="4" s="1"/>
  <c r="V140" i="4"/>
  <c r="U140" i="4"/>
  <c r="R140" i="4"/>
  <c r="P140" i="4"/>
  <c r="O140" i="4"/>
  <c r="L140" i="4"/>
  <c r="M140" i="4" s="1"/>
  <c r="G140" i="4"/>
  <c r="I140" i="4" s="1"/>
  <c r="B140" i="4"/>
  <c r="J140" i="4" s="1"/>
  <c r="V139" i="4"/>
  <c r="U139" i="4"/>
  <c r="B139" i="4"/>
  <c r="V138" i="4"/>
  <c r="U138" i="4"/>
  <c r="R138" i="4"/>
  <c r="P138" i="4"/>
  <c r="O138" i="4"/>
  <c r="N138" i="4"/>
  <c r="M138" i="4"/>
  <c r="G138" i="4"/>
  <c r="I138" i="4" s="1"/>
  <c r="B138" i="4"/>
  <c r="J138" i="4" s="1"/>
  <c r="V137" i="4"/>
  <c r="U137" i="4"/>
  <c r="R137" i="4"/>
  <c r="P137" i="4"/>
  <c r="O137" i="4"/>
  <c r="L137" i="4"/>
  <c r="N137" i="4" s="1"/>
  <c r="G137" i="4"/>
  <c r="I137" i="4" s="1"/>
  <c r="B137" i="4"/>
  <c r="J137" i="4" s="1"/>
  <c r="V136" i="4"/>
  <c r="U136" i="4"/>
  <c r="R136" i="4"/>
  <c r="P136" i="4"/>
  <c r="O136" i="4"/>
  <c r="L136" i="4"/>
  <c r="G136" i="4"/>
  <c r="I136" i="4" s="1"/>
  <c r="B136" i="4"/>
  <c r="J136" i="4" s="1"/>
  <c r="V135" i="4"/>
  <c r="U135" i="4"/>
  <c r="R135" i="4"/>
  <c r="P135" i="4"/>
  <c r="O135" i="4"/>
  <c r="N135" i="4"/>
  <c r="M135" i="4"/>
  <c r="G135" i="4"/>
  <c r="I135" i="4" s="1"/>
  <c r="B135" i="4"/>
  <c r="J135" i="4" s="1"/>
  <c r="V134" i="4"/>
  <c r="U134" i="4"/>
  <c r="R134" i="4"/>
  <c r="P134" i="4"/>
  <c r="O134" i="4"/>
  <c r="N134" i="4"/>
  <c r="M134" i="4"/>
  <c r="G134" i="4"/>
  <c r="I134" i="4" s="1"/>
  <c r="B134" i="4"/>
  <c r="J134" i="4" s="1"/>
  <c r="V133" i="4"/>
  <c r="U133" i="4"/>
  <c r="R133" i="4"/>
  <c r="P133" i="4"/>
  <c r="O133" i="4"/>
  <c r="L133" i="4"/>
  <c r="M133" i="4" s="1"/>
  <c r="G133" i="4"/>
  <c r="I133" i="4" s="1"/>
  <c r="B133" i="4"/>
  <c r="J133" i="4" s="1"/>
  <c r="V132" i="4"/>
  <c r="U132" i="4"/>
  <c r="R132" i="4"/>
  <c r="P132" i="4"/>
  <c r="O132" i="4"/>
  <c r="N132" i="4"/>
  <c r="M132" i="4"/>
  <c r="G132" i="4"/>
  <c r="I132" i="4" s="1"/>
  <c r="B132" i="4"/>
  <c r="V131" i="4"/>
  <c r="U131" i="4"/>
  <c r="R131" i="4"/>
  <c r="P131" i="4"/>
  <c r="O131" i="4"/>
  <c r="L131" i="4"/>
  <c r="M131" i="4" s="1"/>
  <c r="G131" i="4"/>
  <c r="I131" i="4" s="1"/>
  <c r="B131" i="4"/>
  <c r="J131" i="4" s="1"/>
  <c r="V130" i="4"/>
  <c r="U130" i="4"/>
  <c r="R130" i="4"/>
  <c r="P130" i="4"/>
  <c r="O130" i="4"/>
  <c r="N130" i="4"/>
  <c r="M130" i="4"/>
  <c r="G130" i="4"/>
  <c r="I130" i="4" s="1"/>
  <c r="B130" i="4"/>
  <c r="V129" i="4"/>
  <c r="U129" i="4"/>
  <c r="R129" i="4"/>
  <c r="P129" i="4"/>
  <c r="O129" i="4"/>
  <c r="L129" i="4"/>
  <c r="N129" i="4" s="1"/>
  <c r="G129" i="4"/>
  <c r="I129" i="4" s="1"/>
  <c r="B129" i="4"/>
  <c r="V128" i="4"/>
  <c r="U128" i="4"/>
  <c r="R128" i="4"/>
  <c r="P128" i="4"/>
  <c r="O128" i="4"/>
  <c r="L128" i="4"/>
  <c r="N128" i="4" s="1"/>
  <c r="G128" i="4"/>
  <c r="I128" i="4" s="1"/>
  <c r="B128" i="4"/>
  <c r="J128" i="4" s="1"/>
  <c r="V127" i="4"/>
  <c r="U127" i="4"/>
  <c r="R127" i="4"/>
  <c r="P127" i="4"/>
  <c r="O127" i="4"/>
  <c r="N127" i="4"/>
  <c r="M127" i="4"/>
  <c r="G127" i="4"/>
  <c r="I127" i="4" s="1"/>
  <c r="B127" i="4"/>
  <c r="V126" i="4"/>
  <c r="U126" i="4"/>
  <c r="R126" i="4"/>
  <c r="P126" i="4"/>
  <c r="O126" i="4"/>
  <c r="L126" i="4"/>
  <c r="M126" i="4" s="1"/>
  <c r="G126" i="4"/>
  <c r="I126" i="4" s="1"/>
  <c r="B126" i="4"/>
  <c r="J126" i="4" s="1"/>
  <c r="V125" i="4"/>
  <c r="U125" i="4"/>
  <c r="R125" i="4"/>
  <c r="P125" i="4"/>
  <c r="O125" i="4"/>
  <c r="L125" i="4"/>
  <c r="N125" i="4" s="1"/>
  <c r="G125" i="4"/>
  <c r="I125" i="4" s="1"/>
  <c r="B125" i="4"/>
  <c r="V124" i="4"/>
  <c r="U124" i="4"/>
  <c r="R124" i="4"/>
  <c r="P124" i="4"/>
  <c r="O124" i="4"/>
  <c r="N124" i="4"/>
  <c r="M124" i="4"/>
  <c r="G124" i="4"/>
  <c r="I124" i="4" s="1"/>
  <c r="B124" i="4"/>
  <c r="V123" i="4"/>
  <c r="U123" i="4"/>
  <c r="R123" i="4"/>
  <c r="P123" i="4"/>
  <c r="O123" i="4"/>
  <c r="L123" i="4"/>
  <c r="N123" i="4" s="1"/>
  <c r="G123" i="4"/>
  <c r="I123" i="4" s="1"/>
  <c r="B123" i="4"/>
  <c r="V122" i="4"/>
  <c r="U122" i="4"/>
  <c r="R122" i="4"/>
  <c r="P122" i="4"/>
  <c r="O122" i="4"/>
  <c r="L122" i="4"/>
  <c r="N122" i="4" s="1"/>
  <c r="G122" i="4"/>
  <c r="I122" i="4" s="1"/>
  <c r="B122" i="4"/>
  <c r="J122" i="4" s="1"/>
  <c r="V121" i="4"/>
  <c r="U121" i="4"/>
  <c r="R121" i="4"/>
  <c r="P121" i="4"/>
  <c r="O121" i="4"/>
  <c r="N121" i="4"/>
  <c r="M121" i="4"/>
  <c r="G121" i="4"/>
  <c r="I121" i="4" s="1"/>
  <c r="B121" i="4"/>
  <c r="V120" i="4"/>
  <c r="U120" i="4"/>
  <c r="R120" i="4"/>
  <c r="P120" i="4"/>
  <c r="O120" i="4"/>
  <c r="L120" i="4"/>
  <c r="M120" i="4" s="1"/>
  <c r="G120" i="4"/>
  <c r="I120" i="4" s="1"/>
  <c r="B120" i="4"/>
  <c r="J120" i="4" s="1"/>
  <c r="V119" i="4"/>
  <c r="U119" i="4"/>
  <c r="R119" i="4"/>
  <c r="P119" i="4"/>
  <c r="O119" i="4"/>
  <c r="L119" i="4"/>
  <c r="M119" i="4" s="1"/>
  <c r="G119" i="4"/>
  <c r="I119" i="4" s="1"/>
  <c r="B119" i="4"/>
  <c r="J119" i="4" s="1"/>
  <c r="V118" i="4"/>
  <c r="U118" i="4"/>
  <c r="R118" i="4"/>
  <c r="P118" i="4"/>
  <c r="O118" i="4"/>
  <c r="N118" i="4"/>
  <c r="M118" i="4"/>
  <c r="G118" i="4"/>
  <c r="I118" i="4" s="1"/>
  <c r="B118" i="4"/>
  <c r="V117" i="4"/>
  <c r="U117" i="4"/>
  <c r="R117" i="4"/>
  <c r="P117" i="4"/>
  <c r="O117" i="4"/>
  <c r="L117" i="4"/>
  <c r="N117" i="4" s="1"/>
  <c r="G117" i="4"/>
  <c r="I117" i="4" s="1"/>
  <c r="B117" i="4"/>
  <c r="J117" i="4" s="1"/>
  <c r="V116" i="4"/>
  <c r="U116" i="4"/>
  <c r="R116" i="4"/>
  <c r="P116" i="4"/>
  <c r="O116" i="4"/>
  <c r="N116" i="4"/>
  <c r="M116" i="4"/>
  <c r="G116" i="4"/>
  <c r="I116" i="4" s="1"/>
  <c r="B116" i="4"/>
  <c r="J116" i="4" s="1"/>
  <c r="V115" i="4"/>
  <c r="U115" i="4"/>
  <c r="R115" i="4"/>
  <c r="P115" i="4"/>
  <c r="O115" i="4"/>
  <c r="N115" i="4"/>
  <c r="M115" i="4"/>
  <c r="G115" i="4"/>
  <c r="I115" i="4" s="1"/>
  <c r="B115" i="4"/>
  <c r="V114" i="4"/>
  <c r="U114" i="4"/>
  <c r="R114" i="4"/>
  <c r="P114" i="4"/>
  <c r="O114" i="4"/>
  <c r="L114" i="4"/>
  <c r="N114" i="4" s="1"/>
  <c r="G114" i="4"/>
  <c r="I114" i="4" s="1"/>
  <c r="B114" i="4"/>
  <c r="J114" i="4" s="1"/>
  <c r="V113" i="4"/>
  <c r="U113" i="4"/>
  <c r="B113" i="4"/>
  <c r="V112" i="4"/>
  <c r="U112" i="4"/>
  <c r="R112" i="4"/>
  <c r="P112" i="4"/>
  <c r="O112" i="4"/>
  <c r="L112" i="4"/>
  <c r="N112" i="4" s="1"/>
  <c r="G112" i="4"/>
  <c r="I112" i="4" s="1"/>
  <c r="B112" i="4"/>
  <c r="V111" i="4"/>
  <c r="U111" i="4"/>
  <c r="R111" i="4"/>
  <c r="P111" i="4"/>
  <c r="O111" i="4"/>
  <c r="N111" i="4"/>
  <c r="M111" i="4"/>
  <c r="G111" i="4"/>
  <c r="I111" i="4" s="1"/>
  <c r="B111" i="4"/>
  <c r="J111" i="4" s="1"/>
  <c r="V110" i="4"/>
  <c r="U110" i="4"/>
  <c r="R110" i="4"/>
  <c r="P110" i="4"/>
  <c r="O110" i="4"/>
  <c r="L110" i="4"/>
  <c r="G110" i="4"/>
  <c r="I110" i="4" s="1"/>
  <c r="B110" i="4"/>
  <c r="J110" i="4" s="1"/>
  <c r="V109" i="4"/>
  <c r="U109" i="4"/>
  <c r="R109" i="4"/>
  <c r="P109" i="4"/>
  <c r="O109" i="4"/>
  <c r="L109" i="4"/>
  <c r="N109" i="4" s="1"/>
  <c r="G109" i="4"/>
  <c r="I109" i="4" s="1"/>
  <c r="B109" i="4"/>
  <c r="V108" i="4"/>
  <c r="U108" i="4"/>
  <c r="R108" i="4"/>
  <c r="P108" i="4"/>
  <c r="O108" i="4"/>
  <c r="L108" i="4"/>
  <c r="M108" i="4" s="1"/>
  <c r="G108" i="4"/>
  <c r="I108" i="4" s="1"/>
  <c r="B108" i="4"/>
  <c r="J108" i="4" s="1"/>
  <c r="V107" i="4"/>
  <c r="U107" i="4"/>
  <c r="R107" i="4"/>
  <c r="P107" i="4"/>
  <c r="O107" i="4"/>
  <c r="L107" i="4"/>
  <c r="M107" i="4" s="1"/>
  <c r="G107" i="4"/>
  <c r="I107" i="4" s="1"/>
  <c r="B107" i="4"/>
  <c r="J107" i="4" s="1"/>
  <c r="V106" i="4"/>
  <c r="U106" i="4"/>
  <c r="R106" i="4"/>
  <c r="P106" i="4"/>
  <c r="O106" i="4"/>
  <c r="L106" i="4"/>
  <c r="G106" i="4"/>
  <c r="I106" i="4" s="1"/>
  <c r="B106" i="4"/>
  <c r="J106" i="4" s="1"/>
  <c r="V105" i="4"/>
  <c r="U105" i="4"/>
  <c r="R105" i="4"/>
  <c r="P105" i="4"/>
  <c r="O105" i="4"/>
  <c r="N105" i="4"/>
  <c r="M105" i="4"/>
  <c r="G105" i="4"/>
  <c r="I105" i="4" s="1"/>
  <c r="B105" i="4"/>
  <c r="J105" i="4" s="1"/>
  <c r="V104" i="4"/>
  <c r="U104" i="4"/>
  <c r="R104" i="4"/>
  <c r="P104" i="4"/>
  <c r="O104" i="4"/>
  <c r="N104" i="4"/>
  <c r="M104" i="4"/>
  <c r="G104" i="4"/>
  <c r="I104" i="4" s="1"/>
  <c r="B104" i="4"/>
  <c r="J104" i="4" s="1"/>
  <c r="V103" i="4"/>
  <c r="U103" i="4"/>
  <c r="R103" i="4"/>
  <c r="P103" i="4"/>
  <c r="O103" i="4"/>
  <c r="L103" i="4"/>
  <c r="N103" i="4" s="1"/>
  <c r="G103" i="4"/>
  <c r="I103" i="4" s="1"/>
  <c r="B103" i="4"/>
  <c r="V102" i="4"/>
  <c r="U102" i="4"/>
  <c r="R102" i="4"/>
  <c r="P102" i="4"/>
  <c r="O102" i="4"/>
  <c r="L102" i="4"/>
  <c r="M102" i="4" s="1"/>
  <c r="G102" i="4"/>
  <c r="I102" i="4" s="1"/>
  <c r="B102" i="4"/>
  <c r="J102" i="4" s="1"/>
  <c r="V101" i="4"/>
  <c r="U101" i="4"/>
  <c r="R101" i="4"/>
  <c r="P101" i="4"/>
  <c r="O101" i="4"/>
  <c r="L101" i="4"/>
  <c r="M101" i="4" s="1"/>
  <c r="G101" i="4"/>
  <c r="I101" i="4" s="1"/>
  <c r="B101" i="4"/>
  <c r="J101" i="4" s="1"/>
  <c r="V100" i="4"/>
  <c r="U100" i="4"/>
  <c r="R100" i="4"/>
  <c r="P100" i="4"/>
  <c r="O100" i="4"/>
  <c r="L100" i="4"/>
  <c r="G100" i="4"/>
  <c r="I100" i="4" s="1"/>
  <c r="B100" i="4"/>
  <c r="J100" i="4" s="1"/>
  <c r="V99" i="4"/>
  <c r="U99" i="4"/>
  <c r="B99" i="4"/>
  <c r="V98" i="4"/>
  <c r="U98" i="4"/>
  <c r="R98" i="4"/>
  <c r="P98" i="4"/>
  <c r="O98" i="4"/>
  <c r="N98" i="4"/>
  <c r="M98" i="4"/>
  <c r="G98" i="4"/>
  <c r="I98" i="4" s="1"/>
  <c r="B98" i="4"/>
  <c r="J98" i="4" s="1"/>
  <c r="V97" i="4"/>
  <c r="U97" i="4"/>
  <c r="R97" i="4"/>
  <c r="P97" i="4"/>
  <c r="O97" i="4"/>
  <c r="N97" i="4"/>
  <c r="M97" i="4"/>
  <c r="G97" i="4"/>
  <c r="I97" i="4" s="1"/>
  <c r="B97" i="4"/>
  <c r="V96" i="4"/>
  <c r="U96" i="4"/>
  <c r="R96" i="4"/>
  <c r="P96" i="4"/>
  <c r="O96" i="4"/>
  <c r="N96" i="4"/>
  <c r="M96" i="4"/>
  <c r="G96" i="4"/>
  <c r="I96" i="4" s="1"/>
  <c r="B96" i="4"/>
  <c r="J96" i="4" s="1"/>
  <c r="V95" i="4"/>
  <c r="U95" i="4"/>
  <c r="R95" i="4"/>
  <c r="P95" i="4"/>
  <c r="O95" i="4"/>
  <c r="N95" i="4"/>
  <c r="M95" i="4"/>
  <c r="G95" i="4"/>
  <c r="I95" i="4" s="1"/>
  <c r="B95" i="4"/>
  <c r="V94" i="4"/>
  <c r="U94" i="4"/>
  <c r="R94" i="4"/>
  <c r="P94" i="4"/>
  <c r="O94" i="4"/>
  <c r="L94" i="4"/>
  <c r="M94" i="4" s="1"/>
  <c r="G94" i="4"/>
  <c r="I94" i="4" s="1"/>
  <c r="B94" i="4"/>
  <c r="J94" i="4" s="1"/>
  <c r="V93" i="4"/>
  <c r="U93" i="4"/>
  <c r="R93" i="4"/>
  <c r="P93" i="4"/>
  <c r="O93" i="4"/>
  <c r="L93" i="4"/>
  <c r="M93" i="4" s="1"/>
  <c r="G93" i="4"/>
  <c r="I93" i="4" s="1"/>
  <c r="B93" i="4"/>
  <c r="J93" i="4" s="1"/>
  <c r="V92" i="4"/>
  <c r="U92" i="4"/>
  <c r="R92" i="4"/>
  <c r="P92" i="4"/>
  <c r="O92" i="4"/>
  <c r="N92" i="4"/>
  <c r="M92" i="4"/>
  <c r="G92" i="4"/>
  <c r="I92" i="4" s="1"/>
  <c r="B92" i="4"/>
  <c r="V91" i="4"/>
  <c r="U91" i="4"/>
  <c r="R91" i="4"/>
  <c r="P91" i="4"/>
  <c r="O91" i="4"/>
  <c r="L91" i="4"/>
  <c r="N91" i="4" s="1"/>
  <c r="G91" i="4"/>
  <c r="I91" i="4" s="1"/>
  <c r="B91" i="4"/>
  <c r="J91" i="4" s="1"/>
  <c r="V90" i="4"/>
  <c r="U90" i="4"/>
  <c r="R90" i="4"/>
  <c r="P90" i="4"/>
  <c r="O90" i="4"/>
  <c r="N90" i="4"/>
  <c r="M90" i="4"/>
  <c r="G90" i="4"/>
  <c r="I90" i="4" s="1"/>
  <c r="B90" i="4"/>
  <c r="J90" i="4" s="1"/>
  <c r="V89" i="4"/>
  <c r="U89" i="4"/>
  <c r="R89" i="4"/>
  <c r="P89" i="4"/>
  <c r="O89" i="4"/>
  <c r="L89" i="4"/>
  <c r="N89" i="4" s="1"/>
  <c r="G89" i="4"/>
  <c r="I89" i="4" s="1"/>
  <c r="B89" i="4"/>
  <c r="V88" i="4"/>
  <c r="U88" i="4"/>
  <c r="B88" i="4"/>
  <c r="V87" i="4"/>
  <c r="U87" i="4"/>
  <c r="R87" i="4"/>
  <c r="P87" i="4"/>
  <c r="O87" i="4"/>
  <c r="N87" i="4"/>
  <c r="M87" i="4"/>
  <c r="G87" i="4"/>
  <c r="I87" i="4" s="1"/>
  <c r="B87" i="4"/>
  <c r="J87" i="4" s="1"/>
  <c r="V86" i="4"/>
  <c r="U86" i="4"/>
  <c r="R86" i="4"/>
  <c r="P86" i="4"/>
  <c r="O86" i="4"/>
  <c r="L86" i="4"/>
  <c r="N86" i="4" s="1"/>
  <c r="G86" i="4"/>
  <c r="I86" i="4" s="1"/>
  <c r="B86" i="4"/>
  <c r="V85" i="4"/>
  <c r="U85" i="4"/>
  <c r="R85" i="4"/>
  <c r="P85" i="4"/>
  <c r="O85" i="4"/>
  <c r="L85" i="4"/>
  <c r="N85" i="4" s="1"/>
  <c r="G85" i="4"/>
  <c r="I85" i="4" s="1"/>
  <c r="B85" i="4"/>
  <c r="V84" i="4"/>
  <c r="U84" i="4"/>
  <c r="R84" i="4"/>
  <c r="P84" i="4"/>
  <c r="O84" i="4"/>
  <c r="L84" i="4"/>
  <c r="N84" i="4" s="1"/>
  <c r="G84" i="4"/>
  <c r="I84" i="4" s="1"/>
  <c r="B84" i="4"/>
  <c r="J84" i="4" s="1"/>
  <c r="V83" i="4"/>
  <c r="U83" i="4"/>
  <c r="R83" i="4"/>
  <c r="P83" i="4"/>
  <c r="O83" i="4"/>
  <c r="N83" i="4"/>
  <c r="M83" i="4"/>
  <c r="G83" i="4"/>
  <c r="I83" i="4" s="1"/>
  <c r="B83" i="4"/>
  <c r="V82" i="4"/>
  <c r="U82" i="4"/>
  <c r="R82" i="4"/>
  <c r="P82" i="4"/>
  <c r="O82" i="4"/>
  <c r="N82" i="4"/>
  <c r="M82" i="4"/>
  <c r="G82" i="4"/>
  <c r="I82" i="4" s="1"/>
  <c r="B82" i="4"/>
  <c r="J82" i="4" s="1"/>
  <c r="V81" i="4"/>
  <c r="U81" i="4"/>
  <c r="R81" i="4"/>
  <c r="P81" i="4"/>
  <c r="O81" i="4"/>
  <c r="L81" i="4"/>
  <c r="G81" i="4"/>
  <c r="I81" i="4" s="1"/>
  <c r="B81" i="4"/>
  <c r="J81" i="4" s="1"/>
  <c r="V80" i="4"/>
  <c r="U80" i="4"/>
  <c r="R80" i="4"/>
  <c r="P80" i="4"/>
  <c r="O80" i="4"/>
  <c r="N80" i="4"/>
  <c r="M80" i="4"/>
  <c r="G80" i="4"/>
  <c r="I80" i="4" s="1"/>
  <c r="B80" i="4"/>
  <c r="J80" i="4" s="1"/>
  <c r="V79" i="4"/>
  <c r="U79" i="4"/>
  <c r="R79" i="4"/>
  <c r="P79" i="4"/>
  <c r="O79" i="4"/>
  <c r="L79" i="4"/>
  <c r="N79" i="4" s="1"/>
  <c r="G79" i="4"/>
  <c r="I79" i="4" s="1"/>
  <c r="B79" i="4"/>
  <c r="J79" i="4" s="1"/>
  <c r="V78" i="4"/>
  <c r="U78" i="4"/>
  <c r="R78" i="4"/>
  <c r="P78" i="4"/>
  <c r="O78" i="4"/>
  <c r="L78" i="4"/>
  <c r="G78" i="4"/>
  <c r="I78" i="4" s="1"/>
  <c r="B78" i="4"/>
  <c r="J78" i="4" s="1"/>
  <c r="V77" i="4"/>
  <c r="U77" i="4"/>
  <c r="R77" i="4"/>
  <c r="P77" i="4"/>
  <c r="O77" i="4"/>
  <c r="L77" i="4"/>
  <c r="G77" i="4"/>
  <c r="I77" i="4" s="1"/>
  <c r="B77" i="4"/>
  <c r="V76" i="4"/>
  <c r="U76" i="4"/>
  <c r="R76" i="4"/>
  <c r="P76" i="4"/>
  <c r="O76" i="4"/>
  <c r="N76" i="4"/>
  <c r="M76" i="4"/>
  <c r="G76" i="4"/>
  <c r="I76" i="4" s="1"/>
  <c r="B76" i="4"/>
  <c r="J76" i="4" s="1"/>
  <c r="V75" i="4"/>
  <c r="U75" i="4"/>
  <c r="R75" i="4"/>
  <c r="P75" i="4"/>
  <c r="O75" i="4"/>
  <c r="L75" i="4"/>
  <c r="N75" i="4" s="1"/>
  <c r="G75" i="4"/>
  <c r="I75" i="4" s="1"/>
  <c r="B75" i="4"/>
  <c r="J75" i="4" s="1"/>
  <c r="V74" i="4"/>
  <c r="U74" i="4"/>
  <c r="R74" i="4"/>
  <c r="P74" i="4"/>
  <c r="O74" i="4"/>
  <c r="L74" i="4"/>
  <c r="G74" i="4"/>
  <c r="I74" i="4" s="1"/>
  <c r="B74" i="4"/>
  <c r="V73" i="4"/>
  <c r="U73" i="4"/>
  <c r="R73" i="4"/>
  <c r="P73" i="4"/>
  <c r="O73" i="4"/>
  <c r="L73" i="4"/>
  <c r="N73" i="4" s="1"/>
  <c r="G73" i="4"/>
  <c r="I73" i="4" s="1"/>
  <c r="B73" i="4"/>
  <c r="V72" i="4"/>
  <c r="U72" i="4"/>
  <c r="R72" i="4"/>
  <c r="P72" i="4"/>
  <c r="O72" i="4"/>
  <c r="L72" i="4"/>
  <c r="N72" i="4" s="1"/>
  <c r="G72" i="4"/>
  <c r="I72" i="4" s="1"/>
  <c r="B72" i="4"/>
  <c r="J72" i="4" s="1"/>
  <c r="V71" i="4"/>
  <c r="U71" i="4"/>
  <c r="R71" i="4"/>
  <c r="P71" i="4"/>
  <c r="O71" i="4"/>
  <c r="L71" i="4"/>
  <c r="N71" i="4" s="1"/>
  <c r="G71" i="4"/>
  <c r="I71" i="4" s="1"/>
  <c r="B71" i="4"/>
  <c r="J71" i="4" s="1"/>
  <c r="V70" i="4"/>
  <c r="U70" i="4"/>
  <c r="R70" i="4"/>
  <c r="P70" i="4"/>
  <c r="O70" i="4"/>
  <c r="N70" i="4"/>
  <c r="M70" i="4"/>
  <c r="G70" i="4"/>
  <c r="I70" i="4" s="1"/>
  <c r="B70" i="4"/>
  <c r="J70" i="4" s="1"/>
  <c r="V69" i="4"/>
  <c r="U69" i="4"/>
  <c r="R69" i="4"/>
  <c r="P69" i="4"/>
  <c r="O69" i="4"/>
  <c r="L69" i="4"/>
  <c r="N69" i="4" s="1"/>
  <c r="G69" i="4"/>
  <c r="I69" i="4" s="1"/>
  <c r="B69" i="4"/>
  <c r="J69" i="4" s="1"/>
  <c r="V68" i="4"/>
  <c r="U68" i="4"/>
  <c r="R68" i="4"/>
  <c r="P68" i="4"/>
  <c r="O68" i="4"/>
  <c r="N68" i="4"/>
  <c r="M68" i="4"/>
  <c r="G68" i="4"/>
  <c r="I68" i="4" s="1"/>
  <c r="B68" i="4"/>
  <c r="J68" i="4" s="1"/>
  <c r="V67" i="4"/>
  <c r="U67" i="4"/>
  <c r="R67" i="4"/>
  <c r="P67" i="4"/>
  <c r="O67" i="4"/>
  <c r="L67" i="4"/>
  <c r="M67" i="4" s="1"/>
  <c r="G67" i="4"/>
  <c r="I67" i="4" s="1"/>
  <c r="B67" i="4"/>
  <c r="V66" i="4"/>
  <c r="U66" i="4"/>
  <c r="R66" i="4"/>
  <c r="P66" i="4"/>
  <c r="O66" i="4"/>
  <c r="L66" i="4"/>
  <c r="M66" i="4" s="1"/>
  <c r="G66" i="4"/>
  <c r="I66" i="4" s="1"/>
  <c r="B66" i="4"/>
  <c r="J66" i="4" s="1"/>
  <c r="V65" i="4"/>
  <c r="U65" i="4"/>
  <c r="R65" i="4"/>
  <c r="P65" i="4"/>
  <c r="O65" i="4"/>
  <c r="N65" i="4"/>
  <c r="M65" i="4"/>
  <c r="G65" i="4"/>
  <c r="I65" i="4" s="1"/>
  <c r="B65" i="4"/>
  <c r="J65" i="4" s="1"/>
  <c r="V64" i="4"/>
  <c r="U64" i="4"/>
  <c r="R64" i="4"/>
  <c r="P64" i="4"/>
  <c r="O64" i="4"/>
  <c r="L64" i="4"/>
  <c r="M64" i="4" s="1"/>
  <c r="G64" i="4"/>
  <c r="I64" i="4" s="1"/>
  <c r="B64" i="4"/>
  <c r="V63" i="4"/>
  <c r="U63" i="4"/>
  <c r="R63" i="4"/>
  <c r="P63" i="4"/>
  <c r="O63" i="4"/>
  <c r="L63" i="4"/>
  <c r="N63" i="4" s="1"/>
  <c r="G63" i="4"/>
  <c r="I63" i="4" s="1"/>
  <c r="B63" i="4"/>
  <c r="J63" i="4" s="1"/>
  <c r="V62" i="4"/>
  <c r="U62" i="4"/>
  <c r="R62" i="4"/>
  <c r="P62" i="4"/>
  <c r="O62" i="4"/>
  <c r="N62" i="4"/>
  <c r="M62" i="4"/>
  <c r="G62" i="4"/>
  <c r="I62" i="4" s="1"/>
  <c r="B62" i="4"/>
  <c r="J62" i="4" s="1"/>
  <c r="V61" i="4"/>
  <c r="U61" i="4"/>
  <c r="R61" i="4"/>
  <c r="P61" i="4"/>
  <c r="O61" i="4"/>
  <c r="N61" i="4"/>
  <c r="M61" i="4"/>
  <c r="G61" i="4"/>
  <c r="I61" i="4" s="1"/>
  <c r="B61" i="4"/>
  <c r="V60" i="4"/>
  <c r="U60" i="4"/>
  <c r="R60" i="4"/>
  <c r="P60" i="4"/>
  <c r="O60" i="4"/>
  <c r="N60" i="4"/>
  <c r="M60" i="4"/>
  <c r="G60" i="4"/>
  <c r="I60" i="4" s="1"/>
  <c r="B60" i="4"/>
  <c r="J60" i="4" s="1"/>
  <c r="V59" i="4"/>
  <c r="U59" i="4"/>
  <c r="R59" i="4"/>
  <c r="P59" i="4"/>
  <c r="O59" i="4"/>
  <c r="L59" i="4"/>
  <c r="M59" i="4" s="1"/>
  <c r="G59" i="4"/>
  <c r="I59" i="4" s="1"/>
  <c r="B59" i="4"/>
  <c r="V58" i="4"/>
  <c r="U58" i="4"/>
  <c r="R58" i="4"/>
  <c r="P58" i="4"/>
  <c r="O58" i="4"/>
  <c r="L58" i="4"/>
  <c r="M58" i="4" s="1"/>
  <c r="G58" i="4"/>
  <c r="I58" i="4" s="1"/>
  <c r="B58" i="4"/>
  <c r="J58" i="4" s="1"/>
  <c r="V57" i="4"/>
  <c r="U57" i="4"/>
  <c r="R57" i="4"/>
  <c r="P57" i="4"/>
  <c r="O57" i="4"/>
  <c r="N57" i="4"/>
  <c r="M57" i="4"/>
  <c r="G57" i="4"/>
  <c r="I57" i="4" s="1"/>
  <c r="B57" i="4"/>
  <c r="J57" i="4" s="1"/>
  <c r="V56" i="4"/>
  <c r="U56" i="4"/>
  <c r="R56" i="4"/>
  <c r="P56" i="4"/>
  <c r="O56" i="4"/>
  <c r="N56" i="4"/>
  <c r="M56" i="4"/>
  <c r="G56" i="4"/>
  <c r="I56" i="4" s="1"/>
  <c r="B56" i="4"/>
  <c r="J56" i="4" s="1"/>
  <c r="V55" i="4"/>
  <c r="U55" i="4"/>
  <c r="R55" i="4"/>
  <c r="P55" i="4"/>
  <c r="O55" i="4"/>
  <c r="L55" i="4"/>
  <c r="N55" i="4" s="1"/>
  <c r="G55" i="4"/>
  <c r="I55" i="4" s="1"/>
  <c r="B55" i="4"/>
  <c r="J55" i="4" s="1"/>
  <c r="V54" i="4"/>
  <c r="U54" i="4"/>
  <c r="R54" i="4"/>
  <c r="P54" i="4"/>
  <c r="O54" i="4"/>
  <c r="N54" i="4"/>
  <c r="M54" i="4"/>
  <c r="G54" i="4"/>
  <c r="I54" i="4" s="1"/>
  <c r="B54" i="4"/>
  <c r="V53" i="4"/>
  <c r="U53" i="4"/>
  <c r="R53" i="4"/>
  <c r="P53" i="4"/>
  <c r="O53" i="4"/>
  <c r="L53" i="4"/>
  <c r="M53" i="4" s="1"/>
  <c r="G53" i="4"/>
  <c r="I53" i="4" s="1"/>
  <c r="B53" i="4"/>
  <c r="J53" i="4" s="1"/>
  <c r="V52" i="4"/>
  <c r="U52" i="4"/>
  <c r="R52" i="4"/>
  <c r="P52" i="4"/>
  <c r="O52" i="4"/>
  <c r="L52" i="4"/>
  <c r="N52" i="4" s="1"/>
  <c r="G52" i="4"/>
  <c r="I52" i="4" s="1"/>
  <c r="B52" i="4"/>
  <c r="J52" i="4" s="1"/>
  <c r="V51" i="4"/>
  <c r="U51" i="4"/>
  <c r="R51" i="4"/>
  <c r="P51" i="4"/>
  <c r="O51" i="4"/>
  <c r="L51" i="4"/>
  <c r="N51" i="4" s="1"/>
  <c r="G51" i="4"/>
  <c r="I51" i="4" s="1"/>
  <c r="B51" i="4"/>
  <c r="J51" i="4" s="1"/>
  <c r="V50" i="4"/>
  <c r="U50" i="4"/>
  <c r="R50" i="4"/>
  <c r="P50" i="4"/>
  <c r="O50" i="4"/>
  <c r="L50" i="4"/>
  <c r="M50" i="4" s="1"/>
  <c r="G50" i="4"/>
  <c r="I50" i="4" s="1"/>
  <c r="B50" i="4"/>
  <c r="V49" i="4"/>
  <c r="U49" i="4"/>
  <c r="B49" i="4"/>
  <c r="V48" i="4"/>
  <c r="U48" i="4"/>
  <c r="R48" i="4"/>
  <c r="P48" i="4"/>
  <c r="O48" i="4"/>
  <c r="N48" i="4"/>
  <c r="M48" i="4"/>
  <c r="G48" i="4"/>
  <c r="I48" i="4" s="1"/>
  <c r="B48" i="4"/>
  <c r="J48" i="4" s="1"/>
  <c r="V47" i="4"/>
  <c r="U47" i="4"/>
  <c r="R47" i="4"/>
  <c r="P47" i="4"/>
  <c r="O47" i="4"/>
  <c r="L47" i="4"/>
  <c r="M47" i="4" s="1"/>
  <c r="G47" i="4"/>
  <c r="I47" i="4" s="1"/>
  <c r="B47" i="4"/>
  <c r="V46" i="4"/>
  <c r="U46" i="4"/>
  <c r="R46" i="4"/>
  <c r="P46" i="4"/>
  <c r="O46" i="4"/>
  <c r="N46" i="4"/>
  <c r="M46" i="4"/>
  <c r="G46" i="4"/>
  <c r="I46" i="4" s="1"/>
  <c r="B46" i="4"/>
  <c r="J46" i="4" s="1"/>
  <c r="V45" i="4"/>
  <c r="U45" i="4"/>
  <c r="R45" i="4"/>
  <c r="P45" i="4"/>
  <c r="O45" i="4"/>
  <c r="N45" i="4"/>
  <c r="M45" i="4"/>
  <c r="G45" i="4"/>
  <c r="I45" i="4" s="1"/>
  <c r="T26" i="20" s="1"/>
  <c r="B45" i="4"/>
  <c r="V44" i="4"/>
  <c r="U44" i="4"/>
  <c r="R44" i="4"/>
  <c r="P44" i="4"/>
  <c r="O44" i="4"/>
  <c r="L44" i="4"/>
  <c r="N44" i="4" s="1"/>
  <c r="G44" i="4"/>
  <c r="I44" i="4" s="1"/>
  <c r="B44" i="4"/>
  <c r="J44" i="4" s="1"/>
  <c r="V43" i="4"/>
  <c r="U43" i="4"/>
  <c r="R43" i="4"/>
  <c r="P43" i="4"/>
  <c r="O43" i="4"/>
  <c r="N43" i="4"/>
  <c r="M43" i="4"/>
  <c r="G43" i="4"/>
  <c r="I43" i="4" s="1"/>
  <c r="B43" i="4"/>
  <c r="J43" i="4" s="1"/>
  <c r="V42" i="4"/>
  <c r="U42" i="4"/>
  <c r="R42" i="4"/>
  <c r="P42" i="4"/>
  <c r="O42" i="4"/>
  <c r="L42" i="4"/>
  <c r="M42" i="4" s="1"/>
  <c r="G42" i="4"/>
  <c r="I42" i="4" s="1"/>
  <c r="B42" i="4"/>
  <c r="V41" i="4"/>
  <c r="U41" i="4"/>
  <c r="R41" i="4"/>
  <c r="P41" i="4"/>
  <c r="O41" i="4"/>
  <c r="N41" i="4"/>
  <c r="M41" i="4"/>
  <c r="G41" i="4"/>
  <c r="I41" i="4" s="1"/>
  <c r="B41" i="4"/>
  <c r="J41" i="4" s="1"/>
  <c r="V40" i="4"/>
  <c r="U40" i="4"/>
  <c r="R40" i="4"/>
  <c r="P40" i="4"/>
  <c r="O40" i="4"/>
  <c r="L40" i="4"/>
  <c r="N40" i="4" s="1"/>
  <c r="G40" i="4"/>
  <c r="I40" i="4" s="1"/>
  <c r="B40" i="4"/>
  <c r="J40" i="4" s="1"/>
  <c r="V39" i="4"/>
  <c r="U39" i="4"/>
  <c r="R39" i="4"/>
  <c r="P39" i="4"/>
  <c r="O39" i="4"/>
  <c r="L39" i="4"/>
  <c r="M39" i="4" s="1"/>
  <c r="G39" i="4"/>
  <c r="I39" i="4" s="1"/>
  <c r="B39" i="4"/>
  <c r="V38" i="4"/>
  <c r="U38" i="4"/>
  <c r="R38" i="4"/>
  <c r="P38" i="4"/>
  <c r="O38" i="4"/>
  <c r="L38" i="4"/>
  <c r="M38" i="4" s="1"/>
  <c r="G38" i="4"/>
  <c r="I38" i="4" s="1"/>
  <c r="B38" i="4"/>
  <c r="J38" i="4" s="1"/>
  <c r="V37" i="4"/>
  <c r="U37" i="4"/>
  <c r="R37" i="4"/>
  <c r="P37" i="4"/>
  <c r="O37" i="4"/>
  <c r="L37" i="4"/>
  <c r="N37" i="4" s="1"/>
  <c r="G37" i="4"/>
  <c r="I37" i="4" s="1"/>
  <c r="B37" i="4"/>
  <c r="J37" i="4" s="1"/>
  <c r="V36" i="4"/>
  <c r="U36" i="4"/>
  <c r="R36" i="4"/>
  <c r="P36" i="4"/>
  <c r="O36" i="4"/>
  <c r="L36" i="4"/>
  <c r="N36" i="4" s="1"/>
  <c r="G36" i="4"/>
  <c r="I36" i="4" s="1"/>
  <c r="B36" i="4"/>
  <c r="J36" i="4" s="1"/>
  <c r="V35" i="4"/>
  <c r="U35" i="4"/>
  <c r="R35" i="4"/>
  <c r="P35" i="4"/>
  <c r="O35" i="4"/>
  <c r="L35" i="4"/>
  <c r="M35" i="4" s="1"/>
  <c r="G35" i="4"/>
  <c r="I35" i="4" s="1"/>
  <c r="B35" i="4"/>
  <c r="V34" i="4"/>
  <c r="U34" i="4"/>
  <c r="R34" i="4"/>
  <c r="P34" i="4"/>
  <c r="O34" i="4"/>
  <c r="L34" i="4"/>
  <c r="N34" i="4" s="1"/>
  <c r="G34" i="4"/>
  <c r="I34" i="4" s="1"/>
  <c r="B34" i="4"/>
  <c r="J34" i="4" s="1"/>
  <c r="V33" i="4"/>
  <c r="U33" i="4"/>
  <c r="R33" i="4"/>
  <c r="P33" i="4"/>
  <c r="O33" i="4"/>
  <c r="L33" i="4"/>
  <c r="N33" i="4" s="1"/>
  <c r="G33" i="4"/>
  <c r="I33" i="4" s="1"/>
  <c r="B33" i="4"/>
  <c r="J33" i="4" s="1"/>
  <c r="V32" i="4"/>
  <c r="U32" i="4"/>
  <c r="R32" i="4"/>
  <c r="P32" i="4"/>
  <c r="O32" i="4"/>
  <c r="L32" i="4"/>
  <c r="N32" i="4" s="1"/>
  <c r="G32" i="4"/>
  <c r="I32" i="4" s="1"/>
  <c r="B32" i="4"/>
  <c r="J32" i="4" s="1"/>
  <c r="V31" i="4"/>
  <c r="U31" i="4"/>
  <c r="R31" i="4"/>
  <c r="P31" i="4"/>
  <c r="O31" i="4"/>
  <c r="L31" i="4"/>
  <c r="M31" i="4" s="1"/>
  <c r="G31" i="4"/>
  <c r="I31" i="4" s="1"/>
  <c r="B31" i="4"/>
  <c r="V30" i="4"/>
  <c r="U30" i="4"/>
  <c r="R30" i="4"/>
  <c r="P30" i="4"/>
  <c r="O30" i="4"/>
  <c r="L30" i="4"/>
  <c r="M30" i="4" s="1"/>
  <c r="G30" i="4"/>
  <c r="I30" i="4" s="1"/>
  <c r="B30" i="4"/>
  <c r="J30" i="4" s="1"/>
  <c r="V29" i="4"/>
  <c r="U29" i="4"/>
  <c r="R29" i="4"/>
  <c r="P29" i="4"/>
  <c r="O29" i="4"/>
  <c r="N29" i="4"/>
  <c r="M29" i="4"/>
  <c r="G29" i="4"/>
  <c r="I29" i="4" s="1"/>
  <c r="B29" i="4"/>
  <c r="J29" i="4" s="1"/>
  <c r="V28" i="4"/>
  <c r="U28" i="4"/>
  <c r="R28" i="4"/>
  <c r="P28" i="4"/>
  <c r="O28" i="4"/>
  <c r="L28" i="4"/>
  <c r="M28" i="4" s="1"/>
  <c r="G28" i="4"/>
  <c r="I28" i="4" s="1"/>
  <c r="T5" i="20" s="1"/>
  <c r="B28" i="4"/>
  <c r="V27" i="4"/>
  <c r="U27" i="4"/>
  <c r="R27" i="4"/>
  <c r="P27" i="4"/>
  <c r="O27" i="4"/>
  <c r="L27" i="4"/>
  <c r="N27" i="4" s="1"/>
  <c r="G27" i="4"/>
  <c r="I27" i="4" s="1"/>
  <c r="T34" i="20" s="1"/>
  <c r="B27" i="4"/>
  <c r="J27" i="4" s="1"/>
  <c r="V26" i="4"/>
  <c r="U26" i="4"/>
  <c r="R26" i="4"/>
  <c r="P26" i="4"/>
  <c r="O26" i="4"/>
  <c r="N26" i="4"/>
  <c r="M26" i="4"/>
  <c r="G26" i="4"/>
  <c r="I26" i="4" s="1"/>
  <c r="T4" i="20" s="1"/>
  <c r="B26" i="4"/>
  <c r="J26" i="4" s="1"/>
  <c r="V25" i="4"/>
  <c r="U25" i="4"/>
  <c r="R25" i="4"/>
  <c r="P25" i="4"/>
  <c r="O25" i="4"/>
  <c r="L25" i="4"/>
  <c r="M25" i="4" s="1"/>
  <c r="G25" i="4"/>
  <c r="I25" i="4" s="1"/>
  <c r="B25" i="4"/>
  <c r="V24" i="4"/>
  <c r="U24" i="4"/>
  <c r="R24" i="4"/>
  <c r="P24" i="4"/>
  <c r="O24" i="4"/>
  <c r="L24" i="4"/>
  <c r="N24" i="4" s="1"/>
  <c r="G24" i="4"/>
  <c r="I24" i="4" s="1"/>
  <c r="B24" i="4"/>
  <c r="J24" i="4" s="1"/>
  <c r="V23" i="4"/>
  <c r="U23" i="4"/>
  <c r="R23" i="4"/>
  <c r="P23" i="4"/>
  <c r="O23" i="4"/>
  <c r="L23" i="4"/>
  <c r="N23" i="4" s="1"/>
  <c r="G23" i="4"/>
  <c r="I23" i="4" s="1"/>
  <c r="B23" i="4"/>
  <c r="J23" i="4" s="1"/>
  <c r="V22" i="4"/>
  <c r="U22" i="4"/>
  <c r="R22" i="4"/>
  <c r="P22" i="4"/>
  <c r="O22" i="4"/>
  <c r="L22" i="4"/>
  <c r="N22" i="4" s="1"/>
  <c r="G22" i="4"/>
  <c r="I22" i="4" s="1"/>
  <c r="B22" i="4"/>
  <c r="J22" i="4" s="1"/>
  <c r="V21" i="4"/>
  <c r="U21" i="4"/>
  <c r="R21" i="4"/>
  <c r="P21" i="4"/>
  <c r="O21" i="4"/>
  <c r="L21" i="4"/>
  <c r="M21" i="4" s="1"/>
  <c r="G21" i="4"/>
  <c r="I21" i="4" s="1"/>
  <c r="B21" i="4"/>
  <c r="V20" i="4"/>
  <c r="U20" i="4"/>
  <c r="R20" i="4"/>
  <c r="P20" i="4"/>
  <c r="O20" i="4"/>
  <c r="L20" i="4"/>
  <c r="N20" i="4" s="1"/>
  <c r="G20" i="4"/>
  <c r="I20" i="4" s="1"/>
  <c r="T24" i="20" s="1"/>
  <c r="B20" i="4"/>
  <c r="J20" i="4" s="1"/>
  <c r="V19" i="4"/>
  <c r="U19" i="4"/>
  <c r="R19" i="4"/>
  <c r="P19" i="4"/>
  <c r="O19" i="4"/>
  <c r="N19" i="4"/>
  <c r="M19" i="4"/>
  <c r="G19" i="4"/>
  <c r="I19" i="4" s="1"/>
  <c r="T3" i="20" s="1"/>
  <c r="B19" i="4"/>
  <c r="J19" i="4" s="1"/>
  <c r="V18" i="4"/>
  <c r="U18" i="4"/>
  <c r="R18" i="4"/>
  <c r="P18" i="4"/>
  <c r="O18" i="4"/>
  <c r="L18" i="4"/>
  <c r="M18" i="4" s="1"/>
  <c r="G18" i="4"/>
  <c r="I18" i="4" s="1"/>
  <c r="T20" i="20" s="1"/>
  <c r="B18" i="4"/>
  <c r="V17" i="4"/>
  <c r="U17" i="4"/>
  <c r="R17" i="4"/>
  <c r="P17" i="4"/>
  <c r="O17" i="4"/>
  <c r="L17" i="4"/>
  <c r="M17" i="4" s="1"/>
  <c r="G17" i="4"/>
  <c r="I17" i="4" s="1"/>
  <c r="T31" i="20" s="1"/>
  <c r="B17" i="4"/>
  <c r="J17" i="4" s="1"/>
  <c r="V16" i="4"/>
  <c r="U16" i="4"/>
  <c r="R16" i="4"/>
  <c r="P16" i="4"/>
  <c r="O16" i="4"/>
  <c r="L16" i="4"/>
  <c r="N16" i="4" s="1"/>
  <c r="G16" i="4"/>
  <c r="I16" i="4" s="1"/>
  <c r="T15" i="20" s="1"/>
  <c r="B16" i="4"/>
  <c r="J16" i="4" s="1"/>
  <c r="V15" i="4"/>
  <c r="U15" i="4"/>
  <c r="R15" i="4"/>
  <c r="P15" i="4"/>
  <c r="O15" i="4"/>
  <c r="N15" i="4"/>
  <c r="M15" i="4"/>
  <c r="G15" i="4"/>
  <c r="I15" i="4" s="1"/>
  <c r="B15" i="4"/>
  <c r="V14" i="4"/>
  <c r="U14" i="4"/>
  <c r="R14" i="4"/>
  <c r="P14" i="4"/>
  <c r="O14" i="4"/>
  <c r="N14" i="4"/>
  <c r="M14" i="4"/>
  <c r="G14" i="4"/>
  <c r="I14" i="4" s="1"/>
  <c r="B14" i="4"/>
  <c r="J14" i="4" s="1"/>
  <c r="V13" i="4"/>
  <c r="U13" i="4"/>
  <c r="R13" i="4"/>
  <c r="P13" i="4"/>
  <c r="O13" i="4"/>
  <c r="N13" i="4"/>
  <c r="M13" i="4"/>
  <c r="G13" i="4"/>
  <c r="I13" i="4" s="1"/>
  <c r="B13" i="4"/>
  <c r="V12" i="4"/>
  <c r="U12" i="4"/>
  <c r="R12" i="4"/>
  <c r="P12" i="4"/>
  <c r="O12" i="4"/>
  <c r="L12" i="4"/>
  <c r="M12" i="4" s="1"/>
  <c r="G12" i="4"/>
  <c r="I12" i="4" s="1"/>
  <c r="T19" i="20" s="1"/>
  <c r="B12" i="4"/>
  <c r="J12" i="4" s="1"/>
  <c r="V11" i="4"/>
  <c r="U11" i="4"/>
  <c r="R11" i="4"/>
  <c r="P11" i="4"/>
  <c r="O11" i="4"/>
  <c r="N11" i="4"/>
  <c r="M11" i="4"/>
  <c r="G11" i="4"/>
  <c r="I11" i="4" s="1"/>
  <c r="T16" i="20" s="1"/>
  <c r="B11" i="4"/>
  <c r="J11" i="4" s="1"/>
  <c r="V10" i="4"/>
  <c r="U10" i="4"/>
  <c r="R10" i="4"/>
  <c r="P10" i="4"/>
  <c r="O10" i="4"/>
  <c r="L10" i="4"/>
  <c r="N10" i="4" s="1"/>
  <c r="G10" i="4"/>
  <c r="I10" i="4" s="1"/>
  <c r="T18" i="20" s="1"/>
  <c r="B10" i="4"/>
  <c r="V9" i="4"/>
  <c r="U9" i="4"/>
  <c r="R9" i="4"/>
  <c r="P9" i="4"/>
  <c r="O9" i="4"/>
  <c r="L9" i="4"/>
  <c r="M9" i="4" s="1"/>
  <c r="G9" i="4"/>
  <c r="I9" i="4" s="1"/>
  <c r="T28" i="20" s="1"/>
  <c r="B9" i="4"/>
  <c r="J9" i="4" s="1"/>
  <c r="V8" i="4"/>
  <c r="U8" i="4"/>
  <c r="R8" i="4"/>
  <c r="P8" i="4"/>
  <c r="O8" i="4"/>
  <c r="L8" i="4"/>
  <c r="N8" i="4" s="1"/>
  <c r="G8" i="4"/>
  <c r="I8" i="4" s="1"/>
  <c r="T8" i="20" s="1"/>
  <c r="B8" i="4"/>
  <c r="J8" i="4" s="1"/>
  <c r="V7" i="4"/>
  <c r="U7" i="4"/>
  <c r="R7" i="4"/>
  <c r="P7" i="4"/>
  <c r="O7" i="4"/>
  <c r="L7" i="4"/>
  <c r="N7" i="4" s="1"/>
  <c r="G7" i="4"/>
  <c r="I7" i="4" s="1"/>
  <c r="T23" i="20" s="1"/>
  <c r="B7" i="4"/>
  <c r="J7" i="4" s="1"/>
  <c r="V6" i="4"/>
  <c r="U6" i="4"/>
  <c r="R6" i="4"/>
  <c r="P6" i="4"/>
  <c r="O6" i="4"/>
  <c r="L6" i="4"/>
  <c r="N6" i="4" s="1"/>
  <c r="G6" i="4"/>
  <c r="I6" i="4" s="1"/>
  <c r="T39" i="20" s="1"/>
  <c r="B6" i="4"/>
  <c r="V5" i="4"/>
  <c r="U5" i="4"/>
  <c r="R5" i="4"/>
  <c r="P5" i="4"/>
  <c r="O5" i="4"/>
  <c r="L5" i="4"/>
  <c r="N5" i="4" s="1"/>
  <c r="G5" i="4"/>
  <c r="I5" i="4" s="1"/>
  <c r="T30" i="20" s="1"/>
  <c r="B5" i="4"/>
  <c r="J5" i="4" s="1"/>
  <c r="V4" i="4"/>
  <c r="U4" i="4"/>
  <c r="R4" i="4"/>
  <c r="P4" i="4"/>
  <c r="O4" i="4"/>
  <c r="L4" i="4"/>
  <c r="N4" i="4" s="1"/>
  <c r="G4" i="4"/>
  <c r="I4" i="4" s="1"/>
  <c r="T21" i="20" s="1"/>
  <c r="B4" i="4"/>
  <c r="J4" i="4" s="1"/>
  <c r="V3" i="4"/>
  <c r="U3" i="4"/>
  <c r="R3" i="4"/>
  <c r="P3" i="4"/>
  <c r="O3" i="4"/>
  <c r="N3" i="4"/>
  <c r="M3" i="4"/>
  <c r="G3" i="4"/>
  <c r="I3" i="4" s="1"/>
  <c r="B3" i="4"/>
  <c r="V2" i="4"/>
  <c r="U2" i="4"/>
  <c r="R2" i="4"/>
  <c r="P2" i="4"/>
  <c r="O2" i="4"/>
  <c r="L2" i="4"/>
  <c r="N2" i="4" s="1"/>
  <c r="G2" i="4"/>
  <c r="I2" i="4" s="1"/>
  <c r="B2" i="4"/>
  <c r="J2" i="4" s="1"/>
  <c r="S41" i="3"/>
  <c r="S40" i="3"/>
  <c r="S39" i="3"/>
  <c r="S38" i="3"/>
  <c r="S37" i="3"/>
  <c r="S36" i="3"/>
  <c r="S35" i="3"/>
  <c r="S34" i="3"/>
  <c r="S33" i="3"/>
  <c r="S32" i="3"/>
  <c r="S31" i="3"/>
  <c r="S30" i="3"/>
  <c r="S29" i="3"/>
  <c r="S28" i="3"/>
  <c r="S27" i="3"/>
  <c r="S26" i="3"/>
  <c r="S25" i="3"/>
  <c r="S24" i="3"/>
  <c r="S23" i="3"/>
  <c r="S22" i="3"/>
  <c r="S21" i="3"/>
  <c r="S20" i="3"/>
  <c r="S19" i="3"/>
  <c r="S18" i="3"/>
  <c r="S17" i="3"/>
  <c r="S16" i="3"/>
  <c r="N16" i="3"/>
  <c r="S15" i="3"/>
  <c r="N15" i="3"/>
  <c r="M15" i="3"/>
  <c r="M16" i="3" s="1"/>
  <c r="S14" i="3"/>
  <c r="N14" i="3"/>
  <c r="M14" i="3"/>
  <c r="S13" i="3"/>
  <c r="N13" i="3"/>
  <c r="M13" i="3"/>
  <c r="S12" i="3"/>
  <c r="N12" i="3"/>
  <c r="M12" i="3"/>
  <c r="S11" i="3"/>
  <c r="N11" i="3"/>
  <c r="M11" i="3"/>
  <c r="S10" i="3"/>
  <c r="N10" i="3"/>
  <c r="M10" i="3"/>
  <c r="S9" i="3"/>
  <c r="N9" i="3"/>
  <c r="M9" i="3"/>
  <c r="S8" i="3"/>
  <c r="N8" i="3"/>
  <c r="M8" i="3"/>
  <c r="S7" i="3"/>
  <c r="N7" i="3"/>
  <c r="M7" i="3"/>
  <c r="S6" i="3"/>
  <c r="N6" i="3"/>
  <c r="M6" i="3"/>
  <c r="S5" i="3"/>
  <c r="N5" i="3"/>
  <c r="M5" i="3"/>
  <c r="S4" i="3"/>
  <c r="N4" i="3"/>
  <c r="M4" i="3"/>
  <c r="N3" i="3"/>
  <c r="M3" i="3"/>
  <c r="N2" i="3"/>
  <c r="S15" i="22" l="1"/>
  <c r="S27" i="20"/>
  <c r="R2" i="17"/>
  <c r="R21" i="17"/>
  <c r="T9" i="20"/>
  <c r="T36" i="20"/>
  <c r="T13" i="20"/>
  <c r="T11" i="20"/>
  <c r="T17" i="20"/>
  <c r="T29" i="20"/>
  <c r="T14" i="20"/>
  <c r="T12" i="20"/>
  <c r="T33" i="20"/>
  <c r="T7" i="20"/>
  <c r="T10" i="20"/>
  <c r="T6" i="20"/>
  <c r="T32" i="20"/>
  <c r="T25" i="20"/>
  <c r="T22" i="20"/>
  <c r="Q306" i="4"/>
  <c r="Q309" i="4"/>
  <c r="Q397" i="4"/>
  <c r="N432" i="4"/>
  <c r="H3" i="12"/>
  <c r="H4" i="12"/>
  <c r="H9" i="12"/>
  <c r="H5" i="12"/>
  <c r="H6" i="12"/>
  <c r="H8" i="12"/>
  <c r="H7" i="12"/>
  <c r="H10" i="12"/>
  <c r="N3" i="12"/>
  <c r="N4" i="12"/>
  <c r="N5" i="12"/>
  <c r="N6" i="12"/>
  <c r="N8" i="12"/>
  <c r="N7" i="12"/>
  <c r="N10" i="12"/>
  <c r="Q2" i="17"/>
  <c r="Q21" i="17"/>
  <c r="K373" i="4"/>
  <c r="N282" i="4"/>
  <c r="Q299" i="4"/>
  <c r="K388" i="4"/>
  <c r="P387" i="4"/>
  <c r="Q439" i="4"/>
  <c r="Q122" i="4"/>
  <c r="M318" i="4"/>
  <c r="M397" i="4"/>
  <c r="N120" i="4"/>
  <c r="N435" i="4"/>
  <c r="N309" i="4"/>
  <c r="Q251" i="4"/>
  <c r="Q252" i="4"/>
  <c r="Q277" i="4"/>
  <c r="N303" i="4"/>
  <c r="Q317" i="4"/>
  <c r="Q384" i="4"/>
  <c r="J387" i="4"/>
  <c r="M387" i="4"/>
  <c r="Q394" i="4"/>
  <c r="N408" i="4"/>
  <c r="Q410" i="4"/>
  <c r="Q419" i="4"/>
  <c r="N421" i="4"/>
  <c r="Q424" i="4"/>
  <c r="N140" i="4"/>
  <c r="Q428" i="4"/>
  <c r="N300" i="4"/>
  <c r="Q319" i="4"/>
  <c r="K367" i="4"/>
  <c r="N378" i="4"/>
  <c r="Q392" i="4"/>
  <c r="N395" i="4"/>
  <c r="N398" i="4"/>
  <c r="M427" i="4"/>
  <c r="Q67" i="4"/>
  <c r="Q107" i="4"/>
  <c r="K301" i="4"/>
  <c r="M16" i="4"/>
  <c r="K312" i="4"/>
  <c r="N321" i="4"/>
  <c r="K365" i="4"/>
  <c r="K366" i="4"/>
  <c r="N370" i="4"/>
  <c r="Q374" i="4"/>
  <c r="Q378" i="4"/>
  <c r="M379" i="4"/>
  <c r="Q380" i="4"/>
  <c r="Q400" i="4"/>
  <c r="Q401" i="4"/>
  <c r="Q421" i="4"/>
  <c r="Q244" i="4"/>
  <c r="Q245" i="4"/>
  <c r="N296" i="4"/>
  <c r="N311" i="4"/>
  <c r="Q313" i="4"/>
  <c r="N320" i="4"/>
  <c r="Q328" i="4"/>
  <c r="K368" i="4"/>
  <c r="Q370" i="4"/>
  <c r="I387" i="4"/>
  <c r="Q387" i="4" s="1"/>
  <c r="N265" i="4"/>
  <c r="N310" i="4"/>
  <c r="Q372" i="4"/>
  <c r="K375" i="4"/>
  <c r="Q376" i="4"/>
  <c r="K377" i="4"/>
  <c r="Q379" i="4"/>
  <c r="K384" i="4"/>
  <c r="M23" i="20" s="1"/>
  <c r="Q385" i="4"/>
  <c r="Q407" i="4"/>
  <c r="Q408" i="4"/>
  <c r="Q413" i="4"/>
  <c r="Q418" i="4"/>
  <c r="Q435" i="4"/>
  <c r="N53" i="4"/>
  <c r="Q55" i="4"/>
  <c r="N131" i="4"/>
  <c r="Q198" i="4"/>
  <c r="N235" i="4"/>
  <c r="K236" i="4"/>
  <c r="Q238" i="4"/>
  <c r="K291" i="4"/>
  <c r="Q327" i="4"/>
  <c r="Q367" i="4"/>
  <c r="K369" i="4"/>
  <c r="J372" i="4"/>
  <c r="K372" i="4" s="1"/>
  <c r="M15" i="20" s="1"/>
  <c r="Q373" i="4"/>
  <c r="J376" i="4"/>
  <c r="K376" i="4" s="1"/>
  <c r="M12" i="20" s="1"/>
  <c r="Q377" i="4"/>
  <c r="N377" i="4"/>
  <c r="M380" i="4"/>
  <c r="Q381" i="4"/>
  <c r="M20" i="20" s="1"/>
  <c r="Q389" i="4"/>
  <c r="Q390" i="4"/>
  <c r="Q393" i="4"/>
  <c r="K416" i="4"/>
  <c r="K424" i="4"/>
  <c r="O10" i="20" s="1"/>
  <c r="N424" i="4"/>
  <c r="Q436" i="4"/>
  <c r="Q437" i="4"/>
  <c r="Q438" i="4"/>
  <c r="Q38" i="4"/>
  <c r="Q235" i="4"/>
  <c r="Q257" i="4"/>
  <c r="Q266" i="4"/>
  <c r="M302" i="4"/>
  <c r="Q311" i="4"/>
  <c r="Q371" i="4"/>
  <c r="K391" i="4"/>
  <c r="J401" i="4"/>
  <c r="K401" i="4" s="1"/>
  <c r="N12" i="20" s="1"/>
  <c r="M8" i="4"/>
  <c r="N12" i="4"/>
  <c r="M20" i="4"/>
  <c r="K41" i="4"/>
  <c r="K71" i="4"/>
  <c r="M123" i="4"/>
  <c r="Q141" i="4"/>
  <c r="Q46" i="4"/>
  <c r="Q53" i="4"/>
  <c r="M245" i="4"/>
  <c r="J277" i="4"/>
  <c r="K277" i="4" s="1"/>
  <c r="J24" i="20" s="1"/>
  <c r="Q280" i="4"/>
  <c r="Q293" i="4"/>
  <c r="K320" i="4"/>
  <c r="Q321" i="4"/>
  <c r="M202" i="4"/>
  <c r="Q207" i="4"/>
  <c r="Q214" i="4"/>
  <c r="Q223" i="4"/>
  <c r="M234" i="4"/>
  <c r="N242" i="4"/>
  <c r="Q254" i="4"/>
  <c r="Q255" i="4"/>
  <c r="Q278" i="4"/>
  <c r="Q281" i="4"/>
  <c r="M34" i="4"/>
  <c r="M63" i="4"/>
  <c r="Q66" i="4"/>
  <c r="Q114" i="4"/>
  <c r="M129" i="4"/>
  <c r="Q131" i="4"/>
  <c r="N50" i="4"/>
  <c r="N59" i="4"/>
  <c r="Q34" i="4"/>
  <c r="M37" i="4"/>
  <c r="Q54" i="4"/>
  <c r="Q87" i="4"/>
  <c r="Q90" i="4"/>
  <c r="N94" i="4"/>
  <c r="Q96" i="4"/>
  <c r="N101" i="4"/>
  <c r="N126" i="4"/>
  <c r="Q128" i="4"/>
  <c r="Q202" i="4"/>
  <c r="K213" i="4"/>
  <c r="Q229" i="4"/>
  <c r="Q234" i="4"/>
  <c r="Q242" i="4"/>
  <c r="Q261" i="4"/>
  <c r="N263" i="4"/>
  <c r="Q265" i="4"/>
  <c r="N280" i="4"/>
  <c r="Q287" i="4"/>
  <c r="N294" i="4"/>
  <c r="Q296" i="4"/>
  <c r="N301" i="4"/>
  <c r="M327" i="4"/>
  <c r="Q329" i="4"/>
  <c r="K56" i="4"/>
  <c r="Q63" i="4"/>
  <c r="M71" i="4"/>
  <c r="N93" i="4"/>
  <c r="N141" i="4"/>
  <c r="M211" i="4"/>
  <c r="Q213" i="4"/>
  <c r="M216" i="4"/>
  <c r="Q218" i="4"/>
  <c r="Q219" i="4"/>
  <c r="Q221" i="4"/>
  <c r="M225" i="4"/>
  <c r="M246" i="4"/>
  <c r="Q248" i="4"/>
  <c r="Q249" i="4"/>
  <c r="M252" i="4"/>
  <c r="M255" i="4"/>
  <c r="Q259" i="4"/>
  <c r="N272" i="4"/>
  <c r="K274" i="4"/>
  <c r="K280" i="4"/>
  <c r="K3" i="20" s="1"/>
  <c r="N285" i="4"/>
  <c r="Q289" i="4"/>
  <c r="N293" i="4"/>
  <c r="K294" i="4"/>
  <c r="M307" i="4"/>
  <c r="Q318" i="4"/>
  <c r="M328" i="4"/>
  <c r="Q98" i="4"/>
  <c r="Q101" i="4"/>
  <c r="M114" i="4"/>
  <c r="K142" i="4"/>
  <c r="N18" i="4"/>
  <c r="M24" i="4"/>
  <c r="Q37" i="4"/>
  <c r="N38" i="4"/>
  <c r="Q43" i="4"/>
  <c r="M55" i="4"/>
  <c r="N66" i="4"/>
  <c r="M73" i="4"/>
  <c r="Q75" i="4"/>
  <c r="Q76" i="4"/>
  <c r="N107" i="4"/>
  <c r="Q111" i="4"/>
  <c r="M122" i="4"/>
  <c r="M128" i="4"/>
  <c r="N133" i="4"/>
  <c r="M149" i="4"/>
  <c r="Q158" i="4"/>
  <c r="Q203" i="4"/>
  <c r="Q205" i="4"/>
  <c r="Q224" i="4"/>
  <c r="Q232" i="4"/>
  <c r="Q301" i="4"/>
  <c r="K317" i="4"/>
  <c r="L34" i="20" s="1"/>
  <c r="Q142" i="4"/>
  <c r="K288" i="4"/>
  <c r="K329" i="4"/>
  <c r="K330" i="4"/>
  <c r="Q79" i="4"/>
  <c r="K80" i="4"/>
  <c r="Q119" i="4"/>
  <c r="Q132" i="4"/>
  <c r="N30" i="4"/>
  <c r="Q58" i="4"/>
  <c r="Q14" i="4"/>
  <c r="N17" i="4"/>
  <c r="M23" i="4"/>
  <c r="M33" i="4"/>
  <c r="Q41" i="4"/>
  <c r="N47" i="4"/>
  <c r="M52" i="4"/>
  <c r="Q59" i="4"/>
  <c r="Q62" i="4"/>
  <c r="N67" i="4"/>
  <c r="Q69" i="4"/>
  <c r="Q82" i="4"/>
  <c r="M85" i="4"/>
  <c r="Q93" i="4"/>
  <c r="N108" i="4"/>
  <c r="Q116" i="4"/>
  <c r="K138" i="4"/>
  <c r="Q140" i="4"/>
  <c r="K147" i="4"/>
  <c r="Q148" i="4"/>
  <c r="Q154" i="4"/>
  <c r="M159" i="4"/>
  <c r="Q209" i="4"/>
  <c r="Q222" i="4"/>
  <c r="K46" i="4"/>
  <c r="D15" i="20" s="1"/>
  <c r="K111" i="4"/>
  <c r="Q196" i="4"/>
  <c r="M6" i="4"/>
  <c r="N9" i="4"/>
  <c r="Q18" i="4"/>
  <c r="N28" i="4"/>
  <c r="Q33" i="4"/>
  <c r="Q44" i="4"/>
  <c r="Q50" i="4"/>
  <c r="N58" i="4"/>
  <c r="Q60" i="4"/>
  <c r="M79" i="4"/>
  <c r="Q84" i="4"/>
  <c r="N102" i="4"/>
  <c r="N119" i="4"/>
  <c r="Q125" i="4"/>
  <c r="J132" i="4"/>
  <c r="K132" i="4" s="1"/>
  <c r="G21" i="20" s="1"/>
  <c r="Q137" i="4"/>
  <c r="Q143" i="4"/>
  <c r="Q156" i="4"/>
  <c r="Q157" i="4"/>
  <c r="Q208" i="4"/>
  <c r="M278" i="4"/>
  <c r="N278" i="4"/>
  <c r="M281" i="4"/>
  <c r="N281" i="4"/>
  <c r="Q295" i="4"/>
  <c r="J295" i="4"/>
  <c r="K295" i="4" s="1"/>
  <c r="M295" i="4"/>
  <c r="N295" i="4"/>
  <c r="M322" i="4"/>
  <c r="N322" i="4"/>
  <c r="Q326" i="4"/>
  <c r="J326" i="4"/>
  <c r="K326" i="4" s="1"/>
  <c r="L14" i="20" s="1"/>
  <c r="M330" i="4"/>
  <c r="N330" i="4"/>
  <c r="M331" i="4"/>
  <c r="N331" i="4"/>
  <c r="K383" i="4"/>
  <c r="M19" i="20" s="1"/>
  <c r="Q383" i="4"/>
  <c r="Q386" i="4"/>
  <c r="K386" i="4"/>
  <c r="M22" i="20" s="1"/>
  <c r="Q325" i="4"/>
  <c r="Q331" i="4"/>
  <c r="Q366" i="4"/>
  <c r="K308" i="4"/>
  <c r="Q310" i="4"/>
  <c r="Q314" i="4"/>
  <c r="K319" i="4"/>
  <c r="L8" i="20" s="1"/>
  <c r="M365" i="4"/>
  <c r="M368" i="4"/>
  <c r="K370" i="4"/>
  <c r="M5" i="20" s="1"/>
  <c r="M381" i="4"/>
  <c r="N385" i="4"/>
  <c r="K392" i="4"/>
  <c r="N21" i="20" s="1"/>
  <c r="Q398" i="4"/>
  <c r="Q403" i="4"/>
  <c r="M411" i="4"/>
  <c r="Q432" i="4"/>
  <c r="M369" i="4"/>
  <c r="Q369" i="4"/>
  <c r="M375" i="4"/>
  <c r="K378" i="4"/>
  <c r="M18" i="20" s="1"/>
  <c r="M382" i="4"/>
  <c r="M384" i="4"/>
  <c r="N401" i="4"/>
  <c r="J408" i="4"/>
  <c r="K408" i="4" s="1"/>
  <c r="N17" i="20" s="1"/>
  <c r="J419" i="4"/>
  <c r="K237" i="4"/>
  <c r="Q260" i="4"/>
  <c r="Q272" i="4"/>
  <c r="Q294" i="4"/>
  <c r="Q302" i="4"/>
  <c r="J325" i="4"/>
  <c r="J385" i="4"/>
  <c r="K385" i="4" s="1"/>
  <c r="M26" i="20" s="1"/>
  <c r="Q388" i="4"/>
  <c r="S388" i="4" s="1"/>
  <c r="M389" i="4"/>
  <c r="Q391" i="4"/>
  <c r="M394" i="4"/>
  <c r="Q395" i="4"/>
  <c r="N410" i="4"/>
  <c r="Q420" i="4"/>
  <c r="Q422" i="4"/>
  <c r="N422" i="4"/>
  <c r="Q425" i="4"/>
  <c r="Q426" i="4"/>
  <c r="Q427" i="4"/>
  <c r="Q429" i="4"/>
  <c r="Q430" i="4"/>
  <c r="Q431" i="4"/>
  <c r="Q433" i="4"/>
  <c r="Q434" i="4"/>
  <c r="K70" i="4"/>
  <c r="K82" i="4"/>
  <c r="E3" i="20" s="1"/>
  <c r="Q6" i="4"/>
  <c r="T2" i="20"/>
  <c r="Q61" i="4"/>
  <c r="Q73" i="4"/>
  <c r="Q85" i="4"/>
  <c r="Q115" i="4"/>
  <c r="Q123" i="4"/>
  <c r="J125" i="4"/>
  <c r="K125" i="4" s="1"/>
  <c r="F4" i="20" s="1"/>
  <c r="Q129" i="4"/>
  <c r="N222" i="4"/>
  <c r="M222" i="4"/>
  <c r="K240" i="4"/>
  <c r="Q253" i="4"/>
  <c r="J253" i="4"/>
  <c r="K253" i="4" s="1"/>
  <c r="K270" i="4"/>
  <c r="J275" i="4"/>
  <c r="K275" i="4" s="1"/>
  <c r="J26" i="20" s="1"/>
  <c r="Q275" i="4"/>
  <c r="Q276" i="4"/>
  <c r="Q91" i="4"/>
  <c r="Q117" i="4"/>
  <c r="M146" i="4"/>
  <c r="N146" i="4"/>
  <c r="K200" i="4"/>
  <c r="H6" i="20" s="1"/>
  <c r="K203" i="4"/>
  <c r="H5" i="20" s="1"/>
  <c r="N210" i="4"/>
  <c r="M210" i="4"/>
  <c r="Q212" i="4"/>
  <c r="Q215" i="4"/>
  <c r="Q216" i="4"/>
  <c r="Q225" i="4"/>
  <c r="Q231" i="4"/>
  <c r="N237" i="4"/>
  <c r="M237" i="4"/>
  <c r="N249" i="4"/>
  <c r="M249" i="4"/>
  <c r="Q256" i="4"/>
  <c r="J256" i="4"/>
  <c r="K256" i="4" s="1"/>
  <c r="Q269" i="4"/>
  <c r="K284" i="4"/>
  <c r="K6" i="20" s="1"/>
  <c r="K305" i="4"/>
  <c r="Q3" i="4"/>
  <c r="Q15" i="4"/>
  <c r="M27" i="4"/>
  <c r="N31" i="4"/>
  <c r="N35" i="4"/>
  <c r="N39" i="4"/>
  <c r="N42" i="4"/>
  <c r="M44" i="4"/>
  <c r="Q56" i="4"/>
  <c r="Q57" i="4"/>
  <c r="Q65" i="4"/>
  <c r="M72" i="4"/>
  <c r="M75" i="4"/>
  <c r="Q80" i="4"/>
  <c r="M84" i="4"/>
  <c r="M91" i="4"/>
  <c r="Q102" i="4"/>
  <c r="K105" i="4"/>
  <c r="Q108" i="4"/>
  <c r="M117" i="4"/>
  <c r="Q120" i="4"/>
  <c r="M125" i="4"/>
  <c r="Q126" i="4"/>
  <c r="J129" i="4"/>
  <c r="K129" i="4" s="1"/>
  <c r="F10" i="20" s="1"/>
  <c r="M147" i="4"/>
  <c r="N152" i="4"/>
  <c r="M152" i="4"/>
  <c r="M156" i="4"/>
  <c r="Q159" i="4"/>
  <c r="N218" i="4"/>
  <c r="M218" i="4"/>
  <c r="M239" i="4"/>
  <c r="N239" i="4"/>
  <c r="Q262" i="4"/>
  <c r="J262" i="4"/>
  <c r="K262" i="4" s="1"/>
  <c r="J10" i="20" s="1"/>
  <c r="N274" i="4"/>
  <c r="M274" i="4"/>
  <c r="N275" i="4"/>
  <c r="M275" i="4"/>
  <c r="M2" i="4"/>
  <c r="M5" i="4"/>
  <c r="Q10" i="4"/>
  <c r="M10" i="4"/>
  <c r="Q13" i="4"/>
  <c r="N25" i="4"/>
  <c r="M4" i="4"/>
  <c r="N21" i="4"/>
  <c r="Q25" i="4"/>
  <c r="Q31" i="4"/>
  <c r="Q35" i="4"/>
  <c r="Q39" i="4"/>
  <c r="Q42" i="4"/>
  <c r="Q48" i="4"/>
  <c r="J61" i="4"/>
  <c r="K61" i="4" s="1"/>
  <c r="N64" i="4"/>
  <c r="Q72" i="4"/>
  <c r="J85" i="4"/>
  <c r="K85" i="4" s="1"/>
  <c r="E32" i="20" s="1"/>
  <c r="Q94" i="4"/>
  <c r="Q100" i="4"/>
  <c r="Q104" i="4"/>
  <c r="Q105" i="4"/>
  <c r="Q106" i="4"/>
  <c r="Q110" i="4"/>
  <c r="J115" i="4"/>
  <c r="K115" i="4" s="1"/>
  <c r="F3" i="20" s="1"/>
  <c r="J123" i="4"/>
  <c r="K123" i="4" s="1"/>
  <c r="Q145" i="4"/>
  <c r="M148" i="4"/>
  <c r="N148" i="4"/>
  <c r="Q151" i="4"/>
  <c r="Q200" i="4"/>
  <c r="Q210" i="4"/>
  <c r="Q211" i="4"/>
  <c r="N215" i="4"/>
  <c r="M215" i="4"/>
  <c r="Q217" i="4"/>
  <c r="M219" i="4"/>
  <c r="Q227" i="4"/>
  <c r="Q250" i="4"/>
  <c r="J250" i="4"/>
  <c r="K250" i="4" s="1"/>
  <c r="N267" i="4"/>
  <c r="M267" i="4"/>
  <c r="Q284" i="4"/>
  <c r="K287" i="4"/>
  <c r="K5" i="20" s="1"/>
  <c r="Q307" i="4"/>
  <c r="Q312" i="4"/>
  <c r="Q365" i="4"/>
  <c r="K259" i="4"/>
  <c r="J11" i="20" s="1"/>
  <c r="Q268" i="4"/>
  <c r="K279" i="4"/>
  <c r="Q288" i="4"/>
  <c r="M290" i="4"/>
  <c r="Q290" i="4"/>
  <c r="M305" i="4"/>
  <c r="M306" i="4"/>
  <c r="Q308" i="4"/>
  <c r="N308" i="4"/>
  <c r="M324" i="4"/>
  <c r="Q324" i="4"/>
  <c r="K390" i="4"/>
  <c r="Q416" i="4"/>
  <c r="K205" i="4"/>
  <c r="H11" i="20" s="1"/>
  <c r="Q228" i="4"/>
  <c r="Q230" i="4"/>
  <c r="Q241" i="4"/>
  <c r="K246" i="4"/>
  <c r="M269" i="4"/>
  <c r="Q271" i="4"/>
  <c r="M276" i="4"/>
  <c r="Q279" i="4"/>
  <c r="N283" i="4"/>
  <c r="M289" i="4"/>
  <c r="Q291" i="4"/>
  <c r="N291" i="4"/>
  <c r="K297" i="4"/>
  <c r="N304" i="4"/>
  <c r="K316" i="4"/>
  <c r="M325" i="4"/>
  <c r="K371" i="4"/>
  <c r="M16" i="20" s="1"/>
  <c r="Q404" i="4"/>
  <c r="Q204" i="4"/>
  <c r="M209" i="4"/>
  <c r="M221" i="4"/>
  <c r="N236" i="4"/>
  <c r="M240" i="4"/>
  <c r="Q246" i="4"/>
  <c r="J260" i="4"/>
  <c r="K260" i="4" s="1"/>
  <c r="Q264" i="4"/>
  <c r="N266" i="4"/>
  <c r="Q270" i="4"/>
  <c r="Q297" i="4"/>
  <c r="Q304" i="4"/>
  <c r="Q316" i="4"/>
  <c r="Q320" i="4"/>
  <c r="Q330" i="4"/>
  <c r="Q332" i="4"/>
  <c r="Q368" i="4"/>
  <c r="K382" i="4"/>
  <c r="R2" i="22"/>
  <c r="Q11" i="4"/>
  <c r="K51" i="4"/>
  <c r="D32" i="20" s="1"/>
  <c r="K60" i="4"/>
  <c r="D14" i="20" s="1"/>
  <c r="K62" i="4"/>
  <c r="D6" i="20" s="1"/>
  <c r="K68" i="4"/>
  <c r="K29" i="4"/>
  <c r="K4" i="4"/>
  <c r="K7" i="4"/>
  <c r="K8" i="4"/>
  <c r="C8" i="20" s="1"/>
  <c r="K14" i="4"/>
  <c r="C27" i="20" s="1"/>
  <c r="K16" i="4"/>
  <c r="Q19" i="4"/>
  <c r="Q21" i="4"/>
  <c r="K26" i="4"/>
  <c r="K32" i="4"/>
  <c r="K36" i="4"/>
  <c r="K40" i="4"/>
  <c r="D16" i="20" s="1"/>
  <c r="K43" i="4"/>
  <c r="D27" i="20" s="1"/>
  <c r="Q64" i="4"/>
  <c r="K48" i="4"/>
  <c r="D3" i="20" s="1"/>
  <c r="K19" i="4"/>
  <c r="C3" i="20" s="1"/>
  <c r="Q29" i="4"/>
  <c r="K11" i="4"/>
  <c r="K22" i="4"/>
  <c r="K23" i="4"/>
  <c r="Q26" i="4"/>
  <c r="Q28" i="4"/>
  <c r="Q45" i="4"/>
  <c r="Q47" i="4"/>
  <c r="K57" i="4"/>
  <c r="D4" i="20" s="1"/>
  <c r="K65" i="4"/>
  <c r="Q8" i="4"/>
  <c r="Q2" i="4"/>
  <c r="J3" i="4"/>
  <c r="Q5" i="4"/>
  <c r="J6" i="4"/>
  <c r="Q9" i="4"/>
  <c r="J10" i="4"/>
  <c r="Q12" i="4"/>
  <c r="J13" i="4"/>
  <c r="J15" i="4"/>
  <c r="Q17" i="4"/>
  <c r="J18" i="4"/>
  <c r="Q20" i="4"/>
  <c r="J21" i="4"/>
  <c r="Q24" i="4"/>
  <c r="J25" i="4"/>
  <c r="Q27" i="4"/>
  <c r="J28" i="4"/>
  <c r="Q30" i="4"/>
  <c r="J31" i="4"/>
  <c r="J35" i="4"/>
  <c r="J39" i="4"/>
  <c r="J42" i="4"/>
  <c r="J45" i="4"/>
  <c r="J47" i="4"/>
  <c r="J50" i="4"/>
  <c r="J54" i="4"/>
  <c r="J59" i="4"/>
  <c r="J64" i="4"/>
  <c r="J67" i="4"/>
  <c r="Q68" i="4"/>
  <c r="K69" i="4"/>
  <c r="E28" i="20" s="1"/>
  <c r="J73" i="4"/>
  <c r="J77" i="4"/>
  <c r="Q77" i="4"/>
  <c r="N78" i="4"/>
  <c r="M78" i="4"/>
  <c r="N81" i="4"/>
  <c r="M81" i="4"/>
  <c r="K90" i="4"/>
  <c r="K94" i="4"/>
  <c r="E5" i="20" s="1"/>
  <c r="N100" i="4"/>
  <c r="M100" i="4"/>
  <c r="J109" i="4"/>
  <c r="Q109" i="4"/>
  <c r="N110" i="4"/>
  <c r="M110" i="4"/>
  <c r="K117" i="4"/>
  <c r="J121" i="4"/>
  <c r="Q121" i="4"/>
  <c r="K135" i="4"/>
  <c r="N136" i="4"/>
  <c r="M136" i="4"/>
  <c r="K141" i="4"/>
  <c r="G36" i="20" s="1"/>
  <c r="K144" i="4"/>
  <c r="K146" i="4"/>
  <c r="Q16" i="4"/>
  <c r="K75" i="4"/>
  <c r="E19" i="20" s="1"/>
  <c r="J83" i="4"/>
  <c r="Q83" i="4"/>
  <c r="K87" i="4"/>
  <c r="E11" i="20" s="1"/>
  <c r="K91" i="4"/>
  <c r="E4" i="20" s="1"/>
  <c r="J95" i="4"/>
  <c r="Q95" i="4"/>
  <c r="K104" i="4"/>
  <c r="N106" i="4"/>
  <c r="M106" i="4"/>
  <c r="J112" i="4"/>
  <c r="Q112" i="4"/>
  <c r="J118" i="4"/>
  <c r="Q118" i="4"/>
  <c r="K126" i="4"/>
  <c r="F29" i="20" s="1"/>
  <c r="J130" i="4"/>
  <c r="Q130" i="4"/>
  <c r="K145" i="4"/>
  <c r="G7" i="20" s="1"/>
  <c r="Q52" i="4"/>
  <c r="K2" i="4"/>
  <c r="K5" i="4"/>
  <c r="C30" i="20" s="1"/>
  <c r="M7" i="4"/>
  <c r="Q7" i="4"/>
  <c r="K9" i="4"/>
  <c r="K12" i="4"/>
  <c r="C19" i="20" s="1"/>
  <c r="K17" i="4"/>
  <c r="C31" i="20" s="1"/>
  <c r="K20" i="4"/>
  <c r="C24" i="20" s="1"/>
  <c r="M22" i="4"/>
  <c r="Q22" i="4"/>
  <c r="K24" i="4"/>
  <c r="C17" i="20" s="1"/>
  <c r="K27" i="4"/>
  <c r="C34" i="20" s="1"/>
  <c r="K30" i="4"/>
  <c r="M32" i="4"/>
  <c r="Q32" i="4"/>
  <c r="K34" i="4"/>
  <c r="D30" i="20" s="1"/>
  <c r="M36" i="4"/>
  <c r="Q36" i="4"/>
  <c r="K38" i="4"/>
  <c r="D28" i="20" s="1"/>
  <c r="M40" i="4"/>
  <c r="Q40" i="4"/>
  <c r="K44" i="4"/>
  <c r="D7" i="20" s="1"/>
  <c r="M51" i="4"/>
  <c r="Q51" i="4"/>
  <c r="K53" i="4"/>
  <c r="D11" i="20" s="1"/>
  <c r="K58" i="4"/>
  <c r="D34" i="20" s="1"/>
  <c r="K63" i="4"/>
  <c r="E12" i="20" s="1"/>
  <c r="K66" i="4"/>
  <c r="E39" i="20" s="1"/>
  <c r="M69" i="4"/>
  <c r="Q70" i="4"/>
  <c r="N74" i="4"/>
  <c r="M74" i="4"/>
  <c r="K78" i="4"/>
  <c r="K81" i="4"/>
  <c r="J89" i="4"/>
  <c r="Q89" i="4"/>
  <c r="J92" i="4"/>
  <c r="Q92" i="4"/>
  <c r="K96" i="4"/>
  <c r="E6" i="20" s="1"/>
  <c r="J97" i="4"/>
  <c r="Q97" i="4"/>
  <c r="K100" i="4"/>
  <c r="F39" i="20" s="1"/>
  <c r="K102" i="4"/>
  <c r="F8" i="20" s="1"/>
  <c r="K110" i="4"/>
  <c r="F14" i="20" s="1"/>
  <c r="J127" i="4"/>
  <c r="Q127" i="4"/>
  <c r="K133" i="4"/>
  <c r="K136" i="4"/>
  <c r="K137" i="4"/>
  <c r="G18" i="20" s="1"/>
  <c r="Q144" i="4"/>
  <c r="Q4" i="4"/>
  <c r="Q23" i="4"/>
  <c r="K33" i="4"/>
  <c r="D21" i="20" s="1"/>
  <c r="K37" i="4"/>
  <c r="D8" i="20" s="1"/>
  <c r="K52" i="4"/>
  <c r="D25" i="20" s="1"/>
  <c r="K55" i="4"/>
  <c r="D17" i="20" s="1"/>
  <c r="Q71" i="4"/>
  <c r="K72" i="4"/>
  <c r="E33" i="20" s="1"/>
  <c r="J74" i="4"/>
  <c r="Q74" i="4"/>
  <c r="K76" i="4"/>
  <c r="E14" i="20" s="1"/>
  <c r="N77" i="4"/>
  <c r="M77" i="4"/>
  <c r="J86" i="4"/>
  <c r="Q86" i="4"/>
  <c r="K98" i="4"/>
  <c r="F21" i="20" s="1"/>
  <c r="J103" i="4"/>
  <c r="Q103" i="4"/>
  <c r="K106" i="4"/>
  <c r="F33" i="20" s="1"/>
  <c r="K108" i="4"/>
  <c r="F36" i="20" s="1"/>
  <c r="K116" i="4"/>
  <c r="F24" i="20" s="1"/>
  <c r="K120" i="4"/>
  <c r="F25" i="20" s="1"/>
  <c r="J124" i="4"/>
  <c r="Q124" i="4"/>
  <c r="K134" i="4"/>
  <c r="Q136" i="4"/>
  <c r="N150" i="4"/>
  <c r="M150" i="4"/>
  <c r="Q152" i="4"/>
  <c r="J152" i="4"/>
  <c r="K157" i="4"/>
  <c r="G34" i="20" s="1"/>
  <c r="Q197" i="4"/>
  <c r="J197" i="4"/>
  <c r="K206" i="4"/>
  <c r="K207" i="4"/>
  <c r="H8" i="20" s="1"/>
  <c r="K209" i="4"/>
  <c r="H9" i="20" s="1"/>
  <c r="K221" i="4"/>
  <c r="H24" i="20" s="1"/>
  <c r="K224" i="4"/>
  <c r="I3" i="20" s="1"/>
  <c r="K235" i="4"/>
  <c r="I12" i="20" s="1"/>
  <c r="Q78" i="4"/>
  <c r="Q81" i="4"/>
  <c r="K140" i="4"/>
  <c r="G31" i="20" s="1"/>
  <c r="K148" i="4"/>
  <c r="G13" i="20" s="1"/>
  <c r="Q149" i="4"/>
  <c r="J149" i="4"/>
  <c r="K153" i="4"/>
  <c r="K154" i="4"/>
  <c r="K158" i="4"/>
  <c r="G5" i="20" s="1"/>
  <c r="Q199" i="4"/>
  <c r="J199" i="4"/>
  <c r="N201" i="4"/>
  <c r="M201" i="4"/>
  <c r="K212" i="4"/>
  <c r="H13" i="20" s="1"/>
  <c r="K214" i="4"/>
  <c r="H23" i="20" s="1"/>
  <c r="K217" i="4"/>
  <c r="H27" i="20" s="1"/>
  <c r="K226" i="4"/>
  <c r="K227" i="4"/>
  <c r="I15" i="20" s="1"/>
  <c r="K229" i="4"/>
  <c r="I5" i="20" s="1"/>
  <c r="K231" i="4"/>
  <c r="I11" i="20" s="1"/>
  <c r="K79" i="4"/>
  <c r="E26" i="20" s="1"/>
  <c r="K84" i="4"/>
  <c r="E13" i="20" s="1"/>
  <c r="M86" i="4"/>
  <c r="M89" i="4"/>
  <c r="K93" i="4"/>
  <c r="E34" i="20" s="1"/>
  <c r="K101" i="4"/>
  <c r="F23" i="20" s="1"/>
  <c r="M103" i="4"/>
  <c r="K107" i="4"/>
  <c r="F31" i="20" s="1"/>
  <c r="M109" i="4"/>
  <c r="M112" i="4"/>
  <c r="K114" i="4"/>
  <c r="F20" i="20" s="1"/>
  <c r="K119" i="4"/>
  <c r="F32" i="20" s="1"/>
  <c r="K122" i="4"/>
  <c r="F22" i="20" s="1"/>
  <c r="K128" i="4"/>
  <c r="F5" i="20" s="1"/>
  <c r="K131" i="4"/>
  <c r="G12" i="20" s="1"/>
  <c r="M137" i="4"/>
  <c r="Q138" i="4"/>
  <c r="K143" i="4"/>
  <c r="G14" i="20" s="1"/>
  <c r="Q146" i="4"/>
  <c r="Q147" i="4"/>
  <c r="S147" i="4" s="1"/>
  <c r="K150" i="4"/>
  <c r="K151" i="4"/>
  <c r="G11" i="20" s="1"/>
  <c r="K156" i="4"/>
  <c r="G29" i="20" s="1"/>
  <c r="K159" i="4"/>
  <c r="G10" i="20" s="1"/>
  <c r="K196" i="4"/>
  <c r="K204" i="4"/>
  <c r="H16" i="20" s="1"/>
  <c r="N206" i="4"/>
  <c r="M206" i="4"/>
  <c r="Q133" i="4"/>
  <c r="Q134" i="4"/>
  <c r="Q135" i="4"/>
  <c r="N153" i="4"/>
  <c r="M153" i="4"/>
  <c r="Q155" i="4"/>
  <c r="J155" i="4"/>
  <c r="Q160" i="4"/>
  <c r="J160" i="4"/>
  <c r="K198" i="4"/>
  <c r="H4" i="20" s="1"/>
  <c r="K201" i="4"/>
  <c r="K202" i="4"/>
  <c r="H10" i="20" s="1"/>
  <c r="J208" i="4"/>
  <c r="J211" i="4"/>
  <c r="J216" i="4"/>
  <c r="J219" i="4"/>
  <c r="J223" i="4"/>
  <c r="J225" i="4"/>
  <c r="J228" i="4"/>
  <c r="J230" i="4"/>
  <c r="K233" i="4"/>
  <c r="I8" i="20" s="1"/>
  <c r="Q239" i="4"/>
  <c r="Q240" i="4"/>
  <c r="K241" i="4"/>
  <c r="I19" i="20" s="1"/>
  <c r="N243" i="4"/>
  <c r="M243" i="4"/>
  <c r="N247" i="4"/>
  <c r="M247" i="4"/>
  <c r="K251" i="4"/>
  <c r="J3" i="20" s="1"/>
  <c r="Q258" i="4"/>
  <c r="N261" i="4"/>
  <c r="M261" i="4"/>
  <c r="Q274" i="4"/>
  <c r="J282" i="4"/>
  <c r="Q282" i="4"/>
  <c r="J285" i="4"/>
  <c r="Q285" i="4"/>
  <c r="Q292" i="4"/>
  <c r="K292" i="4"/>
  <c r="K296" i="4"/>
  <c r="K31" i="20" s="1"/>
  <c r="K303" i="4"/>
  <c r="K27" i="20" s="1"/>
  <c r="K311" i="4"/>
  <c r="L15" i="20" s="1"/>
  <c r="Q315" i="4"/>
  <c r="K315" i="4"/>
  <c r="L16" i="20" s="1"/>
  <c r="Q323" i="4"/>
  <c r="K323" i="4"/>
  <c r="Q233" i="4"/>
  <c r="K234" i="4"/>
  <c r="I20" i="20" s="1"/>
  <c r="J243" i="4"/>
  <c r="Q243" i="4"/>
  <c r="K245" i="4"/>
  <c r="I27" i="20" s="1"/>
  <c r="J247" i="4"/>
  <c r="Q247" i="4"/>
  <c r="K249" i="4"/>
  <c r="I32" i="20" s="1"/>
  <c r="K254" i="4"/>
  <c r="J21" i="20" s="1"/>
  <c r="J263" i="4"/>
  <c r="Q263" i="4"/>
  <c r="N264" i="4"/>
  <c r="M264" i="4"/>
  <c r="K2" i="20"/>
  <c r="K293" i="4"/>
  <c r="K17" i="20" s="1"/>
  <c r="Q300" i="4"/>
  <c r="K300" i="4"/>
  <c r="K306" i="4"/>
  <c r="K24" i="20" s="1"/>
  <c r="K313" i="4"/>
  <c r="L10" i="20" s="1"/>
  <c r="M319" i="4"/>
  <c r="N319" i="4"/>
  <c r="K325" i="4"/>
  <c r="L19" i="20" s="1"/>
  <c r="Q150" i="4"/>
  <c r="Q153" i="4"/>
  <c r="Q201" i="4"/>
  <c r="Q206" i="4"/>
  <c r="K210" i="4"/>
  <c r="H7" i="20" s="1"/>
  <c r="K215" i="4"/>
  <c r="H14" i="20" s="1"/>
  <c r="K218" i="4"/>
  <c r="H26" i="20" s="1"/>
  <c r="K222" i="4"/>
  <c r="H32" i="20" s="1"/>
  <c r="M226" i="4"/>
  <c r="Q226" i="4"/>
  <c r="N232" i="4"/>
  <c r="M233" i="4"/>
  <c r="Q236" i="4"/>
  <c r="Q237" i="4"/>
  <c r="K238" i="4"/>
  <c r="I7" i="20" s="1"/>
  <c r="J239" i="4"/>
  <c r="M241" i="4"/>
  <c r="K242" i="4"/>
  <c r="I14" i="20" s="1"/>
  <c r="S246" i="4"/>
  <c r="N251" i="4"/>
  <c r="M251" i="4"/>
  <c r="K258" i="4"/>
  <c r="J16" i="20" s="1"/>
  <c r="K266" i="4"/>
  <c r="J9" i="20" s="1"/>
  <c r="J267" i="4"/>
  <c r="Q267" i="4"/>
  <c r="N268" i="4"/>
  <c r="M268" i="4"/>
  <c r="Q283" i="4"/>
  <c r="K283" i="4"/>
  <c r="K15" i="20" s="1"/>
  <c r="Q286" i="4"/>
  <c r="K286" i="4"/>
  <c r="Q305" i="4"/>
  <c r="K307" i="4"/>
  <c r="J322" i="4"/>
  <c r="Q322" i="4"/>
  <c r="K327" i="4"/>
  <c r="L28" i="20" s="1"/>
  <c r="J232" i="4"/>
  <c r="K244" i="4"/>
  <c r="I22" i="20" s="1"/>
  <c r="M244" i="4"/>
  <c r="K248" i="4"/>
  <c r="I24" i="20" s="1"/>
  <c r="M248" i="4"/>
  <c r="N254" i="4"/>
  <c r="M254" i="4"/>
  <c r="K257" i="4"/>
  <c r="J5" i="20" s="1"/>
  <c r="N271" i="4"/>
  <c r="M271" i="4"/>
  <c r="Q273" i="4"/>
  <c r="K273" i="4"/>
  <c r="J38" i="20" s="1"/>
  <c r="R38" i="20" s="1"/>
  <c r="K290" i="4"/>
  <c r="K8" i="20" s="1"/>
  <c r="K318" i="4"/>
  <c r="L18" i="20" s="1"/>
  <c r="K332" i="4"/>
  <c r="L24" i="20" s="1"/>
  <c r="K278" i="4"/>
  <c r="J32" i="20" s="1"/>
  <c r="K289" i="4"/>
  <c r="K11" i="20" s="1"/>
  <c r="K299" i="4"/>
  <c r="K23" i="20" s="1"/>
  <c r="K302" i="4"/>
  <c r="K22" i="20" s="1"/>
  <c r="Q303" i="4"/>
  <c r="K304" i="4"/>
  <c r="K26" i="20" s="1"/>
  <c r="K309" i="4"/>
  <c r="L4" i="20" s="1"/>
  <c r="K314" i="4"/>
  <c r="L5" i="20" s="1"/>
  <c r="Q375" i="4"/>
  <c r="S375" i="4" s="1"/>
  <c r="K252" i="4"/>
  <c r="J4" i="20" s="1"/>
  <c r="K255" i="4"/>
  <c r="J15" i="20" s="1"/>
  <c r="K265" i="4"/>
  <c r="J23" i="20" s="1"/>
  <c r="K269" i="4"/>
  <c r="J13" i="20" s="1"/>
  <c r="K272" i="4"/>
  <c r="J22" i="20" s="1"/>
  <c r="K276" i="4"/>
  <c r="J36" i="20" s="1"/>
  <c r="K281" i="4"/>
  <c r="K4" i="20" s="1"/>
  <c r="K321" i="4"/>
  <c r="L12" i="20" s="1"/>
  <c r="K328" i="4"/>
  <c r="L22" i="20" s="1"/>
  <c r="N329" i="4"/>
  <c r="K374" i="4"/>
  <c r="M10" i="20" s="1"/>
  <c r="K380" i="4"/>
  <c r="M14" i="20" s="1"/>
  <c r="S390" i="4"/>
  <c r="P2" i="8" s="1"/>
  <c r="K261" i="4"/>
  <c r="J8" i="20" s="1"/>
  <c r="K264" i="4"/>
  <c r="J12" i="20" s="1"/>
  <c r="K268" i="4"/>
  <c r="J31" i="20" s="1"/>
  <c r="K271" i="4"/>
  <c r="J28" i="20" s="1"/>
  <c r="N273" i="4"/>
  <c r="K310" i="4"/>
  <c r="L21" i="20" s="1"/>
  <c r="N314" i="4"/>
  <c r="K324" i="4"/>
  <c r="L13" i="20" s="1"/>
  <c r="K331" i="4"/>
  <c r="L36" i="20" s="1"/>
  <c r="Q382" i="4"/>
  <c r="K379" i="4"/>
  <c r="M9" i="20" s="1"/>
  <c r="S381" i="4"/>
  <c r="G25" i="17"/>
  <c r="H2" i="13"/>
  <c r="H2" i="8"/>
  <c r="G34" i="17"/>
  <c r="H2" i="12"/>
  <c r="G23" i="17"/>
  <c r="G3" i="17"/>
  <c r="G13" i="17"/>
  <c r="G9" i="17"/>
  <c r="G6" i="17"/>
  <c r="G5" i="17"/>
  <c r="G14" i="17"/>
  <c r="G31" i="17"/>
  <c r="G24" i="17"/>
  <c r="G27" i="17"/>
  <c r="G29" i="17"/>
  <c r="G22" i="17"/>
  <c r="G11" i="17"/>
  <c r="G32" i="17"/>
  <c r="G33" i="17"/>
  <c r="G26" i="17"/>
  <c r="G10" i="17"/>
  <c r="G7" i="17"/>
  <c r="G8" i="17"/>
  <c r="G28" i="17"/>
  <c r="G12" i="17"/>
  <c r="G30" i="17"/>
  <c r="G4" i="17"/>
  <c r="M25" i="17"/>
  <c r="N2" i="13"/>
  <c r="N2" i="8"/>
  <c r="M34" i="17"/>
  <c r="N2" i="12"/>
  <c r="M23" i="17"/>
  <c r="M3" i="17"/>
  <c r="M13" i="17"/>
  <c r="M9" i="17"/>
  <c r="M6" i="17"/>
  <c r="M5" i="17"/>
  <c r="M14" i="17"/>
  <c r="M31" i="17"/>
  <c r="M24" i="17"/>
  <c r="M27" i="17"/>
  <c r="M29" i="17"/>
  <c r="M22" i="17"/>
  <c r="M11" i="17"/>
  <c r="M32" i="17"/>
  <c r="M33" i="17"/>
  <c r="M7" i="17"/>
  <c r="M8" i="17"/>
  <c r="M28" i="17"/>
  <c r="M12" i="17"/>
  <c r="M30" i="17"/>
  <c r="M4" i="17"/>
  <c r="K387" i="4"/>
  <c r="M27" i="20" s="1"/>
  <c r="K389" i="4"/>
  <c r="M28" i="20" s="1"/>
  <c r="N393" i="4"/>
  <c r="M393" i="4"/>
  <c r="K394" i="4"/>
  <c r="N4" i="20" s="1"/>
  <c r="K395" i="4"/>
  <c r="N5" i="20" s="1"/>
  <c r="J396" i="4"/>
  <c r="Q396" i="4"/>
  <c r="K397" i="4"/>
  <c r="N15" i="20" s="1"/>
  <c r="K399" i="4"/>
  <c r="K400" i="4"/>
  <c r="N8" i="20" s="1"/>
  <c r="K402" i="4"/>
  <c r="K405" i="4"/>
  <c r="K406" i="4"/>
  <c r="K407" i="4"/>
  <c r="N14" i="20" s="1"/>
  <c r="K409" i="4"/>
  <c r="K411" i="4"/>
  <c r="K412" i="4"/>
  <c r="K413" i="4"/>
  <c r="N22" i="20" s="1"/>
  <c r="K414" i="4"/>
  <c r="Q415" i="4"/>
  <c r="K417" i="4"/>
  <c r="O3" i="20" s="1"/>
  <c r="K418" i="4"/>
  <c r="O21" i="20" s="1"/>
  <c r="K423" i="4"/>
  <c r="K425" i="4"/>
  <c r="O12" i="20" s="1"/>
  <c r="K426" i="4"/>
  <c r="O8" i="20" s="1"/>
  <c r="K428" i="4"/>
  <c r="O9" i="20" s="1"/>
  <c r="K429" i="4"/>
  <c r="O13" i="20" s="1"/>
  <c r="K430" i="4"/>
  <c r="O7" i="20" s="1"/>
  <c r="K432" i="4"/>
  <c r="O20" i="20" s="1"/>
  <c r="K433" i="4"/>
  <c r="O19" i="20" s="1"/>
  <c r="K434" i="4"/>
  <c r="O23" i="20" s="1"/>
  <c r="K436" i="4"/>
  <c r="O27" i="20" s="1"/>
  <c r="K437" i="4"/>
  <c r="O22" i="20" s="1"/>
  <c r="K438" i="4"/>
  <c r="O28" i="20" s="1"/>
  <c r="K439" i="4"/>
  <c r="O33" i="20" s="1"/>
  <c r="Q409" i="4"/>
  <c r="M415" i="4"/>
  <c r="K419" i="4"/>
  <c r="O6" i="20" s="1"/>
  <c r="M420" i="4"/>
  <c r="K422" i="4"/>
  <c r="O5" i="20" s="1"/>
  <c r="Q423" i="4"/>
  <c r="M426" i="4"/>
  <c r="M430" i="4"/>
  <c r="M433" i="4"/>
  <c r="K435" i="4"/>
  <c r="O34" i="20" s="1"/>
  <c r="M436" i="4"/>
  <c r="N437" i="4"/>
  <c r="M438" i="4"/>
  <c r="K398" i="4"/>
  <c r="N10" i="20" s="1"/>
  <c r="Q399" i="4"/>
  <c r="M403" i="4"/>
  <c r="J404" i="4"/>
  <c r="M406" i="4"/>
  <c r="Q406" i="4"/>
  <c r="K410" i="4"/>
  <c r="N23" i="20" s="1"/>
  <c r="M412" i="4"/>
  <c r="Q412" i="4"/>
  <c r="Q414" i="4"/>
  <c r="M417" i="4"/>
  <c r="Q417" i="4"/>
  <c r="K421" i="4"/>
  <c r="O15" i="20" s="1"/>
  <c r="M425" i="4"/>
  <c r="K427" i="4"/>
  <c r="O18" i="20" s="1"/>
  <c r="M429" i="4"/>
  <c r="K431" i="4"/>
  <c r="O14" i="20" s="1"/>
  <c r="M402" i="4"/>
  <c r="Q402" i="4"/>
  <c r="M405" i="4"/>
  <c r="Q405" i="4"/>
  <c r="Q411" i="4"/>
  <c r="K415" i="4"/>
  <c r="N35" i="20" s="1"/>
  <c r="R35" i="20" s="1"/>
  <c r="K420" i="4"/>
  <c r="O4" i="20" s="1"/>
  <c r="M439" i="4"/>
  <c r="K393" i="4"/>
  <c r="N6" i="20" s="1"/>
  <c r="K403" i="4"/>
  <c r="N18" i="20" s="1"/>
  <c r="V13" i="12"/>
  <c r="V12" i="12"/>
  <c r="J14" i="20" l="1"/>
  <c r="F13" i="20"/>
  <c r="E30" i="20"/>
  <c r="R30" i="20" s="1"/>
  <c r="L7" i="20"/>
  <c r="E15" i="20"/>
  <c r="N27" i="20"/>
  <c r="O11" i="20"/>
  <c r="N24" i="20"/>
  <c r="N19" i="20"/>
  <c r="N13" i="20"/>
  <c r="K10" i="20"/>
  <c r="K14" i="20"/>
  <c r="K12" i="20"/>
  <c r="H39" i="20"/>
  <c r="G17" i="20"/>
  <c r="H18" i="20"/>
  <c r="G28" i="20"/>
  <c r="G20" i="20"/>
  <c r="C16" i="20"/>
  <c r="D12" i="20"/>
  <c r="C15" i="20"/>
  <c r="C21" i="20"/>
  <c r="M17" i="20"/>
  <c r="I26" i="20"/>
  <c r="F17" i="20"/>
  <c r="J6" i="20"/>
  <c r="K7" i="20"/>
  <c r="G16" i="20"/>
  <c r="L27" i="20"/>
  <c r="D19" i="20"/>
  <c r="K20" i="20"/>
  <c r="M13" i="20"/>
  <c r="M4" i="20"/>
  <c r="M3" i="20"/>
  <c r="M24" i="20"/>
  <c r="G23" i="20"/>
  <c r="G39" i="20"/>
  <c r="G9" i="20"/>
  <c r="G8" i="20"/>
  <c r="C4" i="20"/>
  <c r="C14" i="20"/>
  <c r="R14" i="20" s="1"/>
  <c r="L11" i="20"/>
  <c r="K36" i="20"/>
  <c r="I13" i="20"/>
  <c r="K16" i="20"/>
  <c r="K9" i="20"/>
  <c r="N3" i="20"/>
  <c r="M6" i="20"/>
  <c r="K28" i="20"/>
  <c r="M21" i="20"/>
  <c r="N20" i="20"/>
  <c r="N11" i="20"/>
  <c r="G32" i="20"/>
  <c r="R32" i="20" s="1"/>
  <c r="I21" i="20"/>
  <c r="E20" i="20"/>
  <c r="C11" i="20"/>
  <c r="E8" i="20"/>
  <c r="E18" i="20"/>
  <c r="L3" i="20"/>
  <c r="G3" i="20"/>
  <c r="G19" i="20"/>
  <c r="J27" i="20"/>
  <c r="R27" i="20" s="1"/>
  <c r="L20" i="20"/>
  <c r="I17" i="20"/>
  <c r="M8" i="20"/>
  <c r="N26" i="20"/>
  <c r="N9" i="20"/>
  <c r="E7" i="20"/>
  <c r="C10" i="20"/>
  <c r="C28" i="20"/>
  <c r="C12" i="20"/>
  <c r="F18" i="20"/>
  <c r="C13" i="20"/>
  <c r="D23" i="20"/>
  <c r="C23" i="20"/>
  <c r="J18" i="20"/>
  <c r="K13" i="20"/>
  <c r="D10" i="20"/>
  <c r="F16" i="20"/>
  <c r="J39" i="20"/>
  <c r="I9" i="20"/>
  <c r="F9" i="20"/>
  <c r="L26" i="20"/>
  <c r="H19" i="20"/>
  <c r="E16" i="20"/>
  <c r="L6" i="20"/>
  <c r="M11" i="20"/>
  <c r="T27" i="20"/>
  <c r="S279" i="4"/>
  <c r="L2" i="8" s="1"/>
  <c r="S384" i="4"/>
  <c r="S373" i="4"/>
  <c r="S200" i="4"/>
  <c r="S294" i="4"/>
  <c r="K11" i="17" s="1"/>
  <c r="S236" i="4"/>
  <c r="S287" i="4"/>
  <c r="S317" i="4"/>
  <c r="S250" i="4"/>
  <c r="J25" i="17" s="1"/>
  <c r="S111" i="4"/>
  <c r="N29" i="17"/>
  <c r="N8" i="17"/>
  <c r="O6" i="12"/>
  <c r="S416" i="4"/>
  <c r="S308" i="4"/>
  <c r="S135" i="4"/>
  <c r="S280" i="4"/>
  <c r="S134" i="4"/>
  <c r="S301" i="4"/>
  <c r="S424" i="4"/>
  <c r="N2" i="20"/>
  <c r="S366" i="4"/>
  <c r="P2" i="13"/>
  <c r="S297" i="4"/>
  <c r="S2" i="19"/>
  <c r="S372" i="4"/>
  <c r="K2" i="13"/>
  <c r="S368" i="4"/>
  <c r="O25" i="17"/>
  <c r="G2" i="12"/>
  <c r="S329" i="4"/>
  <c r="L2" i="13"/>
  <c r="K25" i="17"/>
  <c r="E2" i="20"/>
  <c r="J2" i="20"/>
  <c r="S240" i="4"/>
  <c r="S270" i="4"/>
  <c r="S312" i="4"/>
  <c r="L24" i="17"/>
  <c r="O2" i="20"/>
  <c r="S431" i="4"/>
  <c r="S370" i="4"/>
  <c r="S421" i="4"/>
  <c r="S419" i="4"/>
  <c r="S434" i="4"/>
  <c r="S303" i="4"/>
  <c r="H9" i="17"/>
  <c r="S65" i="4"/>
  <c r="S82" i="4"/>
  <c r="S427" i="4"/>
  <c r="S435" i="4"/>
  <c r="S428" i="4"/>
  <c r="S418" i="4"/>
  <c r="T3" i="19"/>
  <c r="S253" i="4"/>
  <c r="S142" i="4"/>
  <c r="S391" i="4"/>
  <c r="S365" i="4"/>
  <c r="O2" i="8" s="1"/>
  <c r="S61" i="4"/>
  <c r="S330" i="4"/>
  <c r="S284" i="4"/>
  <c r="S260" i="4"/>
  <c r="G2" i="20"/>
  <c r="S46" i="4"/>
  <c r="E11" i="17"/>
  <c r="N25" i="17"/>
  <c r="S432" i="4"/>
  <c r="S378" i="4"/>
  <c r="S41" i="4"/>
  <c r="S56" i="4"/>
  <c r="C25" i="17" s="1"/>
  <c r="S367" i="4"/>
  <c r="S422" i="4"/>
  <c r="E2" i="12"/>
  <c r="S377" i="4"/>
  <c r="S291" i="4"/>
  <c r="M2" i="20"/>
  <c r="S80" i="4"/>
  <c r="S259" i="4"/>
  <c r="S213" i="4"/>
  <c r="S383" i="4"/>
  <c r="L2" i="20"/>
  <c r="S277" i="4"/>
  <c r="H2" i="20"/>
  <c r="S369" i="4"/>
  <c r="S316" i="4"/>
  <c r="J31" i="17"/>
  <c r="M2" i="12"/>
  <c r="S137" i="4"/>
  <c r="S71" i="4"/>
  <c r="K2" i="8"/>
  <c r="S256" i="4"/>
  <c r="S23" i="4"/>
  <c r="S320" i="4"/>
  <c r="S262" i="4"/>
  <c r="S237" i="4"/>
  <c r="S70" i="4"/>
  <c r="S75" i="4"/>
  <c r="S386" i="4"/>
  <c r="S254" i="4"/>
  <c r="S289" i="4"/>
  <c r="S385" i="4"/>
  <c r="S376" i="4"/>
  <c r="S278" i="4"/>
  <c r="S311" i="4"/>
  <c r="S295" i="4"/>
  <c r="S212" i="4"/>
  <c r="D2" i="20"/>
  <c r="S241" i="4"/>
  <c r="S115" i="4"/>
  <c r="S326" i="4"/>
  <c r="S78" i="4"/>
  <c r="S157" i="4"/>
  <c r="S399" i="4"/>
  <c r="S132" i="4"/>
  <c r="N4" i="17"/>
  <c r="S292" i="4"/>
  <c r="S156" i="4"/>
  <c r="S96" i="4"/>
  <c r="S392" i="4"/>
  <c r="S296" i="4"/>
  <c r="S159" i="4"/>
  <c r="S69" i="4"/>
  <c r="S438" i="4"/>
  <c r="S411" i="4"/>
  <c r="S429" i="4"/>
  <c r="S433" i="4"/>
  <c r="S439" i="4"/>
  <c r="S414" i="4"/>
  <c r="S423" i="4"/>
  <c r="S407" i="4"/>
  <c r="S389" i="4"/>
  <c r="S150" i="4"/>
  <c r="S207" i="4"/>
  <c r="S51" i="4"/>
  <c r="S36" i="4"/>
  <c r="S22" i="4"/>
  <c r="S68" i="4"/>
  <c r="S415" i="4"/>
  <c r="S379" i="4"/>
  <c r="S249" i="4"/>
  <c r="S245" i="4"/>
  <c r="S437" i="4"/>
  <c r="S268" i="4"/>
  <c r="S106" i="4"/>
  <c r="S7" i="4"/>
  <c r="S288" i="4"/>
  <c r="S248" i="4"/>
  <c r="S251" i="4"/>
  <c r="S226" i="4"/>
  <c r="S306" i="4"/>
  <c r="S293" i="4"/>
  <c r="S43" i="4"/>
  <c r="N27" i="17"/>
  <c r="F8" i="17"/>
  <c r="S402" i="4"/>
  <c r="S403" i="4"/>
  <c r="S436" i="4"/>
  <c r="S400" i="4"/>
  <c r="S394" i="4"/>
  <c r="S315" i="4"/>
  <c r="S275" i="4"/>
  <c r="S266" i="4"/>
  <c r="S325" i="4"/>
  <c r="S274" i="4"/>
  <c r="S198" i="4"/>
  <c r="S242" i="4"/>
  <c r="S204" i="4"/>
  <c r="S217" i="4"/>
  <c r="S210" i="4"/>
  <c r="S140" i="4"/>
  <c r="S209" i="4"/>
  <c r="S85" i="4"/>
  <c r="S32" i="4"/>
  <c r="S145" i="4"/>
  <c r="S144" i="4"/>
  <c r="S62" i="4"/>
  <c r="S105" i="4"/>
  <c r="S203" i="4"/>
  <c r="S314" i="4"/>
  <c r="S33" i="4"/>
  <c r="S205" i="4"/>
  <c r="S371" i="4"/>
  <c r="S405" i="4"/>
  <c r="S406" i="4"/>
  <c r="S387" i="4"/>
  <c r="S324" i="4"/>
  <c r="S302" i="4"/>
  <c r="S332" i="4"/>
  <c r="S290" i="4"/>
  <c r="S273" i="4"/>
  <c r="S269" i="4"/>
  <c r="S233" i="4"/>
  <c r="S319" i="4"/>
  <c r="S264" i="4"/>
  <c r="S234" i="4"/>
  <c r="S153" i="4"/>
  <c r="S218" i="4"/>
  <c r="S102" i="4"/>
  <c r="S40" i="4"/>
  <c r="S129" i="4"/>
  <c r="S58" i="4"/>
  <c r="S29" i="4"/>
  <c r="S417" i="4"/>
  <c r="S412" i="4"/>
  <c r="S420" i="4"/>
  <c r="S409" i="4"/>
  <c r="S93" i="4"/>
  <c r="P28" i="17"/>
  <c r="T2" i="19"/>
  <c r="S430" i="4"/>
  <c r="R3" i="19"/>
  <c r="S426" i="4"/>
  <c r="S3" i="19"/>
  <c r="R2" i="19"/>
  <c r="S425" i="4"/>
  <c r="G2" i="17"/>
  <c r="S408" i="4"/>
  <c r="S397" i="4"/>
  <c r="S395" i="4"/>
  <c r="S310" i="4"/>
  <c r="K232" i="4"/>
  <c r="I18" i="20" s="1"/>
  <c r="F34" i="17"/>
  <c r="S410" i="4"/>
  <c r="S401" i="4"/>
  <c r="S382" i="4"/>
  <c r="S331" i="4"/>
  <c r="S281" i="4"/>
  <c r="S380" i="4"/>
  <c r="S318" i="4"/>
  <c r="S271" i="4"/>
  <c r="K322" i="4"/>
  <c r="L17" i="20" s="1"/>
  <c r="S413" i="4"/>
  <c r="K396" i="4"/>
  <c r="N16" i="20" s="1"/>
  <c r="M2" i="17"/>
  <c r="S321" i="4"/>
  <c r="S398" i="4"/>
  <c r="S309" i="4"/>
  <c r="S286" i="4"/>
  <c r="S393" i="4"/>
  <c r="M21" i="17"/>
  <c r="S255" i="4"/>
  <c r="S327" i="4"/>
  <c r="S305" i="4"/>
  <c r="K239" i="4"/>
  <c r="I31" i="20" s="1"/>
  <c r="S222" i="4"/>
  <c r="S206" i="4"/>
  <c r="S323" i="4"/>
  <c r="K267" i="4"/>
  <c r="J7" i="20" s="1"/>
  <c r="K247" i="4"/>
  <c r="I36" i="20" s="1"/>
  <c r="K243" i="4"/>
  <c r="I28" i="20" s="1"/>
  <c r="S374" i="4"/>
  <c r="K285" i="4"/>
  <c r="K39" i="20" s="1"/>
  <c r="S276" i="4"/>
  <c r="K223" i="4"/>
  <c r="I2" i="20" s="1"/>
  <c r="K208" i="4"/>
  <c r="H12" i="20" s="1"/>
  <c r="K160" i="4"/>
  <c r="G6" i="20" s="1"/>
  <c r="K124" i="4"/>
  <c r="F2" i="20" s="1"/>
  <c r="K74" i="4"/>
  <c r="E36" i="20" s="1"/>
  <c r="K127" i="4"/>
  <c r="F34" i="20" s="1"/>
  <c r="R34" i="20" s="1"/>
  <c r="K97" i="4"/>
  <c r="F12" i="20" s="1"/>
  <c r="S84" i="4"/>
  <c r="K130" i="4"/>
  <c r="F6" i="20" s="1"/>
  <c r="K112" i="4"/>
  <c r="F7" i="20" s="1"/>
  <c r="K67" i="4"/>
  <c r="E23" i="20" s="1"/>
  <c r="K50" i="4"/>
  <c r="D13" i="20" s="1"/>
  <c r="K39" i="4"/>
  <c r="D18" i="20" s="1"/>
  <c r="K28" i="4"/>
  <c r="C5" i="20" s="1"/>
  <c r="K6" i="4"/>
  <c r="C39" i="20" s="1"/>
  <c r="S138" i="4"/>
  <c r="S53" i="4"/>
  <c r="S38" i="4"/>
  <c r="S24" i="4"/>
  <c r="S257" i="4"/>
  <c r="S244" i="4"/>
  <c r="S328" i="4"/>
  <c r="S307" i="4"/>
  <c r="S283" i="4"/>
  <c r="S258" i="4"/>
  <c r="S300" i="4"/>
  <c r="K263" i="4"/>
  <c r="J20" i="20" s="1"/>
  <c r="K230" i="4"/>
  <c r="I16" i="20" s="1"/>
  <c r="K219" i="4"/>
  <c r="H36" i="20" s="1"/>
  <c r="S201" i="4"/>
  <c r="S196" i="4"/>
  <c r="S143" i="4"/>
  <c r="S229" i="4"/>
  <c r="S214" i="4"/>
  <c r="S133" i="4"/>
  <c r="S110" i="4"/>
  <c r="K89" i="4"/>
  <c r="E17" i="20" s="1"/>
  <c r="R17" i="20" s="1"/>
  <c r="K118" i="4"/>
  <c r="F15" i="20" s="1"/>
  <c r="S101" i="4"/>
  <c r="S91" i="4"/>
  <c r="K83" i="4"/>
  <c r="E24" i="20" s="1"/>
  <c r="R24" i="20" s="1"/>
  <c r="S146" i="4"/>
  <c r="S141" i="4"/>
  <c r="S125" i="4"/>
  <c r="S117" i="4"/>
  <c r="K64" i="4"/>
  <c r="E21" i="20" s="1"/>
  <c r="K47" i="4"/>
  <c r="D20" i="20" s="1"/>
  <c r="K35" i="4"/>
  <c r="D39" i="20" s="1"/>
  <c r="K21" i="4"/>
  <c r="C36" i="20" s="1"/>
  <c r="R36" i="20" s="1"/>
  <c r="K15" i="4"/>
  <c r="C7" i="20" s="1"/>
  <c r="K10" i="4"/>
  <c r="C18" i="20" s="1"/>
  <c r="S66" i="4"/>
  <c r="S11" i="4"/>
  <c r="S19" i="4"/>
  <c r="S26" i="4"/>
  <c r="S5" i="4"/>
  <c r="S4" i="4"/>
  <c r="S30" i="4"/>
  <c r="K282" i="4"/>
  <c r="K21" i="20" s="1"/>
  <c r="K228" i="4"/>
  <c r="I6" i="20" s="1"/>
  <c r="K216" i="4"/>
  <c r="H22" i="20" s="1"/>
  <c r="K155" i="4"/>
  <c r="G4" i="20" s="1"/>
  <c r="S158" i="4"/>
  <c r="S148" i="4"/>
  <c r="S98" i="4"/>
  <c r="S235" i="4"/>
  <c r="S221" i="4"/>
  <c r="K197" i="4"/>
  <c r="H3" i="20" s="1"/>
  <c r="R3" i="20" s="1"/>
  <c r="K152" i="4"/>
  <c r="G22" i="20" s="1"/>
  <c r="S128" i="4"/>
  <c r="S120" i="4"/>
  <c r="S108" i="4"/>
  <c r="K103" i="4"/>
  <c r="F28" i="20" s="1"/>
  <c r="K86" i="4"/>
  <c r="E25" i="20" s="1"/>
  <c r="R25" i="20" s="1"/>
  <c r="S76" i="4"/>
  <c r="S72" i="4"/>
  <c r="S131" i="4"/>
  <c r="S123" i="4"/>
  <c r="S107" i="4"/>
  <c r="S100" i="4"/>
  <c r="S81" i="4"/>
  <c r="S126" i="4"/>
  <c r="S114" i="4"/>
  <c r="S87" i="4"/>
  <c r="S79" i="4"/>
  <c r="K109" i="4"/>
  <c r="F19" i="20" s="1"/>
  <c r="R19" i="20" s="1"/>
  <c r="S94" i="4"/>
  <c r="K77" i="4"/>
  <c r="E9" i="20" s="1"/>
  <c r="K59" i="4"/>
  <c r="D5" i="20" s="1"/>
  <c r="K45" i="4"/>
  <c r="D26" i="20" s="1"/>
  <c r="R26" i="20" s="1"/>
  <c r="K31" i="4"/>
  <c r="C6" i="20" s="1"/>
  <c r="R6" i="20" s="1"/>
  <c r="K25" i="4"/>
  <c r="C2" i="20" s="1"/>
  <c r="K13" i="4"/>
  <c r="C9" i="20" s="1"/>
  <c r="S57" i="4"/>
  <c r="S17" i="4"/>
  <c r="S9" i="4"/>
  <c r="S48" i="4"/>
  <c r="S44" i="4"/>
  <c r="S16" i="4"/>
  <c r="S8" i="4"/>
  <c r="S2" i="4"/>
  <c r="S55" i="4"/>
  <c r="S60" i="4"/>
  <c r="G21" i="17"/>
  <c r="S304" i="4"/>
  <c r="S299" i="4"/>
  <c r="S261" i="4"/>
  <c r="S252" i="4"/>
  <c r="S265" i="4"/>
  <c r="S238" i="4"/>
  <c r="S313" i="4"/>
  <c r="S272" i="4"/>
  <c r="K225" i="4"/>
  <c r="I4" i="20" s="1"/>
  <c r="K211" i="4"/>
  <c r="H31" i="20" s="1"/>
  <c r="S202" i="4"/>
  <c r="S151" i="4"/>
  <c r="S231" i="4"/>
  <c r="S227" i="4"/>
  <c r="S215" i="4"/>
  <c r="K199" i="4"/>
  <c r="H21" i="20" s="1"/>
  <c r="S154" i="4"/>
  <c r="K149" i="4"/>
  <c r="G15" i="20" s="1"/>
  <c r="S224" i="4"/>
  <c r="S116" i="4"/>
  <c r="S136" i="4"/>
  <c r="S119" i="4"/>
  <c r="K92" i="4"/>
  <c r="E29" i="20" s="1"/>
  <c r="R29" i="20" s="1"/>
  <c r="S122" i="4"/>
  <c r="S104" i="4"/>
  <c r="K95" i="4"/>
  <c r="E10" i="20" s="1"/>
  <c r="K121" i="4"/>
  <c r="F11" i="20" s="1"/>
  <c r="S90" i="4"/>
  <c r="K73" i="4"/>
  <c r="E31" i="20" s="1"/>
  <c r="K54" i="4"/>
  <c r="D22" i="20" s="1"/>
  <c r="R22" i="20" s="1"/>
  <c r="K42" i="4"/>
  <c r="D9" i="20" s="1"/>
  <c r="K18" i="4"/>
  <c r="C20" i="20" s="1"/>
  <c r="R20" i="20" s="1"/>
  <c r="K3" i="4"/>
  <c r="C33" i="20" s="1"/>
  <c r="R33" i="20" s="1"/>
  <c r="S12" i="4"/>
  <c r="S37" i="4"/>
  <c r="S20" i="4"/>
  <c r="S34" i="4"/>
  <c r="S27" i="4"/>
  <c r="S14" i="4"/>
  <c r="S63" i="4"/>
  <c r="S52" i="4"/>
  <c r="K404" i="4"/>
  <c r="N7" i="20" s="1"/>
  <c r="P25" i="17"/>
  <c r="Q2" i="13"/>
  <c r="Q2" i="8"/>
  <c r="P30" i="17"/>
  <c r="P10" i="17"/>
  <c r="P26" i="17"/>
  <c r="P4" i="17"/>
  <c r="P7" i="17"/>
  <c r="P33" i="17"/>
  <c r="P11" i="17"/>
  <c r="P27" i="17"/>
  <c r="P22" i="17"/>
  <c r="O4" i="17"/>
  <c r="O33" i="17"/>
  <c r="R9" i="20" l="1"/>
  <c r="R31" i="20"/>
  <c r="R4" i="20"/>
  <c r="R7" i="20"/>
  <c r="R5" i="20"/>
  <c r="R28" i="20"/>
  <c r="R16" i="20"/>
  <c r="R13" i="20"/>
  <c r="R10" i="20"/>
  <c r="R21" i="20"/>
  <c r="R39" i="20"/>
  <c r="R8" i="20"/>
  <c r="R15" i="20"/>
  <c r="R18" i="20"/>
  <c r="I3" i="12"/>
  <c r="R23" i="20"/>
  <c r="R12" i="20"/>
  <c r="R11" i="20"/>
  <c r="O7" i="17"/>
  <c r="O23" i="17"/>
  <c r="P29" i="17"/>
  <c r="K12" i="17"/>
  <c r="P8" i="17"/>
  <c r="P13" i="17"/>
  <c r="L9" i="17"/>
  <c r="N23" i="17"/>
  <c r="O2" i="12"/>
  <c r="F27" i="17"/>
  <c r="N31" i="17"/>
  <c r="L34" i="17"/>
  <c r="K34" i="17"/>
  <c r="L2" i="12"/>
  <c r="D9" i="12"/>
  <c r="C5" i="12"/>
  <c r="F7" i="12"/>
  <c r="G8" i="12"/>
  <c r="K7" i="12"/>
  <c r="J4" i="12"/>
  <c r="K6" i="12"/>
  <c r="L6" i="12"/>
  <c r="D4" i="12"/>
  <c r="C8" i="12"/>
  <c r="F10" i="12"/>
  <c r="C9" i="12"/>
  <c r="G10" i="12"/>
  <c r="F6" i="12"/>
  <c r="I6" i="12"/>
  <c r="M7" i="12"/>
  <c r="J7" i="12"/>
  <c r="D8" i="12"/>
  <c r="K10" i="12"/>
  <c r="M4" i="12"/>
  <c r="L10" i="12"/>
  <c r="M8" i="12"/>
  <c r="P3" i="12"/>
  <c r="P7" i="12"/>
  <c r="K8" i="12"/>
  <c r="M10" i="12"/>
  <c r="P6" i="12"/>
  <c r="O13" i="17"/>
  <c r="P32" i="17"/>
  <c r="Q4" i="12"/>
  <c r="P5" i="12"/>
  <c r="O12" i="17"/>
  <c r="L7" i="12"/>
  <c r="O29" i="17"/>
  <c r="O11" i="17"/>
  <c r="D3" i="12"/>
  <c r="G4" i="12"/>
  <c r="I4" i="12"/>
  <c r="M5" i="12"/>
  <c r="O27" i="17"/>
  <c r="P12" i="17"/>
  <c r="I4" i="17"/>
  <c r="C6" i="12"/>
  <c r="Q7" i="12"/>
  <c r="B33" i="17"/>
  <c r="D6" i="12"/>
  <c r="O8" i="12"/>
  <c r="P31" i="17"/>
  <c r="Q5" i="12"/>
  <c r="Q8" i="12"/>
  <c r="E8" i="12"/>
  <c r="E3" i="12"/>
  <c r="F3" i="17"/>
  <c r="O31" i="17"/>
  <c r="D32" i="17"/>
  <c r="E4" i="12"/>
  <c r="J5" i="12"/>
  <c r="L4" i="12"/>
  <c r="O7" i="12"/>
  <c r="E5" i="12"/>
  <c r="L29" i="17"/>
  <c r="B31" i="17"/>
  <c r="K3" i="12"/>
  <c r="L31" i="17"/>
  <c r="N9" i="17"/>
  <c r="O3" i="12"/>
  <c r="O5" i="12"/>
  <c r="H7" i="17"/>
  <c r="I5" i="12"/>
  <c r="N3" i="17"/>
  <c r="D5" i="12"/>
  <c r="L3" i="12"/>
  <c r="G5" i="12"/>
  <c r="J6" i="17"/>
  <c r="D26" i="17"/>
  <c r="E9" i="12"/>
  <c r="Q6" i="12"/>
  <c r="P9" i="17"/>
  <c r="Q3" i="12"/>
  <c r="M3" i="12"/>
  <c r="L12" i="17"/>
  <c r="N13" i="17"/>
  <c r="K33" i="17"/>
  <c r="N34" i="17"/>
  <c r="P5" i="17"/>
  <c r="L8" i="12"/>
  <c r="G6" i="12"/>
  <c r="J28" i="17"/>
  <c r="O2" i="13"/>
  <c r="I33" i="17"/>
  <c r="P24" i="17"/>
  <c r="D2" i="13"/>
  <c r="D2" i="8"/>
  <c r="D13" i="17"/>
  <c r="P2" i="12"/>
  <c r="O34" i="17"/>
  <c r="O28" i="17"/>
  <c r="P3" i="17"/>
  <c r="D27" i="17"/>
  <c r="F7" i="17"/>
  <c r="D34" i="17"/>
  <c r="N12" i="17"/>
  <c r="P34" i="17"/>
  <c r="C14" i="17"/>
  <c r="C8" i="17"/>
  <c r="C5" i="17"/>
  <c r="C13" i="17"/>
  <c r="K9" i="17"/>
  <c r="B8" i="17"/>
  <c r="C7" i="17"/>
  <c r="I3" i="17"/>
  <c r="K29" i="17"/>
  <c r="J4" i="17"/>
  <c r="N7" i="17"/>
  <c r="N33" i="17"/>
  <c r="D7" i="17"/>
  <c r="I11" i="17"/>
  <c r="D14" i="17"/>
  <c r="J9" i="17"/>
  <c r="J5" i="17"/>
  <c r="Q2" i="12"/>
  <c r="S396" i="4"/>
  <c r="R2" i="20"/>
  <c r="S247" i="4"/>
  <c r="B28" i="17"/>
  <c r="K31" i="17"/>
  <c r="J3" i="17"/>
  <c r="L13" i="17"/>
  <c r="K32" i="17"/>
  <c r="C22" i="17"/>
  <c r="N22" i="17"/>
  <c r="S199" i="4"/>
  <c r="S208" i="4"/>
  <c r="H33" i="17"/>
  <c r="F24" i="17"/>
  <c r="E34" i="17"/>
  <c r="F2" i="12"/>
  <c r="I7" i="17"/>
  <c r="S112" i="4"/>
  <c r="S223" i="4"/>
  <c r="I25" i="17" s="1"/>
  <c r="L28" i="17"/>
  <c r="S95" i="4"/>
  <c r="S103" i="4"/>
  <c r="S155" i="4"/>
  <c r="S15" i="4"/>
  <c r="P23" i="17"/>
  <c r="O3" i="17"/>
  <c r="F5" i="17"/>
  <c r="K22" i="17"/>
  <c r="D9" i="17"/>
  <c r="C12" i="17"/>
  <c r="I12" i="17"/>
  <c r="J34" i="17"/>
  <c r="K2" i="12"/>
  <c r="S404" i="4"/>
  <c r="S219" i="4"/>
  <c r="S67" i="4"/>
  <c r="E10" i="17"/>
  <c r="N11" i="17"/>
  <c r="H27" i="17"/>
  <c r="K4" i="17"/>
  <c r="K14" i="17"/>
  <c r="S18" i="4"/>
  <c r="S45" i="4"/>
  <c r="S152" i="4"/>
  <c r="S74" i="4"/>
  <c r="S243" i="4"/>
  <c r="S267" i="4"/>
  <c r="C24" i="17"/>
  <c r="E27" i="17"/>
  <c r="I29" i="17"/>
  <c r="J33" i="17"/>
  <c r="H31" i="17"/>
  <c r="F11" i="17"/>
  <c r="H11" i="17"/>
  <c r="H14" i="17"/>
  <c r="L14" i="17"/>
  <c r="E5" i="17"/>
  <c r="J22" i="17"/>
  <c r="L33" i="17"/>
  <c r="C9" i="17"/>
  <c r="F32" i="17"/>
  <c r="I28" i="17"/>
  <c r="L7" i="17"/>
  <c r="S42" i="4"/>
  <c r="S109" i="4"/>
  <c r="S86" i="4"/>
  <c r="S130" i="4"/>
  <c r="S127" i="4"/>
  <c r="S124" i="4"/>
  <c r="F2" i="8" s="1"/>
  <c r="D24" i="17"/>
  <c r="H13" i="17"/>
  <c r="L27" i="17"/>
  <c r="K27" i="17"/>
  <c r="C3" i="17"/>
  <c r="H32" i="17"/>
  <c r="H23" i="17"/>
  <c r="J11" i="17"/>
  <c r="S216" i="4"/>
  <c r="S89" i="4"/>
  <c r="I27" i="17"/>
  <c r="L4" i="17"/>
  <c r="N14" i="17"/>
  <c r="E14" i="17"/>
  <c r="H12" i="17"/>
  <c r="J12" i="17"/>
  <c r="D22" i="17"/>
  <c r="G2" i="8"/>
  <c r="F25" i="17"/>
  <c r="G2" i="13"/>
  <c r="I13" i="17"/>
  <c r="E33" i="17"/>
  <c r="B24" i="17"/>
  <c r="C27" i="17"/>
  <c r="S54" i="4"/>
  <c r="D25" i="17"/>
  <c r="E2" i="8"/>
  <c r="E2" i="13"/>
  <c r="S92" i="4"/>
  <c r="E4" i="17"/>
  <c r="S149" i="4"/>
  <c r="H28" i="17"/>
  <c r="H5" i="17"/>
  <c r="S225" i="4"/>
  <c r="K8" i="17"/>
  <c r="H3" i="19"/>
  <c r="H2" i="19"/>
  <c r="B13" i="17"/>
  <c r="S13" i="4"/>
  <c r="S31" i="4"/>
  <c r="S59" i="4"/>
  <c r="D31" i="17"/>
  <c r="D28" i="17"/>
  <c r="S197" i="4"/>
  <c r="F33" i="17"/>
  <c r="S282" i="4"/>
  <c r="B26" i="17"/>
  <c r="D6" i="17"/>
  <c r="S35" i="4"/>
  <c r="S64" i="4"/>
  <c r="F29" i="17"/>
  <c r="E8" i="17"/>
  <c r="E28" i="17"/>
  <c r="H8" i="17"/>
  <c r="S263" i="4"/>
  <c r="F14" i="17"/>
  <c r="S28" i="4"/>
  <c r="S50" i="4"/>
  <c r="S97" i="4"/>
  <c r="L32" i="17"/>
  <c r="L23" i="17"/>
  <c r="K28" i="17"/>
  <c r="K13" i="17"/>
  <c r="S160" i="4"/>
  <c r="N5" i="17"/>
  <c r="J13" i="17"/>
  <c r="S322" i="4"/>
  <c r="L30" i="17"/>
  <c r="O8" i="17"/>
  <c r="S232" i="4"/>
  <c r="B7" i="17"/>
  <c r="J8" i="17"/>
  <c r="C32" i="17"/>
  <c r="E29" i="17"/>
  <c r="F6" i="17"/>
  <c r="C26" i="17"/>
  <c r="S3" i="4"/>
  <c r="S73" i="4"/>
  <c r="S121" i="4"/>
  <c r="J2" i="12"/>
  <c r="I34" i="17"/>
  <c r="I31" i="17"/>
  <c r="S211" i="4"/>
  <c r="L5" i="17"/>
  <c r="J23" i="17"/>
  <c r="C28" i="17"/>
  <c r="B22" i="17"/>
  <c r="D2" i="12"/>
  <c r="C23" i="17"/>
  <c r="S25" i="4"/>
  <c r="S77" i="4"/>
  <c r="D29" i="17"/>
  <c r="F22" i="17"/>
  <c r="E30" i="17"/>
  <c r="I22" i="17"/>
  <c r="S228" i="4"/>
  <c r="B5" i="17"/>
  <c r="C2" i="12"/>
  <c r="S10" i="4"/>
  <c r="S21" i="4"/>
  <c r="S47" i="4"/>
  <c r="E23" i="17"/>
  <c r="S83" i="4"/>
  <c r="S118" i="4"/>
  <c r="H25" i="17"/>
  <c r="I2" i="8"/>
  <c r="I2" i="13"/>
  <c r="S230" i="4"/>
  <c r="S6" i="4"/>
  <c r="S39" i="4"/>
  <c r="D33" i="17"/>
  <c r="F2" i="13"/>
  <c r="J30" i="17"/>
  <c r="K30" i="17"/>
  <c r="K5" i="17"/>
  <c r="O5" i="17"/>
  <c r="N3" i="19"/>
  <c r="N2" i="19"/>
  <c r="N28" i="17"/>
  <c r="L3" i="17"/>
  <c r="H4" i="17"/>
  <c r="B12" i="17"/>
  <c r="B4" i="17"/>
  <c r="F31" i="17"/>
  <c r="I32" i="17"/>
  <c r="J27" i="17"/>
  <c r="B27" i="17"/>
  <c r="E6" i="17"/>
  <c r="D10" i="17"/>
  <c r="E3" i="17"/>
  <c r="B3" i="17"/>
  <c r="B23" i="17"/>
  <c r="B14" i="17"/>
  <c r="F30" i="17"/>
  <c r="D23" i="17"/>
  <c r="F28" i="17"/>
  <c r="H6" i="17"/>
  <c r="J14" i="17"/>
  <c r="L25" i="17"/>
  <c r="M2" i="13"/>
  <c r="M2" i="8"/>
  <c r="C31" i="17"/>
  <c r="S285" i="4"/>
  <c r="S239" i="4"/>
  <c r="O9" i="17"/>
  <c r="L22" i="17"/>
  <c r="K23" i="17"/>
  <c r="O22" i="17"/>
  <c r="V9" i="12" l="1"/>
  <c r="E24" i="17"/>
  <c r="O32" i="17"/>
  <c r="P2" i="17"/>
  <c r="C10" i="12"/>
  <c r="J3" i="12"/>
  <c r="G3" i="12"/>
  <c r="C3" i="12"/>
  <c r="D7" i="12"/>
  <c r="I7" i="12"/>
  <c r="E9" i="17"/>
  <c r="F3" i="12"/>
  <c r="F5" i="12"/>
  <c r="V5" i="12" s="1"/>
  <c r="C11" i="17"/>
  <c r="J32" i="17"/>
  <c r="K4" i="12"/>
  <c r="J8" i="12"/>
  <c r="E10" i="12"/>
  <c r="G7" i="12"/>
  <c r="B29" i="17"/>
  <c r="D8" i="17"/>
  <c r="E6" i="12"/>
  <c r="V6" i="12" s="1"/>
  <c r="H30" i="17"/>
  <c r="I10" i="12"/>
  <c r="P4" i="12"/>
  <c r="B32" i="17"/>
  <c r="C4" i="12"/>
  <c r="F23" i="17"/>
  <c r="F21" i="17" s="1"/>
  <c r="F8" i="12"/>
  <c r="V8" i="12" s="1"/>
  <c r="D5" i="17"/>
  <c r="E32" i="17"/>
  <c r="F4" i="12"/>
  <c r="H22" i="17"/>
  <c r="H3" i="17"/>
  <c r="I30" i="17"/>
  <c r="J10" i="12"/>
  <c r="P21" i="17"/>
  <c r="J2" i="8"/>
  <c r="E25" i="17"/>
  <c r="N21" i="17"/>
  <c r="J2" i="13"/>
  <c r="N2" i="17"/>
  <c r="E7" i="17"/>
  <c r="L2" i="17"/>
  <c r="D30" i="17"/>
  <c r="D21" i="17" s="1"/>
  <c r="O14" i="17"/>
  <c r="K21" i="17"/>
  <c r="O2" i="17"/>
  <c r="K6" i="17"/>
  <c r="I14" i="17"/>
  <c r="I2" i="17" s="1"/>
  <c r="B30" i="17"/>
  <c r="I9" i="17"/>
  <c r="E31" i="17"/>
  <c r="D3" i="17"/>
  <c r="O21" i="17"/>
  <c r="L21" i="17"/>
  <c r="B25" i="17"/>
  <c r="C2" i="8"/>
  <c r="C2" i="13"/>
  <c r="C6" i="17"/>
  <c r="K3" i="17"/>
  <c r="K2" i="17" s="1"/>
  <c r="I2" i="12"/>
  <c r="V2" i="12" s="1"/>
  <c r="H34" i="17"/>
  <c r="B9" i="17"/>
  <c r="F13" i="17"/>
  <c r="H2" i="17"/>
  <c r="E13" i="17"/>
  <c r="B10" i="17"/>
  <c r="J2" i="17"/>
  <c r="F9" i="17"/>
  <c r="E22" i="17"/>
  <c r="C33" i="17"/>
  <c r="B11" i="17"/>
  <c r="I23" i="17"/>
  <c r="B6" i="17"/>
  <c r="D4" i="17"/>
  <c r="C29" i="17"/>
  <c r="D11" i="17"/>
  <c r="J29" i="17"/>
  <c r="J21" i="17" s="1"/>
  <c r="C2" i="17" l="1"/>
  <c r="Q3" i="19"/>
  <c r="V7" i="12"/>
  <c r="V10" i="12"/>
  <c r="V3" i="12"/>
  <c r="V4" i="12"/>
  <c r="Q2" i="19"/>
  <c r="H21" i="17"/>
  <c r="I3" i="19" s="1"/>
  <c r="B21" i="17"/>
  <c r="V2" i="13"/>
  <c r="E2" i="17"/>
  <c r="I21" i="17"/>
  <c r="J3" i="19" s="1"/>
  <c r="O2" i="19"/>
  <c r="O3" i="19"/>
  <c r="M3" i="19"/>
  <c r="P2" i="19"/>
  <c r="E21" i="17"/>
  <c r="F2" i="17"/>
  <c r="G2" i="19" s="1"/>
  <c r="B2" i="17"/>
  <c r="M2" i="19"/>
  <c r="C21" i="17"/>
  <c r="L3" i="19"/>
  <c r="L2" i="19"/>
  <c r="P3" i="19"/>
  <c r="V2" i="8"/>
  <c r="Y2" i="8"/>
  <c r="K2" i="19"/>
  <c r="K3" i="19"/>
  <c r="J2" i="19"/>
  <c r="D2" i="17"/>
  <c r="F2" i="19" l="1"/>
  <c r="I2" i="19"/>
  <c r="C2" i="19"/>
  <c r="F3" i="19"/>
  <c r="T21" i="17"/>
  <c r="G3" i="19"/>
  <c r="C3" i="19"/>
  <c r="D2" i="19"/>
  <c r="D3" i="19"/>
  <c r="E3" i="19"/>
  <c r="E2" i="19"/>
  <c r="T2" i="17"/>
  <c r="U2" i="19" l="1"/>
  <c r="U3" i="19"/>
</calcChain>
</file>

<file path=xl/sharedStrings.xml><?xml version="1.0" encoding="utf-8"?>
<sst xmlns="http://schemas.openxmlformats.org/spreadsheetml/2006/main" count="1868" uniqueCount="395">
  <si>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</si>
  <si>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</si>
  <si>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</si>
  <si>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</si>
  <si>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</si>
  <si>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</si>
  <si>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</si>
  <si>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</si>
  <si>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</si>
  <si>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</si>
  <si>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</si>
  <si>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</si>
  <si>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</si>
  <si>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</si>
  <si>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</si>
  <si>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</si>
  <si>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</si>
  <si>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</si>
  <si>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</si>
  <si>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</si>
  <si>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</si>
  <si>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</si>
  <si>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</si>
  <si>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</si>
  <si>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</si>
  <si>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</si>
  <si>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</si>
  <si>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</si>
  <si>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</si>
  <si>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</si>
  <si>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</si>
  <si>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</si>
  <si>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</si>
  <si>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</si>
  <si>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</si>
  <si>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</si>
  <si>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</si>
  <si>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</si>
  <si>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</si>
  <si>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</si>
  <si>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Ziua postarii</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</si>
  <si>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</si>
  <si>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</si>
  <si>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</si>
  <si>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</si>
  <si>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</si>
  <si>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</si>
  <si>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</si>
  <si>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</si>
  <si>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</si>
  <si>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</si>
  <si>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</si>
  <si>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</si>
  <si>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</si>
  <si>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</si>
  <si>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</si>
  <si>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</si>
  <si>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</si>
  <si>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</si>
  <si>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</si>
  <si>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</si>
  <si>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</si>
  <si>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</si>
  <si>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</si>
  <si>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</si>
  <si>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</si>
  <si>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</si>
  <si>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</si>
  <si>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</si>
  <si>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</si>
  <si>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</si>
  <si>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</si>
  <si>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</si>
  <si>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</si>
  <si>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</si>
  <si>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</si>
  <si>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</si>
  <si>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</si>
  <si>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</si>
  <si>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</si>
  <si>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</si>
  <si>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</si>
  <si>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</si>
  <si>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</si>
  <si>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</si>
  <si>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</si>
  <si>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</si>
  <si>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</si>
  <si>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</si>
  <si>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</si>
  <si>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</si>
  <si>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1 max 9:00/ max 8:00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</si>
  <si>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</si>
  <si>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</si>
  <si>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</si>
  <si>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</si>
  <si>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</si>
  <si>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</si>
  <si>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</si>
  <si>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</si>
  <si>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</si>
  <si>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</si>
  <si>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</si>
  <si>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</si>
  <si>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</si>
  <si>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</si>
  <si>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</si>
  <si>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</si>
  <si>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</si>
  <si>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</si>
  <si>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</si>
  <si>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</si>
  <si>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</si>
  <si>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</si>
  <si>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</si>
  <si>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</si>
  <si>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</si>
  <si>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</si>
  <si>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Dranceanu Bogdan Valentin</t>
  </si>
  <si>
    <t>Gorcioaia Florin Ionut</t>
  </si>
  <si>
    <t>Codruta Holban</t>
  </si>
  <si>
    <t>Echipa</t>
  </si>
  <si>
    <t>Count of Tip</t>
  </si>
  <si>
    <t>Row Labels</t>
  </si>
  <si>
    <t>Total prezente</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</si>
  <si>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</si>
  <si>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</si>
  <si>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</si>
  <si>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</si>
  <si>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</si>
  <si>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</si>
  <si>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</si>
  <si>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</si>
  <si>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</si>
  <si>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</si>
  <si>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</si>
  <si>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</si>
  <si>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Atentie: se apreciaza originalitatea. De asemenea, postarile similare repetitive duc la scaderea usoara a punctajului in timp.</t>
  </si>
  <si>
    <t>6. Cum se posteaza? Fiecare va posta alergarile (in ziua in care au fost facute, indiferent daca sunt antrenamente sau curse), OBLIGATORIU TREBUIND SA MENTIONEZE CU CARE PARTICIPA (HASTAG #ligaSYR si eventual #viteza/#distanta daca doreste) si o prezentare la latitudinea fiecaruia (poze, filmulete, descriere, ceva amuzant etc). IN CAZ DE LIPSA HASTAG, NU SE VA PUNCTA!!!. Daca ai mai multe alergari cu #ligaSYR, o luam doar pe prima. De calcule in excel ne ocupam noi.</t>
  </si>
  <si>
    <t>1. Cine poate participa? Oricine, membru al grupului Share your run. Ma pot inscrie ORICAND, prin simpla postare de alergari cu #ligaSYR. De preferat, totusi, sa se anunte.</t>
  </si>
  <si>
    <t>3. Cum se desfasoara? O ETAPA PE SAPTAMANA (luni-duminica) cu cate o singura alergare care puncteaza la categoriile distanta si viteza  (vezi mai jos baremul) plus eventuale bonusuri.</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</si>
  <si>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</si>
  <si>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Se dau de la 0 la 6 puncte cu plusuri pentru: descriere frumoasa, originalitate, ceva amuzant, poze, nr de like-uri, conditii speciale, traseu desenat etc. Textele si pozele preluate nu va avantajeaza. Aici e la latitudinea fiecaruia sa impresioneze cum stie, iar noi vom incerca sa fim cat mai "obiectivi"; nu e nimic exact.</t>
  </si>
  <si>
    <t>Un juriu impartial format din Dan Spataru + cativa invitati (anonimi) va acorda note de la 0 la 6 si facem media.</t>
  </si>
  <si>
    <t>Ajustarea turelor cu elevatie generala semnificativ negativa: de la -50m elevație totală negativă, aplicăm un bonus negativ de elevatie. Fix același calcul ca la cel pozitiv, dar cu minus. Oricum, apelez la buna credință și fair play.</t>
  </si>
  <si>
    <t>P1</t>
  </si>
  <si>
    <t>P2</t>
  </si>
  <si>
    <t>P3</t>
  </si>
  <si>
    <t>5. Doar pentru postarea alergarilor de sambata si duminica, e voie sa se intarzie pana in lunea de dupa etapa (ora 23:59). Restul alergarilor se vor posta in ziua efectuarii sau maxim cu o zi intarziere, altfel nu se vor puncta.</t>
  </si>
  <si>
    <t>Adriana Ionascu Dinu</t>
  </si>
  <si>
    <t>Cristi Borcan</t>
  </si>
  <si>
    <t>Dan Rusu</t>
  </si>
  <si>
    <t>Mirela Resteman</t>
  </si>
  <si>
    <t>Galia Stainfeld</t>
  </si>
  <si>
    <t>Ifrim Gheorghe</t>
  </si>
  <si>
    <t>Mihaela Zaharie</t>
  </si>
  <si>
    <t>D/V</t>
  </si>
  <si>
    <t>Mariana Nenu</t>
  </si>
  <si>
    <t>ian-apr 2021</t>
  </si>
  <si>
    <t>Sezon 1</t>
  </si>
  <si>
    <t>Sezon 2</t>
  </si>
  <si>
    <t>Sezon 3</t>
  </si>
  <si>
    <t>Sezon 4</t>
  </si>
  <si>
    <t>Sezon 5</t>
  </si>
  <si>
    <t>Sezon 6</t>
  </si>
  <si>
    <t>Sezon 7</t>
  </si>
  <si>
    <t>Sezon 8</t>
  </si>
  <si>
    <t>Sezon 9</t>
  </si>
  <si>
    <t>Sezon 10</t>
  </si>
  <si>
    <t>Sezon 11</t>
  </si>
  <si>
    <t>Hall of Fame</t>
  </si>
  <si>
    <t>Points</t>
  </si>
  <si>
    <r>
      <t>10. Sunt avantajati vitezistii sau long-runnerii? Nu, pentru ca ponderea viteza vs distanta va fi diferita, de la o etapa la alta (</t>
    </r>
    <r>
      <rPr>
        <b/>
        <sz val="9"/>
        <rFont val="Calibri"/>
        <family val="2"/>
        <scheme val="minor"/>
      </rPr>
      <t>75% vs 25%. In ultima etapa va fi 50%/50%</t>
    </r>
    <r>
      <rPr>
        <sz val="9"/>
        <rFont val="Calibri"/>
        <family val="2"/>
        <scheme val="minor"/>
      </rPr>
      <t>), avand totusi un echilibru pe tot sezonul intre categorii</t>
    </r>
  </si>
  <si>
    <t xml:space="preserve">11. Fiecare participant mentioneaza la ce vrea sa puncteze in fiecare etapa (viteza sau distanta) si va conta cu 75% la categoria respectiva, cealalta avand 25%. Daca nu se mentioneaza, se va puncta conform programului standard. Dupa epuizarea a 7 etape dintr-o anumita categorie, se va alege din cea ramasa, pana epuizam </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</si>
  <si>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</si>
  <si>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</si>
  <si>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</si>
  <si>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</si>
  <si>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</si>
  <si>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</si>
  <si>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</si>
  <si>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</si>
  <si>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</si>
  <si>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</si>
  <si>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</si>
  <si>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</si>
  <si>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</si>
  <si>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</si>
  <si>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Prezentare (la fiecare 5 etape se puncteaza una prin tragere la sorti pentru concurentii care au postat min 1 saptamana) </t>
  </si>
  <si>
    <t>2. Poti participa la cate etape doresti/poti (nu eliminam pe motiv de absente)</t>
  </si>
  <si>
    <t xml:space="preserve">4. Chiar daca nu se va puncta in fiecare etapa, este nevoie sa avem si o prezentare in fiecare saptamana. De 3 ori pe sezon (dupa et 5/10/15), se va trage la sorti o prezentare din ultimile 5 etape (postata la vremea fiecarei etape, nu mai tarziu) cu care sa puncteze. Un juriu impartial va acorda un punctaj intre 0 si 6 puncte si se va face media, care se vor aduna la total. </t>
  </si>
  <si>
    <t>8. Ca să punctezi la viteză, trebuie să alergi minim 2,5 km la fete/ 3 km la baieti. Daca esti sub aceste limite, vei primi 0 la punctajul de viteza, dar poti lua in continuare punctele meritate la bonus (vezi mai jos).</t>
  </si>
  <si>
    <t>9. Folosim media aritmetica intre moving si elapsed time.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</si>
  <si>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</si>
  <si>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</si>
  <si>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</si>
  <si>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</si>
  <si>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</si>
  <si>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</si>
  <si>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</si>
  <si>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</si>
  <si>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</si>
  <si>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</si>
  <si>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</si>
  <si>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</si>
  <si>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</si>
  <si>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Link</t>
  </si>
  <si>
    <t>Jurat 1</t>
  </si>
  <si>
    <t>Jurat 2</t>
  </si>
  <si>
    <t>Jurat 3</t>
  </si>
  <si>
    <t>Mediana</t>
  </si>
  <si>
    <t>Ghizela Vonica</t>
  </si>
  <si>
    <t>mai-aug 2021</t>
  </si>
  <si>
    <t xml:space="preserve">Premii </t>
  </si>
  <si>
    <t>16. Minim 10 etape prezente pentru a intra la tragerea la sorti pt premiile finale</t>
  </si>
  <si>
    <t>7.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</si>
  <si>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</si>
  <si>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15. Avem 3 sau mai multe echipe, stabilite prin optiunea fiecaruia, competitia fiind in acest caz doar de distractie. 
Punctajul de etapa se face facand media punctajelor tuturor membrilor, dupa ce am eliminat cel mai bun si cel mai slab punctaj din echipa.</t>
  </si>
  <si>
    <r>
      <rPr>
        <b/>
        <sz val="9"/>
        <rFont val="Calibri"/>
        <family val="2"/>
        <scheme val="minor"/>
      </rPr>
      <t>Atentie</t>
    </r>
    <r>
      <rPr>
        <sz val="9"/>
        <rFont val="Calibri"/>
        <family val="2"/>
        <scheme val="minor"/>
      </rPr>
      <t>: luni se vor putea posta doar alergari facute sambata sau duminica. Alergarile din celelalte zile trebuie postate cel tarziu a doua zi, altfel nu se vor lua in seama.</t>
    </r>
  </si>
  <si>
    <t>Sezon 12</t>
  </si>
  <si>
    <t>sep-dec 2021</t>
  </si>
  <si>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5 etape punctate la viteza, apoi 2p pt cei cu 6 etape s.a.m.d., pana la 10p pt cei cu 14 si 15 etape.</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</si>
  <si>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aici avem DISTANTA MINIMA de 1,609 km (o mila), pentru toata lumea, fiind o exceptie la art 8 din regulament!</t>
    </r>
  </si>
  <si>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</si>
  <si>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</si>
  <si>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</si>
  <si>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</si>
  <si>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</si>
  <si>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</si>
  <si>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</si>
  <si>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</si>
  <si>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</si>
  <si>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</si>
  <si>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</si>
  <si>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</si>
  <si>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</si>
  <si>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</si>
  <si>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</si>
  <si>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</si>
  <si>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</si>
  <si>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</si>
  <si>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</si>
  <si>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</si>
  <si>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6-12 septembrie 2021</t>
  </si>
  <si>
    <t>Dinu Turcanu</t>
  </si>
  <si>
    <t>Pilot Books</t>
  </si>
  <si>
    <t>Infinityrun</t>
  </si>
  <si>
    <t>13-19 septembrie</t>
  </si>
  <si>
    <t>UltraSYR</t>
  </si>
  <si>
    <t>All Stars</t>
  </si>
  <si>
    <t>2 vouchere a 300 de lei pt castigatori F/M</t>
  </si>
  <si>
    <t>premii pt M/F la et 5 si et 10</t>
  </si>
  <si>
    <t>https://rollrecovery.com/product/r3/</t>
  </si>
  <si>
    <t>SYR</t>
  </si>
  <si>
    <t>20-26 septembrie</t>
  </si>
  <si>
    <t>Dispozitiv ortopedic pentru masajul talpilor (locul 1 la viteza)</t>
  </si>
  <si>
    <t>3 pachete a cate 2 carti (tragere la sorti)</t>
  </si>
  <si>
    <t>3 vouchere evaluare (tragere la sorti)</t>
  </si>
  <si>
    <t>1 tricou (tragere la sorti)</t>
  </si>
  <si>
    <t>27 septembrie - 3 octombrie</t>
  </si>
  <si>
    <t>GaliaSteinf_Art_Embroidery</t>
  </si>
  <si>
    <t>Kinetic Sport &amp; Medicine</t>
  </si>
  <si>
    <t>4-10 octombrie</t>
  </si>
  <si>
    <t>Dan Spataru https://www.facebook.com/groups/657276174438565/permalink/2018673591632143/</t>
  </si>
  <si>
    <t>Vișan Cristina https://www.facebook.com/groups/657276174438565/permalink/2028186617347507/</t>
  </si>
  <si>
    <t>Radu Lapadatoni https://www.facebook.com/groups/657276174438565/permalink/2032802950219207/</t>
  </si>
  <si>
    <t>Codruț Hanchevici https://www.facebook.com/groups/657276174438565/permalink/2039800089519493/</t>
  </si>
  <si>
    <t>Cosmin Constantin Popa https://www.facebook.com/groups/657276174438565/permalink/2022627594570076/</t>
  </si>
  <si>
    <t>Mirela Resteman https://www.facebook.com/groups/657276174438565/permalink/2022764481223054/</t>
  </si>
  <si>
    <t>Galia Stainfeld https://www.facebook.com/groups/657276174438565/permalink/2026119594220876/</t>
  </si>
  <si>
    <t>Valenky Opriș https://www.facebook.com/groups/657276174438565/permalink/2032520866914082/</t>
  </si>
  <si>
    <t>Andrei Diaconescu https://www.facebook.com/groups/657276174438565/permalink/2028870347279134/</t>
  </si>
  <si>
    <t>Codrin Constantin https://www.facebook.com/groups/657276174438565/permalink/2045218325644336/</t>
  </si>
  <si>
    <t>Bogdan Tala https://www.facebook.com/groups/657276174438565/permalink/2022817377884431/</t>
  </si>
  <si>
    <t>Florin Gorcioaia https://www.facebook.com/groups/657276174438565/permalink/2027997734033062/</t>
  </si>
  <si>
    <t>Silvia Medinschi https://www.facebook.com/groups/657276174438565/permalink/2030318733800962/</t>
  </si>
  <si>
    <t>Daniel Moldoveanu https://www.facebook.com/groups/657276174438565/permalink/2036306089868893/</t>
  </si>
  <si>
    <t>Daniel Florin https://www.facebook.com/groups/657276174438565/permalink/2044264575739711/</t>
  </si>
  <si>
    <t>Ghizela Vonica https://www.facebook.com/groups/657276174438565/permalink/2020489698117199/</t>
  </si>
  <si>
    <t>Silviu Burcea https://www.facebook.com/groups/657276174438565/permalink/2028733133959522/</t>
  </si>
  <si>
    <t>Cristina Man https://www.facebook.com/groups/657276174438565/permalink/2032829076883261/</t>
  </si>
  <si>
    <t>Mircea Dominte https://www.facebook.com/groups/657276174438565/permalink/2038081146358054/</t>
  </si>
  <si>
    <t>Cristian Iancu https://www.facebook.com/groups/657276174438565/permalink/2028104834022352/</t>
  </si>
  <si>
    <t>Viorel Tabără https://www.facebook.com/groups/657276174438565/permalink/2022044471295055/</t>
  </si>
  <si>
    <t>Ramona Matica https://www.facebook.com/groups/657276174438565/permalink/2027976230701879/</t>
  </si>
  <si>
    <t>Constandan Cornelius https://www.facebook.com/groups/657276174438565/permalink/2033503216815847/</t>
  </si>
  <si>
    <t>Marian Uliță https://www.facebook.com/groups/657276174438565/permalink/2035857739913728/</t>
  </si>
  <si>
    <t>Ifrim Gheorghe https://www.facebook.com/groups/657276174438565/permalink/2044273142405521/</t>
  </si>
  <si>
    <t>Magdalena Neagu https://www.facebook.com/groups/657276174438565/permalink/2023236991175803/</t>
  </si>
  <si>
    <t>Mirea Gabriel Umberto https://www.facebook.com/groups/657276174438565/permalink/2033662613466574/</t>
  </si>
  <si>
    <t>Elena Juganaru https://www.facebook.com/groups/657276174438565/permalink/2030691143763721/</t>
  </si>
  <si>
    <t>Dinu Turcanu https://www.facebook.com/groups/657276174438565/permalink/2039361072896728/</t>
  </si>
  <si>
    <t>Catalin Holban https://www.facebook.com/groups/657276174438565/permalink/2041764745989694/</t>
  </si>
  <si>
    <t>Vasi Minzatu https://www.facebook.com/groups/657276174438565/permalink/2020230898143079/</t>
  </si>
  <si>
    <t>Dranceanu Bogdan https://www.facebook.com/groups/657276174438565/permalink/2028713373961498/</t>
  </si>
  <si>
    <t>Ovidiu Gavrilovici https://www.facebook.com/groups/657276174438565/permalink/2021299694702866/</t>
  </si>
  <si>
    <t>Robert Herman https://www.facebook.com/groups/657276174438565/permalink/2038565202976315/</t>
  </si>
  <si>
    <t>Jurat 4</t>
  </si>
  <si>
    <t>P</t>
  </si>
  <si>
    <t>11-17 octombrie</t>
  </si>
  <si>
    <t>+3 tricouri (tragere la sorti)</t>
  </si>
  <si>
    <t>18-24 octonbrie</t>
  </si>
  <si>
    <t>SKV Bucuresti</t>
  </si>
  <si>
    <t>eliminarea restrictiei de a posta pana duminica, iar luni doar cele de w-e</t>
  </si>
  <si>
    <t>25-31 octombrie</t>
  </si>
  <si>
    <t>1-7 noiembrie</t>
  </si>
  <si>
    <t>8-14 nov 2021</t>
  </si>
  <si>
    <t>recalcularea bonusului negativ pt alergari doar pe coborare</t>
  </si>
  <si>
    <t>Premii</t>
  </si>
  <si>
    <t>2 inscrieri Xrace</t>
  </si>
  <si>
    <t>o inscriere Subcarpati</t>
  </si>
  <si>
    <t>Pt curse, se accepta si rezultate de pe site, dar cu link si detalii de elevatie</t>
  </si>
  <si>
    <t>Bonus de distanta calculat tot prin impartire la un coeficient</t>
  </si>
  <si>
    <t>15-21 noiembrie</t>
  </si>
  <si>
    <t>Adrian Ivan</t>
  </si>
  <si>
    <t>prezentare pe etapa (???)</t>
  </si>
  <si>
    <t>Gorcioaia Florin Ionut https://www.facebook.com/groups/657276174438565/permalink/2049675978531904/</t>
  </si>
  <si>
    <t>Daniel Moldoveanu https://www.facebook.com/groups/657276174438565/permalink/2054993821333453/</t>
  </si>
  <si>
    <t>Radu Lapadatoni https://www.facebook.com/groups/657276174438565/permalink/2058573420975493/</t>
  </si>
  <si>
    <t>Vasi Minzatu https://www.facebook.com/groups/657276174438565/permalink/2066871413479027/</t>
  </si>
  <si>
    <t>Robert Herman https://www.facebook.com/groups/657276174438565/permalink/2071123506387151/</t>
  </si>
  <si>
    <t>Silvia Medinschi https://www.facebook.com/groups/657276174438565/permalink/2054049414761227/</t>
  </si>
  <si>
    <t>Visan Cristina Ștefania https://www.facebook.com/groups/657276174438565/permalink/2052921804873988/</t>
  </si>
  <si>
    <t>Dranceanu Bogdan https://www.facebook.com/groups/657276174438565/permalink/2060884300744405/</t>
  </si>
  <si>
    <t>Bogdan Tala https://www.facebook.com/groups/657276174438565/permalink/2067145126784989/</t>
  </si>
  <si>
    <t>Ramona Matica https://www.facebook.com/groups/657276174438565/permalink/2071743146325187/</t>
  </si>
  <si>
    <t>Ifrim Gheorghe https://www.facebook.com/groups/657276174438565/permalink/2054909054675263/</t>
  </si>
  <si>
    <t>Valenky Opriș https://www.facebook.com/groups/657276174438565/permalink/2051369221695913/</t>
  </si>
  <si>
    <t>Marian Uliță https://www.facebook.com/groups/657276174438565/permalink/2069457389887096/</t>
  </si>
  <si>
    <t>Elena Juganaru https://www.facebook.com/groups/657276174438565/permalink/2065493313616837/</t>
  </si>
  <si>
    <t>Andrei Diaconescu https://www.facebook.com/groups/657276174438565/permalink/2072672259565609/</t>
  </si>
  <si>
    <t>Teodor Petruț https://www.facebook.com/groups/657276174438565/permalink/2060816230751212/</t>
  </si>
  <si>
    <t>Ghizela Vonica https://www.facebook.com/groups/657276174438565/permalink/2051809008318601/</t>
  </si>
  <si>
    <t>Mirela Resteman https://www.facebook.com/groups/657276174438565/permalink/2056701287829373/</t>
  </si>
  <si>
    <t>Constandan Cornelius https://www.facebook.com/groups/657276174438565/permalink/2066191496880352/</t>
  </si>
  <si>
    <t>Galia Stainfeld https://www.facebook.com/groups/657276174438565/permalink/2068510343315134/</t>
  </si>
  <si>
    <t>Dinu Țurcanu https://www.facebook.com/groups/657276174438565/permalink/2071916462974522/</t>
  </si>
  <si>
    <t>Silviu Burcea https://www.facebook.com/groups/657276174438565/permalink/2055677454598423/</t>
  </si>
  <si>
    <t>Dan Spataru https://www.facebook.com/groups/657276174438565/permalink/2061600187339483/</t>
  </si>
  <si>
    <t>Hanchevici Codruț https://www.facebook.com/groups/657276174438565/permalink/2067614570071378/</t>
  </si>
  <si>
    <t>Codrin Constantin https://www.facebook.com/groups/657276174438565/permalink/2050619668437535/</t>
  </si>
  <si>
    <t>Flo Dum https://www.facebook.com/groups/657276174438565/permalink/2050613708438131/</t>
  </si>
  <si>
    <t>Mircea Dominte https://www.facebook.com/groups/657276174438565/permalink/2055902671242568/</t>
  </si>
  <si>
    <t>Daniel Florin https://www.facebook.com/groups/657276174438565/permalink/2060606197438882/</t>
  </si>
  <si>
    <t>Viorel Tabără https://www.facebook.com/groups/657276174438565/permalink/2064700503696118/</t>
  </si>
  <si>
    <t>Magdalena Neagu https://www.facebook.com/groups/657276174438565/permalink/2049850385181130/</t>
  </si>
  <si>
    <t>Ovidiu Gavrilovici https://www.facebook.com/groups/657276174438565/permalink/2047382455427923/</t>
  </si>
  <si>
    <t>Mirea Gabriel Umberto https://www.facebook.com/groups/657276174438565/permalink/2055271061305729/</t>
  </si>
  <si>
    <t>22-28 noiembrie</t>
  </si>
  <si>
    <t xml:space="preserve">penalizare pentru lipsa de fair play </t>
  </si>
  <si>
    <t>Dark Granatroche</t>
  </si>
  <si>
    <t>29 noiembrie-5 decembrie</t>
  </si>
  <si>
    <t>6-12 decembrie</t>
  </si>
  <si>
    <t>poze cu banda, ca dovada, unde este cazul sau anjustarea cu un anumit %; limitarea alergarilor pe banda la 2-3 pe sezon</t>
  </si>
  <si>
    <t>13-19 decembrie</t>
  </si>
  <si>
    <t>Prezente</t>
  </si>
  <si>
    <t>Runners Club</t>
  </si>
  <si>
    <t>o inscriere la Halcyon Faget Winter Trail (5 feb, Cluj Napoca)</t>
  </si>
  <si>
    <t>O inscriere la SKV vertical Race (29 ian 2022, Brasov)</t>
  </si>
  <si>
    <t>Radu Lapadatoni https://www.facebook.com/groups/657276174438565/permalink/2077678402398328/</t>
  </si>
  <si>
    <t>Vasi Minzatu https://www.facebook.com/groups/657276174438565/permalink/2080551868777648/</t>
  </si>
  <si>
    <t>Ghizela Vonica https://www.facebook.com/groups/657276174438565/permalink/2086994518133383/</t>
  </si>
  <si>
    <t>Silviu Burcea https://www.facebook.com/groups/657276174438565/permalink/2093867277446107/</t>
  </si>
  <si>
    <t>Mircea Dominte https://www.facebook.com/groups/657276174438565/permalink/2096615830504585/</t>
  </si>
  <si>
    <t>Ifrim Gheorghe https://www.facebook.com/groups/657276174438565/permalink/2074218582744310/</t>
  </si>
  <si>
    <t>Valenky Opriș https://www.facebook.com/groups/657276174438565/permalink/2078882932277875/</t>
  </si>
  <si>
    <t>Flo Dum https://www.facebook.com/groups/657276174438565/permalink/2093845370781631/</t>
  </si>
  <si>
    <t>Hanchevici Codrut https://www.facebook.com/groups/657276174438565/permalink/2093724130793755/</t>
  </si>
  <si>
    <t>Galia Stainfeld https://www.facebook.com/groups/657276174438565/permalink/2095220850644083/</t>
  </si>
  <si>
    <t>Dranceanu Bogdan https://www.facebook.com/groups/657276174438565/permalink/2077426729090162/</t>
  </si>
  <si>
    <t>Bogdan Tala https://www.facebook.com/groups/657276174438565/permalink/2083431991822969/</t>
  </si>
  <si>
    <t>Mirela Resteman https://www.facebook.com/groups/657276174438565/permalink/2084728535026648/</t>
  </si>
  <si>
    <t>Andrei Diaconescu https://www.facebook.com/groups/657276174438565/permalink/2078446248988210/</t>
  </si>
  <si>
    <t>Marian Uliță https://www.facebook.com/groups/657276174438565/permalink/2075029562663212/</t>
  </si>
  <si>
    <t>Dan Spataru https://www.facebook.com/groups/657276174438565/permalink/2074835019349333/</t>
  </si>
  <si>
    <t>Robert Herman https://www.facebook.com/groups/657276174438565/permalink/2082771815222320/</t>
  </si>
  <si>
    <t>Mirea Gabriel Umberto https://www.facebook.com/groups/657276174438565/permalink/2093158037517031/</t>
  </si>
  <si>
    <t>Cosmin Constantin Popa https://www.facebook.com/groups/657276174438565/permalink/2093468014152700/</t>
  </si>
  <si>
    <t>Ramona Matica https://www.facebook.com/groups/657276174438565/permalink/2098176613681840/</t>
  </si>
  <si>
    <t>Ovidiu Gavrilovici https://www.facebook.com/groups/657276174438565/permalink/2076768975822604/</t>
  </si>
  <si>
    <t>Daniel Florin https://www.facebook.com/groups/657276174438565/permalink/2080276602138508/</t>
  </si>
  <si>
    <t>Viorel Tabără https://www.facebook.com/groups/657276174438565/permalink/2092272837605551/</t>
  </si>
  <si>
    <t>Dark Granatroche https://www.facebook.com/groups/657276174438565/permalink/2092268874272614/</t>
  </si>
  <si>
    <t>Visan Cristina Ștefania https://www.facebook.com/groups/657276174438565/permalink/2097557443743757/</t>
  </si>
  <si>
    <t>Gorcioaia Florin Ionut https://www.facebook.com/groups/657276174438565/permalink/2077355852430583/</t>
  </si>
  <si>
    <t>Dinu Țurcanu https://www.facebook.com/groups/657276174438565/permalink/2085574948275340/</t>
  </si>
  <si>
    <t>Daniel Moldoveanu https://www.facebook.com/groups/657276174438565/permalink/2092708234228678/</t>
  </si>
  <si>
    <t>Magdalena Neagu https://www.facebook.com/groups/657276174438565/permalink/2098825636950271/</t>
  </si>
  <si>
    <t>Adrian Ivan https://www.facebook.com/groups/657276174438565/permalink/2078122265687275/</t>
  </si>
  <si>
    <t>Silvia Medinschi https://www.facebook.com/groups/657276174438565/permalink/2087822394717262/</t>
  </si>
  <si>
    <t>Liga ar trebui să încurajeze, nu sa înfrâneze alergătorii. De exemplu, e mai convenabil un 10K @ 4.29 decât 16K @ 4.31. Aș rezolva asta prin împărțirea ligii în 2, una concentrată pe distanță și una pe viteză. Aerobic monsters vs speed demons. Doar o idee.
Legat de prezentare, la fel, alegerea unei etape din 5 ar trebui sa te încurajeze sa scrii frumos mereu, dar e ca la examen de fapt. Daca faci 4 prezentări frumoase și într-o etapă nu ai timp și scrii 2 vorbe ... și ești punctat pentru cea scrisă pe fugă din cele 5, îți cam taie tot cheful de scris pe urmă.</t>
  </si>
  <si>
    <t>O varianta de luat in calcul ar fi sa nu se accelereze asa tare punctajul la viteza.Legat de banda....eu zic ca ce a iesit din grafic a fost o exceptie. Eu nu am gasit nici o banda care sa imi dea eroare mai mare de 10%, uneori in plus, alteori in minus- cred ca tine de cum misti mana cu ceasul. Corect zic ca ar fi sa fie luat ce da banda (distanta si timpul) corelat cu ceasul unde timpul ar trebui sa fie acelasi. E doar o idee....</t>
  </si>
  <si>
    <t>Se face o poza la banda, corelat cu activitatea pe ceas, teoretic diferentele sunt neglijabile, dar pentru corectitudine se puncteaza la calcul dupa poza. Daca ne gandim la alte scenarii, cred ca avem probleme mai profunde, decat acest concurs</t>
  </si>
  <si>
    <t>Cand am participat prima data la Liga mi s-a parut cea mai fun si fair editie din toate, cu cele 3 categorii care se succedau una dupa alta, si cu oameni relaxati care urmareau doar sa-si descrie alergarile si sa-si impartaseasca experientele fara sa se gandeasca la punctajul din Liga si la locurile ocupate!!! Nu odata am avut alergare de distanta la etapa de viteza sau invers dar a fost mult mai distractiv decat ultimele 2 editii cu toate discutiile despre regulamente si punctaje!!!</t>
  </si>
  <si>
    <t>Sanse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</si>
</sst>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000"/>
  </numFmts>
  <fonts count="24"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sz val="9"/>
      <color rgb="FF0070C0"/>
      <name val="Calibri"/>
      <family val="2"/>
      <scheme val="minor"/>
    </font>
    <font>
      <i/>
      <sz val="9"/>
      <name val="Calibri"/>
      <family val="2"/>
      <scheme val="minor"/>
    </font>
    <font>
      <u/>
      <sz val="11"/>
      <color theme="10"/>
      <name val="Calibri"/>
      <family val="2"/>
      <scheme val="minor"/>
    </font>
    <font>
      <b/>
      <sz val="9"/>
      <color rgb="FFFF0000"/>
      <name val="Calibri"/>
      <family val="2"/>
      <scheme val="minor"/>
    </font>
    <font>
      <u/>
      <sz val="9"/>
      <color theme="10"/>
      <name val="Calibri"/>
      <family val="2"/>
      <scheme val="minor"/>
    </font>
    <font>
      <sz val="9"/>
      <color rgb="FFFFFF00"/>
      <name val="Calibri"/>
      <family val="2"/>
      <scheme val="minor"/>
    </font>
  </fonts>
  <fills count="13">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0000"/>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4">
    <xf numFmtId="169" fontId="0" fillId="0" borderId="0"/>
    <xf numFmtId="43" fontId="10" fillId="0" borderId="0" applyFont="0" applyFill="0" applyBorder="0" applyAlignment="0" applyProtection="0"/>
    <xf numFmtId="164" fontId="10" fillId="0" borderId="0" applyFont="0" applyFill="0" applyBorder="0" applyAlignment="0" applyProtection="0"/>
    <xf numFmtId="169" fontId="20" fillId="0" borderId="0" applyNumberFormat="0" applyFill="0" applyBorder="0" applyAlignment="0" applyProtection="0"/>
  </cellStyleXfs>
  <cellXfs count="213">
    <xf numFmtId="169" fontId="0" fillId="0" borderId="0" xfId="0"/>
    <xf numFmtId="17" fontId="0" fillId="0" borderId="0" xfId="0" quotePrefix="1" applyNumberFormat="1"/>
    <xf numFmtId="169" fontId="1" fillId="0" borderId="0" xfId="0" applyFont="1" applyBorder="1"/>
    <xf numFmtId="169" fontId="2" fillId="2" borderId="0" xfId="0" applyFont="1" applyFill="1" applyBorder="1" applyAlignment="1">
      <alignment horizontal="center" wrapText="1"/>
    </xf>
    <xf numFmtId="169" fontId="2" fillId="2" borderId="0" xfId="0" applyFont="1" applyFill="1" applyBorder="1" applyAlignment="1">
      <alignment horizontal="right" wrapText="1"/>
    </xf>
    <xf numFmtId="169" fontId="1" fillId="0" borderId="0" xfId="0" applyFont="1" applyBorder="1" applyAlignment="1">
      <alignment wrapText="1"/>
    </xf>
    <xf numFmtId="169" fontId="1" fillId="3" borderId="0" xfId="0" applyFont="1" applyFill="1" applyBorder="1" applyAlignment="1">
      <alignment wrapText="1"/>
    </xf>
    <xf numFmtId="169" fontId="2" fillId="3" borderId="0" xfId="0" applyFont="1" applyFill="1" applyBorder="1" applyAlignment="1">
      <alignment horizontal="center" wrapText="1"/>
    </xf>
    <xf numFmtId="169" fontId="3" fillId="4" borderId="0" xfId="0" applyFont="1" applyFill="1" applyBorder="1" applyAlignment="1">
      <alignment wrapText="1"/>
    </xf>
    <xf numFmtId="169" fontId="3" fillId="5" borderId="0" xfId="0" applyFont="1" applyFill="1" applyBorder="1" applyAlignment="1">
      <alignment wrapText="1"/>
    </xf>
    <xf numFmtId="21" fontId="3" fillId="5" borderId="0" xfId="0" applyNumberFormat="1" applyFont="1" applyFill="1" applyBorder="1" applyAlignment="1">
      <alignment horizontal="right" wrapText="1"/>
    </xf>
    <xf numFmtId="9" fontId="3" fillId="0" borderId="0" xfId="0" applyNumberFormat="1" applyFont="1" applyBorder="1" applyAlignment="1">
      <alignment horizontal="right" wrapText="1"/>
    </xf>
    <xf numFmtId="169" fontId="1" fillId="5" borderId="0" xfId="0" applyFont="1" applyFill="1" applyBorder="1" applyAlignment="1">
      <alignment wrapText="1"/>
    </xf>
    <xf numFmtId="169" fontId="2" fillId="0" borderId="0" xfId="0" applyFont="1" applyBorder="1" applyAlignment="1">
      <alignment wrapText="1"/>
    </xf>
    <xf numFmtId="165" fontId="1" fillId="0" borderId="0" xfId="0" applyNumberFormat="1" applyFont="1"/>
    <xf numFmtId="169" fontId="4" fillId="0" borderId="0" xfId="0" applyFont="1"/>
    <xf numFmtId="169" fontId="6" fillId="0" borderId="0" xfId="0" applyFont="1" applyBorder="1" applyAlignment="1">
      <alignment wrapText="1"/>
    </xf>
    <xf numFmtId="169" fontId="7" fillId="0" borderId="0" xfId="0" applyFont="1"/>
    <xf numFmtId="169" fontId="2" fillId="0" borderId="0" xfId="0" applyFont="1" applyFill="1" applyBorder="1" applyAlignment="1">
      <alignment wrapText="1"/>
    </xf>
    <xf numFmtId="169" fontId="6" fillId="2" borderId="0" xfId="0" applyFont="1" applyFill="1" applyBorder="1" applyAlignment="1">
      <alignment wrapText="1"/>
    </xf>
    <xf numFmtId="169" fontId="6" fillId="3" borderId="0" xfId="0" applyFont="1" applyFill="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169" fontId="1" fillId="0" borderId="0" xfId="0" applyFont="1" applyFill="1" applyBorder="1"/>
    <xf numFmtId="169" fontId="1" fillId="0" borderId="0" xfId="0" applyFont="1" applyFill="1" applyBorder="1" applyAlignment="1">
      <alignment horizontal="right" wrapText="1"/>
    </xf>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1" fillId="0" borderId="0" xfId="0" applyFont="1" applyFill="1" applyBorder="1" applyAlignment="1">
      <alignment vertical="center"/>
    </xf>
    <xf numFmtId="169" fontId="12" fillId="0" borderId="0" xfId="0" applyFont="1" applyFill="1" applyBorder="1" applyAlignment="1">
      <alignment vertical="center"/>
    </xf>
    <xf numFmtId="169" fontId="12" fillId="0" borderId="0" xfId="0" applyFont="1" applyBorder="1" applyAlignment="1">
      <alignment vertical="center"/>
    </xf>
    <xf numFmtId="169" fontId="1" fillId="0" borderId="0" xfId="0" applyNumberFormat="1" applyFont="1" applyFill="1" applyBorder="1" applyAlignment="1">
      <alignment wrapText="1"/>
    </xf>
    <xf numFmtId="169" fontId="2" fillId="0" borderId="0" xfId="0" applyFont="1" applyBorder="1" applyAlignment="1">
      <alignment horizontal="left" wrapText="1"/>
    </xf>
    <xf numFmtId="169" fontId="8" fillId="6" borderId="0" xfId="0" applyFont="1" applyFill="1" applyBorder="1" applyAlignment="1">
      <alignment horizontal="center"/>
    </xf>
    <xf numFmtId="168" fontId="8" fillId="6" borderId="0" xfId="0" applyNumberFormat="1" applyFont="1" applyFill="1" applyBorder="1" applyAlignment="1">
      <alignment horizontal="center"/>
    </xf>
    <xf numFmtId="169" fontId="8" fillId="7" borderId="0" xfId="0" applyFont="1" applyFill="1" applyBorder="1" applyAlignment="1">
      <alignment horizontal="center"/>
    </xf>
    <xf numFmtId="2" fontId="9" fillId="7" borderId="0" xfId="0" applyNumberFormat="1" applyFont="1" applyFill="1" applyBorder="1" applyAlignment="1">
      <alignment horizontal="center"/>
    </xf>
    <xf numFmtId="169" fontId="1" fillId="0" borderId="0" xfId="0" applyFont="1" applyFill="1"/>
    <xf numFmtId="169" fontId="13" fillId="0" borderId="0" xfId="0" applyFont="1" applyBorder="1" applyAlignment="1">
      <alignment vertical="center"/>
    </xf>
    <xf numFmtId="169" fontId="8" fillId="0" borderId="0" xfId="0" applyFont="1" applyFill="1" applyBorder="1" applyAlignment="1">
      <alignment horizontal="center"/>
    </xf>
    <xf numFmtId="169" fontId="1" fillId="0" borderId="0" xfId="0" applyFont="1" applyFill="1" applyBorder="1" applyAlignment="1">
      <alignment horizontal="center"/>
    </xf>
    <xf numFmtId="169"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169" fontId="14" fillId="8" borderId="0" xfId="0" applyFont="1" applyFill="1" applyBorder="1" applyAlignment="1">
      <alignment wrapText="1"/>
    </xf>
    <xf numFmtId="167" fontId="14" fillId="8" borderId="0" xfId="1" applyNumberFormat="1" applyFont="1" applyFill="1" applyBorder="1" applyAlignment="1">
      <alignment wrapText="1"/>
    </xf>
    <xf numFmtId="43" fontId="3" fillId="0" borderId="0" xfId="1" applyNumberFormat="1" applyFont="1" applyFill="1" applyBorder="1" applyAlignment="1">
      <alignment horizontal="right" wrapText="1"/>
    </xf>
    <xf numFmtId="169" fontId="5" fillId="0" borderId="0" xfId="0" applyFont="1"/>
    <xf numFmtId="43" fontId="11" fillId="0" borderId="0" xfId="1" applyFont="1"/>
    <xf numFmtId="169" fontId="9" fillId="0" borderId="0" xfId="0" applyFont="1"/>
    <xf numFmtId="43" fontId="9" fillId="0" borderId="0" xfId="1" applyFont="1"/>
    <xf numFmtId="169" fontId="8" fillId="0" borderId="0" xfId="0" applyFont="1"/>
    <xf numFmtId="43" fontId="8" fillId="0" borderId="0" xfId="1" applyFont="1"/>
    <xf numFmtId="169" fontId="8" fillId="0" borderId="0" xfId="0" applyFont="1" applyAlignment="1">
      <alignment horizontal="right"/>
    </xf>
    <xf numFmtId="169" fontId="0" fillId="0" borderId="0" xfId="0" applyFont="1"/>
    <xf numFmtId="169" fontId="11" fillId="0" borderId="0" xfId="0" applyFont="1" applyFill="1"/>
    <xf numFmtId="169" fontId="7" fillId="0" borderId="0" xfId="0" applyFont="1" applyFill="1"/>
    <xf numFmtId="169" fontId="11" fillId="0" borderId="0" xfId="0" applyFont="1"/>
    <xf numFmtId="169" fontId="12" fillId="0" borderId="0" xfId="0" applyFont="1"/>
    <xf numFmtId="43" fontId="12" fillId="0" borderId="0" xfId="0" applyNumberFormat="1" applyFont="1"/>
    <xf numFmtId="169" fontId="16" fillId="0" borderId="0" xfId="0" applyFont="1"/>
    <xf numFmtId="169" fontId="15" fillId="10" borderId="0" xfId="0" applyFont="1" applyFill="1" applyBorder="1" applyAlignment="1">
      <alignment wrapText="1"/>
    </xf>
    <xf numFmtId="169" fontId="15" fillId="10" borderId="0" xfId="0" applyFont="1" applyFill="1" applyBorder="1" applyAlignment="1">
      <alignment horizontal="right" wrapText="1"/>
    </xf>
    <xf numFmtId="2" fontId="15" fillId="10" borderId="0" xfId="0" applyNumberFormat="1" applyFont="1" applyFill="1" applyBorder="1" applyAlignment="1">
      <alignment horizontal="right" wrapText="1"/>
    </xf>
    <xf numFmtId="21" fontId="15" fillId="10" borderId="0" xfId="0" applyNumberFormat="1" applyFont="1" applyFill="1" applyBorder="1" applyAlignment="1">
      <alignment horizontal="right" wrapText="1"/>
    </xf>
    <xf numFmtId="167" fontId="15" fillId="10" borderId="0" xfId="1" applyNumberFormat="1" applyFont="1" applyFill="1" applyBorder="1" applyAlignment="1">
      <alignment horizontal="right" wrapText="1"/>
    </xf>
    <xf numFmtId="169" fontId="12" fillId="0" borderId="0" xfId="0" quotePrefix="1" applyFont="1"/>
    <xf numFmtId="169" fontId="14" fillId="8" borderId="0" xfId="0" applyFont="1" applyFill="1" applyBorder="1" applyAlignment="1">
      <alignment horizontal="center" vertical="center" wrapText="1"/>
    </xf>
    <xf numFmtId="169" fontId="11" fillId="0" borderId="0" xfId="0" applyFont="1" applyBorder="1" applyAlignment="1">
      <alignment vertical="center"/>
    </xf>
    <xf numFmtId="169" fontId="11" fillId="0" borderId="0" xfId="0" applyFont="1" applyBorder="1"/>
    <xf numFmtId="169" fontId="0" fillId="0" borderId="0" xfId="0"/>
    <xf numFmtId="169" fontId="7" fillId="0" borderId="0" xfId="0" applyFont="1"/>
    <xf numFmtId="169" fontId="5" fillId="0" borderId="0" xfId="0" applyFont="1"/>
    <xf numFmtId="169" fontId="11" fillId="0" borderId="0" xfId="0" applyFont="1"/>
    <xf numFmtId="169" fontId="1" fillId="0" borderId="0" xfId="0" applyFont="1" applyBorder="1"/>
    <xf numFmtId="169" fontId="0" fillId="0" borderId="0" xfId="0" applyFill="1"/>
    <xf numFmtId="169" fontId="12" fillId="9" borderId="0" xfId="0" applyFont="1" applyFill="1"/>
    <xf numFmtId="169" fontId="11" fillId="9" borderId="0" xfId="0" applyFont="1" applyFill="1"/>
    <xf numFmtId="1" fontId="8" fillId="11" borderId="0" xfId="0" applyNumberFormat="1" applyFont="1" applyFill="1" applyBorder="1" applyAlignment="1">
      <alignment horizontal="left" vertical="top"/>
    </xf>
    <xf numFmtId="169" fontId="15" fillId="10" borderId="0" xfId="0" applyNumberFormat="1" applyFont="1" applyFill="1" applyBorder="1" applyAlignment="1">
      <alignment horizontal="right" wrapText="1"/>
    </xf>
    <xf numFmtId="169" fontId="17" fillId="0" borderId="0" xfId="0" applyFont="1" applyFill="1"/>
    <xf numFmtId="169" fontId="11" fillId="0" borderId="0" xfId="0" applyFont="1" applyFill="1" applyAlignment="1">
      <alignment horizontal="center" vertical="center"/>
    </xf>
    <xf numFmtId="169" fontId="11" fillId="4" borderId="0" xfId="0" applyFont="1" applyFill="1" applyBorder="1" applyAlignment="1">
      <alignment wrapText="1"/>
    </xf>
    <xf numFmtId="169" fontId="11" fillId="0" borderId="0" xfId="0" applyFont="1" applyBorder="1" applyAlignment="1">
      <alignment wrapText="1"/>
    </xf>
    <xf numFmtId="169" fontId="11" fillId="5" borderId="0" xfId="0" applyFont="1" applyFill="1" applyBorder="1" applyAlignment="1">
      <alignment wrapText="1"/>
    </xf>
    <xf numFmtId="21" fontId="11" fillId="5" borderId="0" xfId="0" applyNumberFormat="1" applyFont="1" applyFill="1" applyBorder="1" applyAlignment="1">
      <alignment horizontal="right" wrapText="1"/>
    </xf>
    <xf numFmtId="166" fontId="1" fillId="0" borderId="0" xfId="1" applyNumberFormat="1" applyFont="1" applyBorder="1" applyAlignment="1">
      <alignment wrapText="1"/>
    </xf>
    <xf numFmtId="2" fontId="1" fillId="0" borderId="0" xfId="0" applyNumberFormat="1" applyFont="1" applyBorder="1" applyAlignment="1">
      <alignment wrapText="1"/>
    </xf>
    <xf numFmtId="168" fontId="1" fillId="0" borderId="0" xfId="0" applyNumberFormat="1" applyFont="1" applyBorder="1" applyAlignment="1">
      <alignment wrapText="1"/>
    </xf>
    <xf numFmtId="2" fontId="1" fillId="0" borderId="0" xfId="0" applyNumberFormat="1" applyFont="1" applyBorder="1"/>
    <xf numFmtId="170" fontId="1" fillId="0" borderId="0" xfId="1" applyNumberFormat="1" applyFont="1" applyBorder="1"/>
    <xf numFmtId="171" fontId="7" fillId="0" borderId="0" xfId="0" applyNumberFormat="1" applyFont="1"/>
    <xf numFmtId="169" fontId="19" fillId="0" borderId="0" xfId="0" applyFont="1" applyFill="1" applyBorder="1" applyAlignment="1">
      <alignment vertical="center"/>
    </xf>
    <xf numFmtId="167" fontId="9" fillId="7" borderId="0" xfId="1" applyNumberFormat="1" applyFont="1" applyFill="1" applyBorder="1" applyAlignment="1">
      <alignment horizontal="center"/>
    </xf>
    <xf numFmtId="43" fontId="0" fillId="0" borderId="0" xfId="1" applyNumberFormat="1" applyFont="1"/>
    <xf numFmtId="169" fontId="4" fillId="9" borderId="0" xfId="0" applyFont="1" applyFill="1" applyAlignment="1">
      <alignment horizontal="center" vertical="center"/>
    </xf>
    <xf numFmtId="2" fontId="1" fillId="0" borderId="0" xfId="0" applyNumberFormat="1" applyFont="1" applyFill="1"/>
    <xf numFmtId="21" fontId="11" fillId="0" borderId="0" xfId="0" applyNumberFormat="1" applyFont="1" applyFill="1" applyBorder="1" applyAlignment="1">
      <alignment horizontal="right" wrapText="1"/>
    </xf>
    <xf numFmtId="1" fontId="8" fillId="9" borderId="0" xfId="0" applyNumberFormat="1" applyFont="1" applyFill="1" applyBorder="1" applyAlignment="1">
      <alignment horizontal="left" vertical="top"/>
    </xf>
    <xf numFmtId="169" fontId="20" fillId="0" borderId="0" xfId="3" applyFill="1"/>
    <xf numFmtId="169" fontId="4" fillId="0" borderId="0" xfId="0" applyFont="1" applyFill="1"/>
    <xf numFmtId="169" fontId="11" fillId="9" borderId="0" xfId="0" applyFont="1" applyFill="1" applyBorder="1" applyAlignment="1">
      <alignment vertical="center"/>
    </xf>
    <xf numFmtId="169" fontId="7" fillId="9" borderId="0" xfId="0" applyFont="1" applyFill="1"/>
    <xf numFmtId="169" fontId="1" fillId="9" borderId="0" xfId="0" applyFont="1" applyFill="1" applyBorder="1" applyAlignment="1">
      <alignment horizontal="right" wrapText="1"/>
    </xf>
    <xf numFmtId="169" fontId="1" fillId="9" borderId="0" xfId="0" applyNumberFormat="1" applyFont="1" applyFill="1" applyBorder="1" applyAlignment="1">
      <alignment wrapText="1"/>
    </xf>
    <xf numFmtId="9" fontId="3" fillId="9" borderId="0" xfId="0" applyNumberFormat="1" applyFont="1" applyFill="1" applyBorder="1" applyAlignment="1">
      <alignment horizontal="right" wrapText="1"/>
    </xf>
    <xf numFmtId="169" fontId="0" fillId="9" borderId="0" xfId="0" applyFont="1" applyFill="1"/>
    <xf numFmtId="169" fontId="17" fillId="9" borderId="0" xfId="0" applyFont="1" applyFill="1" applyBorder="1" applyAlignment="1">
      <alignment horizontal="right" wrapText="1"/>
    </xf>
    <xf numFmtId="169" fontId="21" fillId="9" borderId="0" xfId="0" applyFont="1" applyFill="1" applyBorder="1" applyAlignment="1">
      <alignment horizontal="left" wrapText="1"/>
    </xf>
    <xf numFmtId="165" fontId="1" fillId="0" borderId="0" xfId="0" applyNumberFormat="1" applyFont="1" applyBorder="1"/>
    <xf numFmtId="169" fontId="15" fillId="10" borderId="1" xfId="0" applyFont="1" applyFill="1" applyBorder="1" applyAlignment="1">
      <alignment wrapText="1"/>
    </xf>
    <xf numFmtId="169" fontId="1" fillId="0" borderId="1" xfId="0" applyFont="1" applyBorder="1"/>
    <xf numFmtId="169" fontId="15" fillId="10" borderId="1" xfId="0" applyFont="1" applyFill="1" applyBorder="1" applyAlignment="1">
      <alignment horizontal="right" wrapText="1"/>
    </xf>
    <xf numFmtId="2" fontId="15" fillId="10" borderId="1" xfId="0" applyNumberFormat="1" applyFont="1" applyFill="1" applyBorder="1" applyAlignment="1">
      <alignment horizontal="right" wrapText="1"/>
    </xf>
    <xf numFmtId="21" fontId="15" fillId="10" borderId="1" xfId="0" applyNumberFormat="1" applyFont="1" applyFill="1" applyBorder="1" applyAlignment="1">
      <alignment horizontal="right" wrapText="1"/>
    </xf>
    <xf numFmtId="21" fontId="11" fillId="0" borderId="1" xfId="0" applyNumberFormat="1" applyFont="1" applyFill="1" applyBorder="1" applyAlignment="1">
      <alignment horizontal="right" wrapText="1"/>
    </xf>
    <xf numFmtId="167" fontId="15" fillId="10" borderId="1" xfId="1" applyNumberFormat="1" applyFont="1" applyFill="1" applyBorder="1" applyAlignment="1">
      <alignment horizontal="right" wrapText="1"/>
    </xf>
    <xf numFmtId="165" fontId="1" fillId="0" borderId="1" xfId="0" applyNumberFormat="1" applyFont="1" applyBorder="1"/>
    <xf numFmtId="2" fontId="1" fillId="0" borderId="1" xfId="0" applyNumberFormat="1" applyFont="1" applyBorder="1"/>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169" fontId="15" fillId="10" borderId="1" xfId="0" applyNumberFormat="1" applyFont="1" applyFill="1" applyBorder="1" applyAlignment="1">
      <alignment horizontal="right" wrapText="1"/>
    </xf>
    <xf numFmtId="169" fontId="1" fillId="0" borderId="1" xfId="0" applyFont="1" applyFill="1" applyBorder="1"/>
    <xf numFmtId="43" fontId="17" fillId="9" borderId="0" xfId="1" applyNumberFormat="1" applyFont="1" applyFill="1" applyBorder="1" applyAlignment="1">
      <alignment horizontal="right" wrapText="1"/>
    </xf>
    <xf numFmtId="43" fontId="17" fillId="0" borderId="0" xfId="1" applyFont="1"/>
    <xf numFmtId="169" fontId="17" fillId="9" borderId="1" xfId="0" applyFont="1" applyFill="1" applyBorder="1" applyAlignment="1">
      <alignment horizontal="right" wrapText="1"/>
    </xf>
    <xf numFmtId="43" fontId="11" fillId="12" borderId="0" xfId="1" applyFont="1" applyFill="1"/>
    <xf numFmtId="169" fontId="22" fillId="0" borderId="0" xfId="3" applyFont="1"/>
    <xf numFmtId="43" fontId="11" fillId="0" borderId="0" xfId="1" applyNumberFormat="1" applyFont="1"/>
    <xf numFmtId="43" fontId="17" fillId="0" borderId="0" xfId="1" applyNumberFormat="1" applyFont="1"/>
    <xf numFmtId="169" fontId="7" fillId="0" borderId="0" xfId="0" quotePrefix="1" applyFont="1"/>
    <xf numFmtId="1" fontId="14" fillId="8" borderId="0" xfId="0" applyNumberFormat="1" applyFont="1" applyFill="1" applyBorder="1" applyAlignment="1">
      <alignment wrapText="1"/>
    </xf>
    <xf numFmtId="1" fontId="15" fillId="10" borderId="0" xfId="0" applyNumberFormat="1" applyFont="1" applyFill="1" applyBorder="1" applyAlignment="1">
      <alignment horizontal="right" wrapText="1"/>
    </xf>
    <xf numFmtId="1" fontId="15" fillId="10" borderId="1" xfId="0" applyNumberFormat="1" applyFont="1" applyFill="1" applyBorder="1" applyAlignment="1">
      <alignment horizontal="right" wrapText="1"/>
    </xf>
    <xf numFmtId="1" fontId="15" fillId="10" borderId="0" xfId="0" applyNumberFormat="1" applyFont="1" applyFill="1" applyBorder="1"/>
    <xf numFmtId="1" fontId="15" fillId="10" borderId="1" xfId="0" applyNumberFormat="1" applyFont="1" applyFill="1" applyBorder="1"/>
    <xf numFmtId="1" fontId="1" fillId="0" borderId="0" xfId="0" applyNumberFormat="1" applyFont="1" applyBorder="1"/>
    <xf numFmtId="1" fontId="2" fillId="0" borderId="0" xfId="0" applyNumberFormat="1" applyFont="1" applyBorder="1" applyAlignment="1">
      <alignment wrapText="1"/>
    </xf>
    <xf numFmtId="1" fontId="1" fillId="0" borderId="0" xfId="0" applyNumberFormat="1" applyFont="1" applyBorder="1" applyAlignment="1">
      <alignment horizontal="right" wrapText="1"/>
    </xf>
    <xf numFmtId="1" fontId="1" fillId="0" borderId="1" xfId="0" applyNumberFormat="1" applyFont="1" applyBorder="1" applyAlignment="1">
      <alignment horizontal="right" wrapText="1"/>
    </xf>
    <xf numFmtId="169" fontId="11" fillId="0" borderId="0" xfId="0" applyNumberFormat="1" applyFont="1" applyFill="1" applyAlignment="1">
      <alignment horizontal="right"/>
    </xf>
    <xf numFmtId="169" fontId="11" fillId="0" borderId="0" xfId="0" applyNumberFormat="1" applyFont="1" applyFill="1" applyAlignment="1">
      <alignment horizontal="left"/>
    </xf>
    <xf numFmtId="169" fontId="17" fillId="0" borderId="0" xfId="0" applyNumberFormat="1" applyFont="1" applyFill="1" applyAlignment="1">
      <alignment horizontal="right"/>
    </xf>
    <xf numFmtId="169" fontId="18" fillId="0" borderId="0" xfId="0" applyNumberFormat="1" applyFont="1" applyFill="1" applyAlignment="1">
      <alignment horizontal="right"/>
    </xf>
    <xf numFmtId="1" fontId="11" fillId="0" borderId="0" xfId="0" applyNumberFormat="1" applyFont="1" applyFill="1"/>
    <xf numFmtId="1" fontId="8" fillId="6" borderId="0" xfId="0" applyNumberFormat="1" applyFont="1" applyFill="1" applyBorder="1" applyAlignment="1">
      <alignment horizontal="center"/>
    </xf>
    <xf numFmtId="1" fontId="8" fillId="7" borderId="0" xfId="0" applyNumberFormat="1" applyFont="1" applyFill="1" applyBorder="1" applyAlignment="1">
      <alignment horizontal="center"/>
    </xf>
    <xf numFmtId="1" fontId="1" fillId="6" borderId="0" xfId="0" applyNumberFormat="1" applyFont="1" applyFill="1"/>
    <xf numFmtId="1" fontId="8" fillId="0" borderId="0" xfId="0" applyNumberFormat="1" applyFont="1" applyFill="1" applyBorder="1" applyAlignment="1">
      <alignment horizontal="center"/>
    </xf>
    <xf numFmtId="1" fontId="1" fillId="0" borderId="0" xfId="0" applyNumberFormat="1" applyFont="1" applyFill="1" applyBorder="1"/>
    <xf numFmtId="1" fontId="6" fillId="0" borderId="0" xfId="0" applyNumberFormat="1" applyFont="1" applyFill="1" applyBorder="1" applyAlignment="1">
      <alignment horizontal="center"/>
    </xf>
    <xf numFmtId="1" fontId="8" fillId="0" borderId="0" xfId="0" applyNumberFormat="1" applyFont="1"/>
    <xf numFmtId="1" fontId="9" fillId="0" borderId="0" xfId="0" applyNumberFormat="1" applyFont="1"/>
    <xf numFmtId="1" fontId="12" fillId="0" borderId="0" xfId="0" applyNumberFormat="1" applyFont="1"/>
    <xf numFmtId="1" fontId="12" fillId="11" borderId="0" xfId="0" applyNumberFormat="1" applyFont="1" applyFill="1" applyAlignment="1">
      <alignment horizontal="center" vertical="center"/>
    </xf>
    <xf numFmtId="1" fontId="11" fillId="0" borderId="0" xfId="0" applyNumberFormat="1" applyFont="1"/>
    <xf numFmtId="1" fontId="0" fillId="9" borderId="0" xfId="0" applyNumberFormat="1" applyFill="1"/>
    <xf numFmtId="2" fontId="0" fillId="0" borderId="0" xfId="0" applyNumberFormat="1" applyFill="1"/>
    <xf numFmtId="2" fontId="0" fillId="9" borderId="0" xfId="0" applyNumberFormat="1" applyFill="1"/>
    <xf numFmtId="1" fontId="4" fillId="0" borderId="0" xfId="0" applyNumberFormat="1" applyFont="1"/>
    <xf numFmtId="1" fontId="0" fillId="0" borderId="0" xfId="0" applyNumberFormat="1"/>
    <xf numFmtId="1" fontId="18" fillId="0" borderId="0" xfId="0" applyNumberFormat="1" applyFont="1" applyFill="1"/>
    <xf numFmtId="1" fontId="17" fillId="0" borderId="0" xfId="0" applyNumberFormat="1" applyFont="1" applyFill="1"/>
    <xf numFmtId="1" fontId="1" fillId="0" borderId="0" xfId="0" applyNumberFormat="1" applyFont="1" applyFill="1" applyBorder="1" applyAlignment="1">
      <alignment horizontal="right" wrapText="1"/>
    </xf>
    <xf numFmtId="1" fontId="1" fillId="9" borderId="0" xfId="0" applyNumberFormat="1" applyFont="1" applyFill="1" applyBorder="1" applyAlignment="1">
      <alignment horizontal="right" wrapText="1"/>
    </xf>
    <xf numFmtId="168" fontId="3" fillId="4" borderId="0" xfId="0" applyNumberFormat="1" applyFont="1" applyFill="1" applyBorder="1" applyAlignment="1">
      <alignment horizontal="right" wrapText="1"/>
    </xf>
    <xf numFmtId="168" fontId="11" fillId="4" borderId="0" xfId="0" applyNumberFormat="1" applyFont="1" applyFill="1" applyBorder="1" applyAlignment="1">
      <alignment horizontal="right" wrapText="1"/>
    </xf>
    <xf numFmtId="168" fontId="3" fillId="5" borderId="0" xfId="0" applyNumberFormat="1" applyFont="1" applyFill="1" applyBorder="1" applyAlignment="1">
      <alignment horizontal="right" wrapText="1"/>
    </xf>
    <xf numFmtId="168" fontId="11" fillId="5" borderId="0" xfId="0" applyNumberFormat="1" applyFont="1" applyFill="1" applyBorder="1" applyAlignment="1">
      <alignment horizontal="right" wrapText="1"/>
    </xf>
    <xf numFmtId="168" fontId="2" fillId="2" borderId="0" xfId="0" applyNumberFormat="1" applyFont="1" applyFill="1" applyBorder="1" applyAlignment="1">
      <alignment horizontal="right" wrapText="1"/>
    </xf>
    <xf numFmtId="168" fontId="1" fillId="0" borderId="0" xfId="0" applyNumberFormat="1" applyFont="1" applyBorder="1"/>
    <xf numFmtId="168" fontId="1" fillId="3" borderId="0" xfId="0" applyNumberFormat="1" applyFont="1" applyFill="1" applyBorder="1" applyAlignment="1">
      <alignment wrapText="1"/>
    </xf>
    <xf numFmtId="168" fontId="11" fillId="0" borderId="0" xfId="0" applyNumberFormat="1" applyFont="1" applyBorder="1"/>
    <xf numFmtId="1" fontId="3" fillId="4" borderId="0" xfId="0" applyNumberFormat="1" applyFont="1" applyFill="1" applyBorder="1" applyAlignment="1">
      <alignment horizontal="right" wrapText="1"/>
    </xf>
    <xf numFmtId="1" fontId="11" fillId="4" borderId="0" xfId="0" applyNumberFormat="1" applyFont="1" applyFill="1" applyBorder="1" applyAlignment="1">
      <alignment horizontal="right" wrapText="1"/>
    </xf>
    <xf numFmtId="169" fontId="15" fillId="10" borderId="2" xfId="0" applyFont="1" applyFill="1" applyBorder="1" applyAlignment="1">
      <alignment wrapText="1"/>
    </xf>
    <xf numFmtId="169" fontId="1" fillId="0" borderId="2" xfId="0" applyFont="1" applyBorder="1"/>
    <xf numFmtId="1" fontId="15" fillId="10" borderId="2" xfId="0" applyNumberFormat="1" applyFont="1" applyFill="1" applyBorder="1" applyAlignment="1">
      <alignment horizontal="right" wrapText="1"/>
    </xf>
    <xf numFmtId="2" fontId="15" fillId="10" borderId="2" xfId="0" applyNumberFormat="1" applyFont="1" applyFill="1" applyBorder="1" applyAlignment="1">
      <alignment horizontal="right" wrapText="1"/>
    </xf>
    <xf numFmtId="21" fontId="15" fillId="10" borderId="2" xfId="0" applyNumberFormat="1" applyFont="1" applyFill="1" applyBorder="1" applyAlignment="1">
      <alignment horizontal="right" wrapText="1"/>
    </xf>
    <xf numFmtId="21" fontId="11" fillId="0" borderId="2" xfId="0" applyNumberFormat="1" applyFont="1" applyFill="1" applyBorder="1" applyAlignment="1">
      <alignment horizontal="right" wrapText="1"/>
    </xf>
    <xf numFmtId="167" fontId="15" fillId="10" borderId="2" xfId="1" applyNumberFormat="1" applyFont="1" applyFill="1" applyBorder="1" applyAlignment="1">
      <alignment horizontal="right" wrapText="1"/>
    </xf>
    <xf numFmtId="165" fontId="1" fillId="0" borderId="2" xfId="0" applyNumberFormat="1" applyFont="1" applyBorder="1"/>
    <xf numFmtId="2" fontId="1" fillId="0" borderId="2" xfId="0" applyNumberFormat="1" applyFont="1" applyBorder="1"/>
    <xf numFmtId="169" fontId="15" fillId="10" borderId="2" xfId="0" applyFont="1" applyFill="1" applyBorder="1" applyAlignment="1">
      <alignment horizontal="right" wrapText="1"/>
    </xf>
    <xf numFmtId="9" fontId="3" fillId="0" borderId="2" xfId="0" applyNumberFormat="1" applyFont="1" applyBorder="1" applyAlignment="1">
      <alignment horizontal="right" wrapText="1"/>
    </xf>
    <xf numFmtId="43" fontId="3" fillId="0" borderId="2" xfId="1" applyNumberFormat="1" applyFont="1" applyFill="1" applyBorder="1" applyAlignment="1">
      <alignment horizontal="right" wrapText="1"/>
    </xf>
    <xf numFmtId="166" fontId="1" fillId="0" borderId="2" xfId="1" applyNumberFormat="1" applyFont="1" applyFill="1" applyBorder="1"/>
    <xf numFmtId="43" fontId="3" fillId="0" borderId="2" xfId="1" applyNumberFormat="1" applyFont="1" applyBorder="1" applyAlignment="1">
      <alignment horizontal="right" wrapText="1"/>
    </xf>
    <xf numFmtId="169" fontId="15" fillId="10" borderId="2" xfId="0" applyNumberFormat="1" applyFont="1" applyFill="1" applyBorder="1" applyAlignment="1">
      <alignment horizontal="right" wrapText="1"/>
    </xf>
    <xf numFmtId="1" fontId="1" fillId="0" borderId="2" xfId="0" applyNumberFormat="1" applyFont="1" applyBorder="1" applyAlignment="1">
      <alignment horizontal="right" wrapText="1"/>
    </xf>
    <xf numFmtId="169" fontId="1" fillId="0" borderId="2" xfId="0" applyFont="1" applyFill="1" applyBorder="1"/>
    <xf numFmtId="1" fontId="15" fillId="10" borderId="2" xfId="0" applyNumberFormat="1" applyFont="1" applyFill="1" applyBorder="1"/>
    <xf numFmtId="169" fontId="17" fillId="9" borderId="2" xfId="0" applyFont="1" applyFill="1" applyBorder="1" applyAlignment="1">
      <alignment horizontal="right" wrapText="1"/>
    </xf>
    <xf numFmtId="43" fontId="2" fillId="0" borderId="0" xfId="1" applyNumberFormat="1" applyFont="1" applyBorder="1" applyAlignment="1">
      <alignment horizontal="center" vertical="center" wrapText="1"/>
    </xf>
    <xf numFmtId="1" fontId="23" fillId="12" borderId="0" xfId="0" applyNumberFormat="1" applyFont="1" applyFill="1"/>
    <xf numFmtId="169" fontId="23" fillId="12" borderId="0" xfId="0" applyFont="1" applyFill="1" applyBorder="1" applyAlignment="1">
      <alignment horizontal="right" wrapText="1"/>
    </xf>
    <xf numFmtId="169" fontId="6" fillId="0" borderId="0" xfId="0" applyFont="1"/>
    <xf numFmtId="1" fontId="6" fillId="0" borderId="0" xfId="0" applyNumberFormat="1" applyFont="1" applyFill="1"/>
    <xf numFmtId="169" fontId="6" fillId="9" borderId="0" xfId="0" applyFont="1" applyFill="1" applyAlignment="1">
      <alignment horizontal="center" vertical="center"/>
    </xf>
    <xf numFmtId="169" fontId="1" fillId="0" borderId="0" xfId="0" applyFont="1"/>
    <xf numFmtId="1" fontId="1" fillId="0" borderId="0" xfId="0" applyNumberFormat="1" applyFont="1" applyFill="1"/>
    <xf numFmtId="169" fontId="22" fillId="0" borderId="0" xfId="3" applyFont="1" applyFill="1"/>
    <xf numFmtId="43" fontId="1" fillId="0" borderId="0" xfId="1" applyNumberFormat="1" applyFont="1"/>
    <xf numFmtId="1" fontId="1" fillId="9" borderId="0" xfId="0" applyNumberFormat="1" applyFont="1" applyFill="1"/>
    <xf numFmtId="2" fontId="1" fillId="12" borderId="0" xfId="0" applyNumberFormat="1" applyFont="1" applyFill="1"/>
    <xf numFmtId="169" fontId="0" fillId="0" borderId="0" xfId="0" applyAlignment="1">
      <alignment horizontal="left" vertical="top" wrapText="1"/>
    </xf>
    <xf numFmtId="0" fontId="1" fillId="0" borderId="0" xfId="0" applyNumberFormat="1" applyFont="1" applyFill="1"/>
  </cellXfs>
  <cellStyles count="4">
    <cellStyle name="Comma" xfId="1" builtinId="3"/>
    <cellStyle name="Comma 2" xfId="2"/>
    <cellStyle name="Hyperlink" xfId="3" builtinId="8"/>
    <cellStyle name="Normal" xfId="0" builtinId="0"/>
  </cellStyles>
  <dxfs count="67">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dxf>
    <dxf>
      <fill>
        <patternFill patternType="solid">
          <bgColor rgb="FFFF0000"/>
        </patternFill>
      </fill>
    </dxf>
    <dxf>
      <font>
        <color auto="1"/>
      </font>
    </dxf>
    <dxf>
      <fill>
        <patternFill patternType="none">
          <bgColor auto="1"/>
        </patternFill>
      </fill>
    </dxf>
    <dxf>
      <numFmt numFmtId="1" formatCode="0"/>
    </dxf>
    <dxf>
      <numFmt numFmtId="1" formatCode="0"/>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auto="1"/>
      </font>
    </dxf>
    <dxf>
      <fill>
        <patternFill patternType="none">
          <bgColor auto="1"/>
        </patternFill>
      </fill>
    </dxf>
    <dxf>
      <fill>
        <patternFill patternType="solid">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dxf>
    <dxf>
      <fill>
        <patternFill>
          <bgColor rgb="FFFF0000"/>
        </patternFill>
      </fill>
    </dxf>
    <dxf>
      <fill>
        <patternFill patternType="solid">
          <bgColor rgb="FFFFFF00"/>
        </patternFill>
      </fill>
    </dxf>
    <dxf>
      <alignment horizontal="center" readingOrder="0"/>
    </dxf>
    <dxf>
      <alignment vertical="center" readingOrder="0"/>
    </dxf>
    <dxf>
      <font>
        <color rgb="FF0070C0"/>
      </font>
    </dxf>
    <dxf>
      <font>
        <color rgb="FF0070C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ligaSyR_S1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545.446606134261" createdVersion="5" refreshedVersion="5" minRefreshableVersion="3" recordCount="467">
  <cacheSource type="worksheet">
    <worksheetSource ref="A1:V467" sheet="Data" r:id="rId2"/>
  </cacheSource>
  <cacheFields count="22">
    <cacheField name="Nume" numFmtId="169">
      <sharedItems count="38">
        <s v="Dan Spataru"/>
        <s v="Cosmin Constantin Popa"/>
        <s v="Robert Herman"/>
        <s v="Cristina Man"/>
        <s v="Codrin Constantin"/>
        <s v="Magdalena Neagu"/>
        <s v="Hanchevici Codrut"/>
        <s v="Silvia Medinschi"/>
        <s v="Daniel Moldoveanu"/>
        <s v="Viorel Tabara"/>
        <s v="Ramona Matica"/>
        <s v="Vasi Minzatu"/>
        <s v="Ovidiu Gavrilovici"/>
        <s v="Galia Stainfeld"/>
        <s v="Bogdan Tala"/>
        <s v="Constandan Cornelius"/>
        <s v="Ifrim Gheorghe"/>
        <s v="Mirela Resteman"/>
        <s v="Mirea Gabriel Umberto"/>
        <s v="Elena Juganaru"/>
        <s v="Radu Lapadatoni"/>
        <s v="Mircea Dominte"/>
        <s v="Marian Ulita"/>
        <s v="Valenky Opris"/>
        <s v="Daniel Florin"/>
        <s v="Dinu Turcanu"/>
        <s v="Gorcioaia Florin Ionut"/>
        <s v="Silviu Burcea"/>
        <s v="Dranceanu Bogdan Valentin"/>
        <s v="Ghizela Vonica"/>
        <s v="Andrei Diaconescu"/>
        <s v="Flo Dum"/>
        <s v="Cristian Iancu"/>
        <s v="Visan Cristina Stefania"/>
        <s v="Catalin Holban"/>
        <s v="Teodor Petrut"/>
        <s v="Adrian Ivan"/>
        <s v="Dark Granatroche"/>
      </sharedItems>
    </cacheField>
    <cacheField name="M/F" numFmtId="169">
      <sharedItems/>
    </cacheField>
    <cacheField name="Etapa" numFmtId="1">
      <sharedItems containsMixedTypes="1" containsNumber="1" containsInteger="1" minValue="1" maxValue="14"/>
    </cacheField>
    <cacheField name="Distanta" numFmtId="2">
      <sharedItems containsString="0" containsBlank="1" containsNumber="1" minValue="2.5099999999999998" maxValue="92.32"/>
    </cacheField>
    <cacheField name="Moving time" numFmtId="21">
      <sharedItems containsNonDate="0" containsDate="1" containsString="0" containsBlank="1" minDate="1899-12-30T00:09:35" maxDate="1899-12-30T18:16:13"/>
    </cacheField>
    <cacheField name="Elapsed time" numFmtId="21">
      <sharedItems containsNonDate="0" containsDate="1" containsString="0" containsBlank="1" minDate="1899-12-30T00:09:35" maxDate="1899-12-30T21:25:01"/>
    </cacheField>
    <cacheField name="Timp" numFmtId="21">
      <sharedItems containsDate="1" containsBlank="1" containsMixedTypes="1" minDate="1899-12-30T00:09:35" maxDate="1899-12-30T19:50:37"/>
    </cacheField>
    <cacheField name="Elevatie" numFmtId="167">
      <sharedItems containsString="0" containsBlank="1" containsNumber="1" containsInteger="1" minValue="-137" maxValue="3435"/>
    </cacheField>
    <cacheField name="Viteza" numFmtId="165">
      <sharedItems containsDate="1" containsBlank="1" containsMixedTypes="1" minDate="1899-12-30T00:03:25" maxDate="1899-12-30T00:19:42"/>
    </cacheField>
    <cacheField name="Pct distanta" numFmtId="2">
      <sharedItems containsString="0" containsBlank="1" containsNumber="1" minValue="0" maxValue="5"/>
    </cacheField>
    <cacheField name="Pct viteza" numFmtId="2">
      <sharedItems containsString="0" containsBlank="1" containsNumber="1" minValue="0" maxValue="5"/>
    </cacheField>
    <cacheField name="Tip" numFmtId="169">
      <sharedItems containsBlank="1" count="4">
        <s v="D"/>
        <s v="V"/>
        <m/>
        <s v="P"/>
      </sharedItems>
    </cacheField>
    <cacheField name="D" numFmtId="9">
      <sharedItems containsString="0" containsBlank="1" containsNumber="1" minValue="0.25" maxValue="0.75"/>
    </cacheField>
    <cacheField name="V" numFmtId="9">
      <sharedItems containsString="0" containsBlank="1" containsNumber="1" minValue="0.25" maxValue="0.75"/>
    </cacheField>
    <cacheField name="Bonus elevatie" numFmtId="43">
      <sharedItems containsString="0" containsBlank="1" containsNumber="1" minValue="-9.1333333333333336E-2" maxValue="2.29"/>
    </cacheField>
    <cacheField name="Bonus distanta" numFmtId="166">
      <sharedItems containsString="0" containsBlank="1" containsNumber="1" minValue="0" maxValue="3.5"/>
    </cacheField>
    <cacheField name="Bonus viteza" numFmtId="166">
      <sharedItems containsString="0" containsBlank="1" containsNumber="1" minValue="0" maxValue="8.25"/>
    </cacheField>
    <cacheField name="Bonus varsta" numFmtId="166">
      <sharedItems containsString="0" containsBlank="1" containsNumber="1" minValue="0" maxValue="0.7"/>
    </cacheField>
    <cacheField name="TOTAL ETAPA" numFmtId="43">
      <sharedItems containsSemiMixedTypes="0" containsString="0" containsNumber="1" minValue="0" maxValue="12.188750000000001"/>
    </cacheField>
    <cacheField name="Ziua postarii" numFmtId="169">
      <sharedItems containsNonDate="0" containsDate="1" containsString="0" containsBlank="1" minDate="2021-09-02T00:00:00" maxDate="2021-12-13T00:00:00"/>
    </cacheField>
    <cacheField name="Check single entry" numFmtId="1">
      <sharedItems containsSemiMixedTypes="0" containsString="0" containsNumber="1" containsInteger="1" minValue="1" maxValue="1"/>
    </cacheField>
    <cacheField name="Echipa" numFmtId="16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7">
  <r>
    <x v="0"/>
    <s v="M"/>
    <n v="1"/>
    <n v="14.65"/>
    <d v="1899-12-30T01:07:52"/>
    <d v="1899-12-30T01:07:52"/>
    <d v="1899-12-30T01:07:52"/>
    <n v="92"/>
    <d v="1899-12-30T00:04:38"/>
    <n v="3.4880952380952381"/>
    <n v="3.5"/>
    <x v="0"/>
    <n v="0.75"/>
    <n v="0.25"/>
    <n v="6.133333333333333E-2"/>
    <n v="0"/>
    <n v="0"/>
    <n v="0"/>
    <n v="3.5524047619047621"/>
    <d v="2021-09-07T00:00:00"/>
    <n v="1"/>
    <s v="All Stars"/>
  </r>
  <r>
    <x v="1"/>
    <s v="M"/>
    <n v="1"/>
    <n v="11.25"/>
    <d v="1899-12-30T01:01:34"/>
    <d v="1899-12-30T01:01:37"/>
    <d v="1899-12-30T01:01:36"/>
    <n v="18"/>
    <d v="1899-12-30T00:05:28"/>
    <n v="2.6785714285714284"/>
    <n v="2"/>
    <x v="1"/>
    <n v="0.25"/>
    <n v="0.75"/>
    <n v="0"/>
    <n v="0"/>
    <n v="0"/>
    <n v="0"/>
    <n v="2.1696428571428572"/>
    <d v="2021-09-12T00:00:00"/>
    <n v="1"/>
    <s v="UltraSYR"/>
  </r>
  <r>
    <x v="2"/>
    <s v="M"/>
    <n v="1"/>
    <n v="38.700000000000003"/>
    <d v="1899-12-30T05:31:31"/>
    <d v="1899-12-30T06:00:08"/>
    <d v="1899-12-30T05:45:50"/>
    <n v="2112"/>
    <d v="1899-12-30T00:08:56"/>
    <n v="5"/>
    <n v="0"/>
    <x v="0"/>
    <n v="0.75"/>
    <n v="0.25"/>
    <n v="1.4079999999999999"/>
    <n v="0.8"/>
    <n v="0"/>
    <n v="0"/>
    <n v="5.9579999999999993"/>
    <d v="2021-09-11T00:00:00"/>
    <n v="1"/>
    <s v="UltraSYR"/>
  </r>
  <r>
    <x v="3"/>
    <s v="F"/>
    <n v="1"/>
    <n v="25.05"/>
    <d v="1899-12-30T03:44:34"/>
    <d v="1899-12-30T04:41:35"/>
    <d v="1899-12-30T04:13:05"/>
    <n v="1336"/>
    <d v="1899-12-30T00:10:06"/>
    <n v="5"/>
    <n v="0"/>
    <x v="0"/>
    <n v="0.75"/>
    <n v="0.25"/>
    <n v="0.89066666666666672"/>
    <n v="0.2"/>
    <n v="0"/>
    <n v="0"/>
    <n v="4.8406666666666665"/>
    <d v="2021-09-09T00:00:00"/>
    <n v="1"/>
    <s v="All Stars"/>
  </r>
  <r>
    <x v="4"/>
    <s v="M"/>
    <n v="1"/>
    <n v="34.67"/>
    <d v="1899-12-30T07:06:57"/>
    <d v="1899-12-30T07:30:15"/>
    <d v="1899-12-30T07:18:36"/>
    <n v="1988"/>
    <d v="1899-12-30T00:12:39"/>
    <n v="5"/>
    <n v="0"/>
    <x v="0"/>
    <n v="0.75"/>
    <n v="0.25"/>
    <n v="1.3253333333333333"/>
    <n v="0.6"/>
    <n v="0"/>
    <n v="0.4"/>
    <n v="6.075333333333333"/>
    <d v="2021-09-11T00:00:00"/>
    <n v="1"/>
    <s v="UltraSYR"/>
  </r>
  <r>
    <x v="5"/>
    <s v="F"/>
    <n v="1"/>
    <n v="17.68"/>
    <d v="1899-12-30T04:29:01"/>
    <d v="1899-12-30T04:45:09"/>
    <d v="1899-12-30T04:37:05"/>
    <n v="706"/>
    <d v="1899-12-30T00:15:40"/>
    <n v="4.42"/>
    <n v="0"/>
    <x v="0"/>
    <n v="0.75"/>
    <n v="0.25"/>
    <n v="0.47066666666666668"/>
    <n v="0"/>
    <n v="0"/>
    <n v="0"/>
    <n v="3.7856666666666667"/>
    <d v="2021-09-12T00:00:00"/>
    <n v="1"/>
    <s v="UltraSYR"/>
  </r>
  <r>
    <x v="6"/>
    <s v="M"/>
    <n v="1"/>
    <n v="10.7"/>
    <d v="1899-12-30T00:49:41"/>
    <d v="1899-12-30T01:02:54"/>
    <d v="1899-12-30T00:56:17"/>
    <n v="19"/>
    <d v="1899-12-30T00:05:16"/>
    <n v="2.5476190476190474"/>
    <n v="2.5"/>
    <x v="0"/>
    <n v="0.75"/>
    <n v="0.25"/>
    <n v="0"/>
    <n v="0"/>
    <n v="0"/>
    <n v="0"/>
    <n v="2.5357142857142856"/>
    <d v="2021-09-11T00:00:00"/>
    <n v="1"/>
    <s v="All Stars"/>
  </r>
  <r>
    <x v="7"/>
    <s v="F"/>
    <n v="1"/>
    <n v="4.97"/>
    <d v="1899-12-30T00:33:59"/>
    <d v="1899-12-30T00:34:11"/>
    <d v="1899-12-30T00:34:05"/>
    <n v="9"/>
    <d v="1899-12-30T00:06:51"/>
    <n v="1.2424999999999999"/>
    <n v="1"/>
    <x v="0"/>
    <n v="0.75"/>
    <n v="0.25"/>
    <n v="0"/>
    <n v="0"/>
    <n v="0"/>
    <n v="0.7"/>
    <n v="1.881875"/>
    <d v="2021-09-11T00:00:00"/>
    <n v="1"/>
    <e v="#N/A"/>
  </r>
  <r>
    <x v="8"/>
    <s v="M"/>
    <n v="1"/>
    <n v="25"/>
    <d v="1899-12-30T02:15:31"/>
    <d v="1899-12-30T02:16:58"/>
    <d v="1899-12-30T02:16:14"/>
    <n v="34"/>
    <d v="1899-12-30T00:05:27"/>
    <n v="5"/>
    <n v="2"/>
    <x v="0"/>
    <n v="0.75"/>
    <n v="0.25"/>
    <n v="0"/>
    <n v="0.2"/>
    <n v="0"/>
    <n v="0"/>
    <n v="4.45"/>
    <d v="2021-09-11T00:00:00"/>
    <n v="1"/>
    <e v="#N/A"/>
  </r>
  <r>
    <x v="9"/>
    <s v="M"/>
    <n v="1"/>
    <n v="10.1"/>
    <d v="1899-12-30T00:46:50"/>
    <d v="1899-12-30T00:46:50"/>
    <d v="1899-12-30T00:46:50"/>
    <n v="9"/>
    <d v="1899-12-30T00:04:38"/>
    <n v="2.4047619047619047"/>
    <n v="3.5"/>
    <x v="1"/>
    <n v="0.25"/>
    <n v="0.75"/>
    <n v="0"/>
    <n v="0"/>
    <n v="0"/>
    <n v="0"/>
    <n v="3.2261904761904763"/>
    <d v="2021-09-11T00:00:00"/>
    <n v="1"/>
    <s v="UltraSYR"/>
  </r>
  <r>
    <x v="10"/>
    <s v="F"/>
    <n v="1"/>
    <n v="6.72"/>
    <d v="1899-12-30T00:38:06"/>
    <d v="1899-12-30T01:08:36"/>
    <d v="1899-12-30T00:53:21"/>
    <n v="0"/>
    <d v="1899-12-30T00:07:56"/>
    <n v="1.68"/>
    <n v="1"/>
    <x v="0"/>
    <n v="0.75"/>
    <n v="0.25"/>
    <n v="0"/>
    <n v="0"/>
    <n v="0"/>
    <n v="0"/>
    <n v="1.51"/>
    <d v="2021-09-12T00:00:00"/>
    <n v="1"/>
    <s v="UltraSYR"/>
  </r>
  <r>
    <x v="11"/>
    <s v="M"/>
    <n v="1"/>
    <n v="5"/>
    <d v="1899-12-30T00:21:19"/>
    <d v="1899-12-30T00:21:19"/>
    <d v="1899-12-30T00:21:19"/>
    <n v="12"/>
    <d v="1899-12-30T00:04:16"/>
    <n v="1.1904761904761905"/>
    <n v="4.5"/>
    <x v="1"/>
    <n v="0.25"/>
    <n v="0.75"/>
    <n v="0"/>
    <n v="0"/>
    <n v="0"/>
    <n v="0"/>
    <n v="3.6726190476190474"/>
    <d v="2021-09-08T00:00:00"/>
    <n v="1"/>
    <s v="UltraSYR"/>
  </r>
  <r>
    <x v="12"/>
    <s v="M"/>
    <n v="1"/>
    <n v="7.32"/>
    <d v="1899-12-30T00:39:27"/>
    <d v="1899-12-30T00:39:53"/>
    <d v="1899-12-30T00:39:40"/>
    <n v="111"/>
    <d v="1899-12-30T00:05:25"/>
    <n v="1.7428571428571429"/>
    <n v="2"/>
    <x v="1"/>
    <n v="0.25"/>
    <n v="0.75"/>
    <n v="7.3999999999999996E-2"/>
    <n v="0"/>
    <n v="0"/>
    <n v="0.4"/>
    <n v="2.4097142857142857"/>
    <d v="2021-09-10T00:00:00"/>
    <n v="1"/>
    <s v="UltraSYR"/>
  </r>
  <r>
    <x v="13"/>
    <s v="F"/>
    <n v="1"/>
    <n v="8.01"/>
    <d v="1899-12-30T00:43:29"/>
    <d v="1899-12-30T00:43:29"/>
    <d v="1899-12-30T00:43:29"/>
    <n v="0"/>
    <d v="1899-12-30T00:05:26"/>
    <n v="2.0024999999999999"/>
    <n v="3"/>
    <x v="1"/>
    <n v="0.25"/>
    <n v="0.75"/>
    <n v="0"/>
    <n v="0"/>
    <n v="0"/>
    <n v="0"/>
    <n v="2.7506249999999999"/>
    <d v="2021-09-09T00:00:00"/>
    <n v="1"/>
    <s v="All Stars"/>
  </r>
  <r>
    <x v="14"/>
    <s v="M"/>
    <n v="1"/>
    <n v="30"/>
    <d v="1899-12-30T02:49:29"/>
    <d v="1899-12-30T02:59:21"/>
    <d v="1899-12-30T02:54:25"/>
    <n v="619"/>
    <d v="1899-12-30T00:05:49"/>
    <n v="5"/>
    <n v="1.5"/>
    <x v="0"/>
    <n v="0.75"/>
    <n v="0.25"/>
    <n v="0.41266666666666668"/>
    <n v="0.4"/>
    <n v="0"/>
    <n v="0"/>
    <n v="4.9376666666666669"/>
    <d v="2021-09-12T00:00:00"/>
    <n v="1"/>
    <s v="UltraSYR"/>
  </r>
  <r>
    <x v="15"/>
    <s v="M"/>
    <n v="1"/>
    <n v="21.46"/>
    <d v="1899-12-30T03:42:41"/>
    <d v="1899-12-30T05:00:40"/>
    <d v="1899-12-30T04:21:40"/>
    <n v="1325"/>
    <d v="1899-12-30T00:12:12"/>
    <n v="5"/>
    <n v="0"/>
    <x v="0"/>
    <n v="0.75"/>
    <n v="0.25"/>
    <n v="0.8833333333333333"/>
    <n v="0"/>
    <n v="0"/>
    <n v="0"/>
    <n v="4.6333333333333329"/>
    <d v="2021-09-12T00:00:00"/>
    <n v="1"/>
    <e v="#N/A"/>
  </r>
  <r>
    <x v="16"/>
    <s v="M"/>
    <n v="1"/>
    <n v="21.15"/>
    <d v="1899-12-30T01:45:43"/>
    <d v="1899-12-30T01:59:12"/>
    <d v="1899-12-30T01:52:27"/>
    <n v="14"/>
    <d v="1899-12-30T00:05:19"/>
    <n v="5"/>
    <n v="2"/>
    <x v="0"/>
    <n v="0.75"/>
    <n v="0.25"/>
    <n v="0"/>
    <n v="0"/>
    <n v="0"/>
    <n v="0"/>
    <n v="4.25"/>
    <d v="2021-09-08T00:00:00"/>
    <n v="1"/>
    <s v="All Stars"/>
  </r>
  <r>
    <x v="17"/>
    <s v="F"/>
    <n v="1"/>
    <n v="3.8"/>
    <d v="1899-12-30T00:16:50"/>
    <d v="1899-12-30T00:16:50"/>
    <d v="1899-12-30T00:16:50"/>
    <n v="5"/>
    <d v="1899-12-30T00:04:26"/>
    <n v="0.95"/>
    <n v="5"/>
    <x v="1"/>
    <n v="0.25"/>
    <n v="0.75"/>
    <n v="0"/>
    <n v="0"/>
    <n v="0.45000000000000007"/>
    <n v="0"/>
    <n v="4.4375"/>
    <d v="2021-09-11T00:00:00"/>
    <n v="1"/>
    <s v="All Stars"/>
  </r>
  <r>
    <x v="18"/>
    <s v="M"/>
    <n v="1"/>
    <n v="5"/>
    <d v="1899-12-30T00:34:31"/>
    <d v="1899-12-30T00:36:53"/>
    <d v="1899-12-30T00:35:42"/>
    <n v="19"/>
    <d v="1899-12-30T00:07:08"/>
    <n v="1.1904761904761905"/>
    <n v="1"/>
    <x v="0"/>
    <n v="0.75"/>
    <n v="0.25"/>
    <n v="0"/>
    <n v="0"/>
    <n v="0"/>
    <n v="0"/>
    <n v="1.1428571428571428"/>
    <d v="2021-09-12T00:00:00"/>
    <n v="1"/>
    <s v="UltraSYR"/>
  </r>
  <r>
    <x v="19"/>
    <s v="F"/>
    <n v="1"/>
    <n v="10"/>
    <d v="1899-12-30T01:29:34"/>
    <d v="1899-12-30T01:30:05"/>
    <d v="1899-12-30T01:29:50"/>
    <n v="32"/>
    <d v="1899-12-30T00:08:59"/>
    <n v="2.5"/>
    <n v="1"/>
    <x v="0"/>
    <n v="0.75"/>
    <n v="0.25"/>
    <n v="0"/>
    <n v="0"/>
    <n v="0"/>
    <n v="0.4"/>
    <n v="2.5249999999999999"/>
    <d v="2021-09-11T00:00:00"/>
    <n v="1"/>
    <s v="All Stars"/>
  </r>
  <r>
    <x v="20"/>
    <s v="M"/>
    <n v="1"/>
    <n v="12.38"/>
    <d v="1899-12-30T01:10:53"/>
    <d v="1899-12-30T01:12:09"/>
    <d v="1899-12-30T01:11:31"/>
    <n v="15"/>
    <d v="1899-12-30T00:05:47"/>
    <n v="2.9476190476190478"/>
    <n v="1.5"/>
    <x v="0"/>
    <n v="0.75"/>
    <n v="0.25"/>
    <n v="0"/>
    <n v="0"/>
    <n v="0"/>
    <n v="0"/>
    <n v="2.5857142857142859"/>
    <d v="2021-09-11T00:00:00"/>
    <n v="1"/>
    <s v="All Stars"/>
  </r>
  <r>
    <x v="21"/>
    <s v="M"/>
    <n v="1"/>
    <n v="21.03"/>
    <d v="1899-12-30T02:50:30"/>
    <d v="1899-12-30T02:58:58"/>
    <d v="1899-12-30T02:54:44"/>
    <n v="1237"/>
    <d v="1899-12-30T00:08:19"/>
    <n v="5"/>
    <n v="0"/>
    <x v="0"/>
    <n v="0.75"/>
    <n v="0.25"/>
    <n v="0.82466666666666666"/>
    <n v="0"/>
    <n v="0"/>
    <n v="0"/>
    <n v="4.5746666666666664"/>
    <d v="2021-09-12T00:00:00"/>
    <n v="1"/>
    <s v="All Stars"/>
  </r>
  <r>
    <x v="22"/>
    <s v="M"/>
    <n v="1"/>
    <n v="10.38"/>
    <d v="1899-12-30T00:57:28"/>
    <d v="1899-12-30T00:57:40"/>
    <d v="1899-12-30T00:57:34"/>
    <n v="0"/>
    <d v="1899-12-30T00:05:33"/>
    <n v="2.4714285714285715"/>
    <n v="1.5"/>
    <x v="0"/>
    <n v="0.75"/>
    <n v="0.25"/>
    <n v="0"/>
    <n v="0"/>
    <n v="0"/>
    <n v="0"/>
    <n v="2.2285714285714286"/>
    <d v="2021-09-07T00:00:00"/>
    <n v="1"/>
    <e v="#N/A"/>
  </r>
  <r>
    <x v="23"/>
    <s v="M"/>
    <n v="1"/>
    <n v="21.55"/>
    <d v="1899-12-30T01:27:15"/>
    <d v="1899-12-30T01:27:15"/>
    <d v="1899-12-30T01:27:15"/>
    <n v="218"/>
    <d v="1899-12-30T00:04:03"/>
    <n v="5"/>
    <n v="4.5"/>
    <x v="0"/>
    <n v="0.75"/>
    <n v="0.25"/>
    <n v="0.14533333333333334"/>
    <n v="0"/>
    <n v="0"/>
    <n v="0"/>
    <n v="5.0203333333333333"/>
    <d v="2021-09-07T00:00:00"/>
    <n v="1"/>
    <s v="All Stars"/>
  </r>
  <r>
    <x v="24"/>
    <s v="M"/>
    <n v="1"/>
    <n v="15.21"/>
    <d v="1899-12-30T01:00:03"/>
    <d v="1899-12-30T01:00:08"/>
    <d v="1899-12-30T01:00:05"/>
    <n v="83"/>
    <d v="1899-12-30T00:03:57"/>
    <n v="3.6214285714285714"/>
    <n v="5"/>
    <x v="1"/>
    <n v="0.25"/>
    <n v="0.75"/>
    <n v="5.5333333333333332E-2"/>
    <n v="0"/>
    <n v="0.15000000000000002"/>
    <n v="0"/>
    <n v="4.8606904761904763"/>
    <d v="2021-09-07T00:00:00"/>
    <n v="1"/>
    <s v="All Stars"/>
  </r>
  <r>
    <x v="25"/>
    <s v="M"/>
    <n v="1"/>
    <n v="20.82"/>
    <d v="1899-12-30T02:32:30"/>
    <d v="1899-12-30T02:33:11"/>
    <d v="1899-12-30T02:32:50"/>
    <n v="1273"/>
    <d v="1899-12-30T00:07:20"/>
    <n v="4.9571428571428573"/>
    <n v="1"/>
    <x v="0"/>
    <n v="0.75"/>
    <n v="0.25"/>
    <n v="0.84866666666666668"/>
    <n v="0"/>
    <n v="0"/>
    <n v="0"/>
    <n v="4.8165238095238099"/>
    <d v="2021-09-12T00:00:00"/>
    <n v="1"/>
    <s v="All Stars"/>
  </r>
  <r>
    <x v="26"/>
    <s v="M"/>
    <n v="1"/>
    <n v="10.36"/>
    <d v="1899-12-30T00:48:52"/>
    <d v="1899-12-30T00:49:34"/>
    <d v="1899-12-30T00:49:13"/>
    <n v="0"/>
    <d v="1899-12-30T00:04:45"/>
    <n v="2.4666666666666663"/>
    <n v="3.5"/>
    <x v="0"/>
    <n v="0.75"/>
    <n v="0.25"/>
    <n v="0"/>
    <n v="0"/>
    <n v="0"/>
    <n v="0"/>
    <n v="2.7249999999999996"/>
    <d v="2021-09-11T00:00:00"/>
    <n v="1"/>
    <e v="#N/A"/>
  </r>
  <r>
    <x v="27"/>
    <s v="M"/>
    <n v="1"/>
    <n v="3"/>
    <d v="1899-12-30T00:12:40"/>
    <d v="1899-12-30T00:12:40"/>
    <d v="1899-12-30T00:12:40"/>
    <n v="16"/>
    <d v="1899-12-30T00:04:13"/>
    <n v="0.7142857142857143"/>
    <n v="4.5"/>
    <x v="1"/>
    <n v="0.25"/>
    <n v="0.75"/>
    <n v="0"/>
    <n v="0"/>
    <n v="0"/>
    <n v="0"/>
    <n v="3.5535714285714284"/>
    <d v="2021-09-07T00:00:00"/>
    <n v="1"/>
    <s v="All Stars"/>
  </r>
  <r>
    <x v="28"/>
    <s v="M"/>
    <n v="1"/>
    <n v="25.72"/>
    <d v="1899-12-30T02:28:24"/>
    <d v="1899-12-30T02:42:05"/>
    <d v="1899-12-30T02:35:14"/>
    <n v="11"/>
    <d v="1899-12-30T00:06:02"/>
    <n v="5"/>
    <n v="1"/>
    <x v="0"/>
    <n v="0.75"/>
    <n v="0.25"/>
    <n v="0"/>
    <n v="0.2"/>
    <n v="0"/>
    <n v="0"/>
    <n v="4.2"/>
    <d v="2021-09-12T00:00:00"/>
    <n v="1"/>
    <s v="UltraSYR"/>
  </r>
  <r>
    <x v="29"/>
    <s v="F"/>
    <n v="1"/>
    <n v="10.02"/>
    <d v="1899-12-30T00:48:42"/>
    <d v="1899-12-30T00:48:42"/>
    <d v="1899-12-30T00:48:42"/>
    <n v="58"/>
    <d v="1899-12-30T00:04:52"/>
    <n v="2.5049999999999999"/>
    <n v="4"/>
    <x v="0"/>
    <n v="0.75"/>
    <n v="0.25"/>
    <n v="3.8666666666666669E-2"/>
    <n v="0"/>
    <n v="0"/>
    <n v="0"/>
    <n v="2.917416666666667"/>
    <d v="2021-09-12T00:00:00"/>
    <n v="1"/>
    <s v="UltraSYR"/>
  </r>
  <r>
    <x v="0"/>
    <s v="M"/>
    <n v="2"/>
    <n v="10.07"/>
    <d v="1899-12-30T00:41:24"/>
    <d v="1899-12-30T00:41:24"/>
    <d v="1899-12-30T00:41:24"/>
    <n v="9"/>
    <d v="1899-12-30T00:04:07"/>
    <n v="2.3976190476190475"/>
    <n v="4.5"/>
    <x v="1"/>
    <n v="0.25"/>
    <n v="0.75"/>
    <n v="0"/>
    <n v="0"/>
    <n v="0"/>
    <n v="0"/>
    <n v="3.9744047619047618"/>
    <d v="2021-09-19T00:00:00"/>
    <n v="1"/>
    <s v="All Stars"/>
  </r>
  <r>
    <x v="2"/>
    <s v="M"/>
    <n v="2"/>
    <n v="31.01"/>
    <d v="1899-12-30T02:40:14"/>
    <d v="1899-12-30T02:40:40"/>
    <d v="1899-12-30T02:40:27"/>
    <n v="34"/>
    <d v="1899-12-30T00:05:10"/>
    <n v="5"/>
    <n v="2.5"/>
    <x v="1"/>
    <n v="0.25"/>
    <n v="0.75"/>
    <n v="0"/>
    <n v="0.5"/>
    <n v="0"/>
    <n v="0"/>
    <n v="3.625"/>
    <d v="2021-09-19T00:00:00"/>
    <n v="1"/>
    <s v="UltraSYR"/>
  </r>
  <r>
    <x v="3"/>
    <s v="F"/>
    <n v="2"/>
    <n v="10.11"/>
    <d v="1899-12-30T00:44:58"/>
    <d v="1899-12-30T00:44:58"/>
    <d v="1899-12-30T00:44:58"/>
    <n v="13"/>
    <d v="1899-12-30T00:04:27"/>
    <n v="2.5274999999999999"/>
    <n v="5"/>
    <x v="1"/>
    <n v="0.25"/>
    <n v="0.75"/>
    <n v="0"/>
    <n v="0"/>
    <n v="0.15000000000000002"/>
    <n v="0"/>
    <n v="4.5318750000000003"/>
    <d v="2021-09-19T00:00:00"/>
    <n v="1"/>
    <s v="All Stars"/>
  </r>
  <r>
    <x v="4"/>
    <s v="M"/>
    <n v="2"/>
    <n v="31.68"/>
    <d v="1899-12-30T05:19:02"/>
    <d v="1899-12-30T05:50:56"/>
    <d v="1899-12-30T05:34:59"/>
    <n v="949"/>
    <d v="1899-12-30T00:10:34"/>
    <n v="5"/>
    <n v="0"/>
    <x v="1"/>
    <n v="0.25"/>
    <n v="0.75"/>
    <n v="0.63266666666666671"/>
    <n v="0.5"/>
    <n v="0"/>
    <n v="0.4"/>
    <n v="2.7826666666666666"/>
    <d v="2021-09-19T00:00:00"/>
    <n v="1"/>
    <s v="UltraSYR"/>
  </r>
  <r>
    <x v="5"/>
    <s v="F"/>
    <n v="2"/>
    <n v="9.7100000000000009"/>
    <d v="1899-12-30T00:57:48"/>
    <d v="1899-12-30T01:06:08"/>
    <d v="1899-12-30T01:01:58"/>
    <n v="10"/>
    <d v="1899-12-30T00:06:23"/>
    <n v="2.4275000000000002"/>
    <n v="1.5"/>
    <x v="1"/>
    <n v="0.25"/>
    <n v="0.75"/>
    <n v="0"/>
    <n v="0"/>
    <n v="0"/>
    <n v="0"/>
    <n v="1.7318750000000001"/>
    <d v="2021-09-18T00:00:00"/>
    <n v="1"/>
    <s v="UltraSYR"/>
  </r>
  <r>
    <x v="6"/>
    <s v="M"/>
    <n v="2"/>
    <n v="21.5"/>
    <d v="1899-12-30T01:23:06"/>
    <d v="1899-12-30T01:23:06"/>
    <d v="1899-12-30T01:23:06"/>
    <n v="36"/>
    <d v="1899-12-30T00:03:52"/>
    <n v="5"/>
    <n v="5"/>
    <x v="1"/>
    <n v="0.25"/>
    <n v="0.75"/>
    <n v="0"/>
    <n v="0"/>
    <n v="0.45000000000000007"/>
    <n v="0"/>
    <n v="5.45"/>
    <d v="2021-09-19T00:00:00"/>
    <n v="1"/>
    <s v="All Stars"/>
  </r>
  <r>
    <x v="7"/>
    <s v="F"/>
    <n v="2"/>
    <n v="8.02"/>
    <d v="1899-12-30T00:59:19"/>
    <d v="1899-12-30T01:22:21"/>
    <d v="1899-12-30T01:10:50"/>
    <n v="2"/>
    <d v="1899-12-30T00:08:50"/>
    <n v="2.0049999999999999"/>
    <n v="1"/>
    <x v="1"/>
    <n v="0.25"/>
    <n v="0.75"/>
    <n v="0"/>
    <n v="0"/>
    <n v="0"/>
    <n v="0.7"/>
    <n v="1.9512499999999999"/>
    <d v="2021-09-17T00:00:00"/>
    <n v="1"/>
    <e v="#N/A"/>
  </r>
  <r>
    <x v="8"/>
    <s v="M"/>
    <n v="2"/>
    <n v="7.01"/>
    <d v="1899-12-30T00:32:37"/>
    <d v="1899-12-30T00:32:37"/>
    <d v="1899-12-30T00:32:37"/>
    <n v="21"/>
    <d v="1899-12-30T00:04:39"/>
    <n v="1.6690476190476189"/>
    <n v="3.5"/>
    <x v="1"/>
    <n v="0.25"/>
    <n v="0.75"/>
    <n v="0"/>
    <n v="0"/>
    <n v="0"/>
    <n v="0"/>
    <n v="3.0422619047619048"/>
    <d v="2021-09-18T00:00:00"/>
    <n v="1"/>
    <e v="#N/A"/>
  </r>
  <r>
    <x v="9"/>
    <s v="M"/>
    <n v="2"/>
    <n v="11.11"/>
    <d v="1899-12-30T00:50:11"/>
    <d v="1899-12-30T00:50:14"/>
    <d v="1899-12-30T00:50:13"/>
    <n v="9"/>
    <d v="1899-12-30T00:04:31"/>
    <n v="2.6452380952380952"/>
    <n v="3.5"/>
    <x v="1"/>
    <n v="0.25"/>
    <n v="0.75"/>
    <n v="0"/>
    <n v="0"/>
    <n v="0"/>
    <n v="0"/>
    <n v="3.2863095238095239"/>
    <d v="2021-09-14T00:00:00"/>
    <n v="1"/>
    <s v="UltraSYR"/>
  </r>
  <r>
    <x v="10"/>
    <s v="F"/>
    <n v="2"/>
    <n v="21.01"/>
    <d v="1899-12-30T01:53:52"/>
    <d v="1899-12-30T02:00:51"/>
    <d v="1899-12-30T01:57:22"/>
    <n v="20"/>
    <d v="1899-12-30T00:05:35"/>
    <n v="5"/>
    <n v="2.5"/>
    <x v="0"/>
    <n v="0.75"/>
    <n v="0.25"/>
    <n v="0"/>
    <n v="0"/>
    <n v="0"/>
    <n v="0"/>
    <n v="4.375"/>
    <d v="2021-09-19T00:00:00"/>
    <n v="1"/>
    <s v="UltraSYR"/>
  </r>
  <r>
    <x v="11"/>
    <s v="M"/>
    <n v="2"/>
    <n v="3.3"/>
    <d v="1899-12-30T00:14:49"/>
    <d v="1899-12-30T00:14:49"/>
    <d v="1899-12-30T00:14:49"/>
    <n v="8"/>
    <d v="1899-12-30T00:04:29"/>
    <n v="0.78571428571428559"/>
    <n v="4"/>
    <x v="1"/>
    <n v="0.25"/>
    <n v="0.75"/>
    <n v="0"/>
    <n v="0"/>
    <n v="0"/>
    <n v="0"/>
    <n v="3.1964285714285712"/>
    <d v="2021-09-18T00:00:00"/>
    <n v="1"/>
    <s v="UltraSYR"/>
  </r>
  <r>
    <x v="12"/>
    <s v="M"/>
    <n v="2"/>
    <n v="21.25"/>
    <d v="1899-12-30T02:31:58"/>
    <d v="1899-12-30T02:40:52"/>
    <d v="1899-12-30T02:36:25"/>
    <n v="550"/>
    <d v="1899-12-30T00:07:22"/>
    <n v="5"/>
    <n v="1"/>
    <x v="0"/>
    <n v="0.75"/>
    <n v="0.25"/>
    <n v="0.36666666666666664"/>
    <n v="0"/>
    <n v="0"/>
    <n v="0.4"/>
    <n v="4.7666666666666666"/>
    <d v="2021-09-18T00:00:00"/>
    <n v="1"/>
    <s v="UltraSYR"/>
  </r>
  <r>
    <x v="13"/>
    <s v="F"/>
    <n v="2"/>
    <n v="6.01"/>
    <d v="1899-12-30T00:31:29"/>
    <d v="1899-12-30T00:31:29"/>
    <d v="1899-12-30T00:31:29"/>
    <n v="17"/>
    <d v="1899-12-30T00:05:14"/>
    <n v="1.5024999999999999"/>
    <n v="3.5"/>
    <x v="1"/>
    <n v="0.25"/>
    <n v="0.75"/>
    <n v="0"/>
    <n v="0"/>
    <n v="0"/>
    <n v="0"/>
    <n v="3.0006249999999999"/>
    <d v="2021-09-17T00:00:00"/>
    <n v="1"/>
    <s v="All Stars"/>
  </r>
  <r>
    <x v="30"/>
    <s v="M"/>
    <n v="2"/>
    <n v="21.19"/>
    <d v="1899-12-30T02:01:16"/>
    <d v="1899-12-30T02:02:07"/>
    <d v="1899-12-30T02:01:42"/>
    <n v="26"/>
    <d v="1899-12-30T00:05:45"/>
    <n v="5"/>
    <n v="1.5"/>
    <x v="0"/>
    <n v="0.75"/>
    <n v="0.25"/>
    <n v="0"/>
    <n v="0"/>
    <n v="0"/>
    <n v="0"/>
    <n v="4.125"/>
    <d v="2021-09-19T00:00:00"/>
    <n v="1"/>
    <e v="#N/A"/>
  </r>
  <r>
    <x v="14"/>
    <s v="M"/>
    <n v="2"/>
    <n v="15.81"/>
    <d v="1899-12-30T02:50:47"/>
    <d v="1899-12-30T03:06:33"/>
    <d v="1899-12-30T02:58:40"/>
    <n v="1510"/>
    <d v="1899-12-30T00:11:18"/>
    <n v="3.7642857142857142"/>
    <n v="0"/>
    <x v="0"/>
    <n v="0.75"/>
    <n v="0.25"/>
    <n v="1.0066666666666666"/>
    <n v="0"/>
    <n v="0"/>
    <n v="0"/>
    <n v="3.8298809523809521"/>
    <d v="2021-09-17T00:00:00"/>
    <n v="1"/>
    <s v="UltraSYR"/>
  </r>
  <r>
    <x v="16"/>
    <s v="M"/>
    <n v="2"/>
    <n v="10.01"/>
    <d v="1899-12-30T00:48:22"/>
    <d v="1899-12-30T00:55:56"/>
    <d v="1899-12-30T00:52:09"/>
    <n v="17"/>
    <d v="1899-12-30T00:05:13"/>
    <n v="2.3833333333333333"/>
    <n v="2.5"/>
    <x v="1"/>
    <n v="0.25"/>
    <n v="0.75"/>
    <n v="0"/>
    <n v="0"/>
    <n v="0"/>
    <n v="0"/>
    <n v="2.4708333333333332"/>
    <d v="2021-09-14T00:00:00"/>
    <n v="1"/>
    <s v="All Stars"/>
  </r>
  <r>
    <x v="17"/>
    <s v="F"/>
    <n v="2"/>
    <n v="20"/>
    <d v="1899-12-30T01:39:24"/>
    <d v="1899-12-30T01:39:24"/>
    <d v="1899-12-30T01:39:24"/>
    <n v="61"/>
    <d v="1899-12-30T00:04:58"/>
    <n v="5"/>
    <n v="4"/>
    <x v="0"/>
    <n v="0.75"/>
    <n v="0.25"/>
    <n v="4.0666666666666663E-2"/>
    <n v="0"/>
    <n v="0"/>
    <n v="0"/>
    <n v="4.7906666666666666"/>
    <d v="2021-09-19T00:00:00"/>
    <n v="1"/>
    <s v="All Stars"/>
  </r>
  <r>
    <x v="18"/>
    <s v="M"/>
    <n v="2"/>
    <m/>
    <m/>
    <m/>
    <m/>
    <m/>
    <m/>
    <m/>
    <m/>
    <x v="2"/>
    <m/>
    <m/>
    <m/>
    <m/>
    <m/>
    <m/>
    <n v="1.5"/>
    <m/>
    <n v="1"/>
    <s v="UltraSYR"/>
  </r>
  <r>
    <x v="20"/>
    <s v="M"/>
    <n v="2"/>
    <n v="4.91"/>
    <d v="1899-12-30T00:22:47"/>
    <d v="1899-12-30T00:22:47"/>
    <d v="1899-12-30T00:22:47"/>
    <n v="9"/>
    <d v="1899-12-30T00:04:38"/>
    <n v="1.1690476190476191"/>
    <n v="3.5"/>
    <x v="1"/>
    <n v="0.25"/>
    <n v="0.75"/>
    <n v="0"/>
    <n v="0"/>
    <n v="0"/>
    <n v="0"/>
    <n v="2.9172619047619048"/>
    <d v="2021-09-19T00:00:00"/>
    <n v="1"/>
    <s v="All Stars"/>
  </r>
  <r>
    <x v="31"/>
    <s v="M"/>
    <n v="2"/>
    <n v="10.029999999999999"/>
    <d v="1899-12-30T01:07:49"/>
    <d v="1899-12-30T01:08:20"/>
    <d v="1899-12-30T01:08:04"/>
    <n v="0"/>
    <d v="1899-12-30T00:06:47"/>
    <n v="2.388095238095238"/>
    <n v="1"/>
    <x v="1"/>
    <n v="0.25"/>
    <n v="0.75"/>
    <n v="0"/>
    <n v="0"/>
    <n v="0"/>
    <n v="0"/>
    <n v="1.3470238095238094"/>
    <d v="2021-09-13T00:00:00"/>
    <n v="1"/>
    <e v="#N/A"/>
  </r>
  <r>
    <x v="32"/>
    <s v="M"/>
    <n v="2"/>
    <n v="10.11"/>
    <d v="1899-12-30T00:39:58"/>
    <d v="1899-12-30T00:39:58"/>
    <d v="1899-12-30T00:39:58"/>
    <n v="9"/>
    <d v="1899-12-30T00:03:57"/>
    <n v="2.407142857142857"/>
    <n v="5"/>
    <x v="1"/>
    <n v="0.25"/>
    <n v="0.75"/>
    <n v="0"/>
    <n v="0"/>
    <n v="0.15000000000000002"/>
    <n v="0"/>
    <n v="4.5017857142857149"/>
    <d v="2021-09-19T00:00:00"/>
    <n v="1"/>
    <e v="#N/A"/>
  </r>
  <r>
    <x v="21"/>
    <s v="M"/>
    <n v="2"/>
    <n v="10"/>
    <d v="1899-12-30T00:43:52"/>
    <d v="1899-12-30T00:43:56"/>
    <d v="1899-12-30T00:43:54"/>
    <n v="15"/>
    <d v="1899-12-30T00:04:23"/>
    <n v="2.3809523809523809"/>
    <n v="4"/>
    <x v="1"/>
    <n v="0.25"/>
    <n v="0.75"/>
    <n v="0"/>
    <n v="0"/>
    <n v="0"/>
    <n v="0"/>
    <n v="3.5952380952380953"/>
    <d v="2021-09-14T00:00:00"/>
    <n v="1"/>
    <s v="All Stars"/>
  </r>
  <r>
    <x v="33"/>
    <s v="F"/>
    <n v="2"/>
    <n v="21.99"/>
    <d v="1899-12-30T02:33:21"/>
    <d v="1899-12-30T02:58:55"/>
    <d v="1899-12-30T02:46:08"/>
    <n v="11"/>
    <d v="1899-12-30T00:07:33"/>
    <n v="5"/>
    <n v="1"/>
    <x v="0"/>
    <n v="0.75"/>
    <n v="0.25"/>
    <n v="0"/>
    <n v="0"/>
    <n v="0"/>
    <n v="0"/>
    <n v="4"/>
    <d v="2021-09-19T00:00:00"/>
    <n v="1"/>
    <e v="#N/A"/>
  </r>
  <r>
    <x v="22"/>
    <s v="M"/>
    <n v="2"/>
    <n v="14.01"/>
    <d v="1899-12-30T01:01:08"/>
    <d v="1899-12-30T01:03:17"/>
    <d v="1899-12-30T01:02:13"/>
    <n v="13"/>
    <d v="1899-12-30T00:04:26"/>
    <n v="3.3357142857142854"/>
    <n v="4"/>
    <x v="1"/>
    <n v="0.25"/>
    <n v="0.75"/>
    <n v="0"/>
    <n v="0"/>
    <n v="0"/>
    <n v="0"/>
    <n v="3.8339285714285714"/>
    <d v="2021-09-16T00:00:00"/>
    <n v="1"/>
    <e v="#N/A"/>
  </r>
  <r>
    <x v="23"/>
    <s v="M"/>
    <n v="2"/>
    <n v="40"/>
    <d v="1899-12-30T02:54:24"/>
    <d v="1899-12-30T02:54:48"/>
    <d v="1899-12-30T02:54:36"/>
    <n v="456"/>
    <d v="1899-12-30T00:04:22"/>
    <n v="5"/>
    <n v="4"/>
    <x v="0"/>
    <n v="0.75"/>
    <n v="0.25"/>
    <n v="0.30399999999999999"/>
    <n v="0.9"/>
    <n v="0"/>
    <n v="0"/>
    <n v="5.9540000000000006"/>
    <d v="2021-09-14T00:00:00"/>
    <n v="1"/>
    <s v="All Stars"/>
  </r>
  <r>
    <x v="24"/>
    <s v="M"/>
    <n v="2"/>
    <n v="28.09"/>
    <d v="1899-12-30T02:03:42"/>
    <d v="1899-12-30T02:03:45"/>
    <d v="1899-12-30T02:03:43"/>
    <n v="158"/>
    <d v="1899-12-30T00:04:24"/>
    <n v="5"/>
    <n v="4"/>
    <x v="0"/>
    <n v="0.75"/>
    <n v="0.25"/>
    <n v="0.10533333333333333"/>
    <n v="0.3"/>
    <n v="0"/>
    <n v="0"/>
    <n v="5.1553333333333331"/>
    <d v="2021-09-19T00:00:00"/>
    <n v="1"/>
    <s v="All Stars"/>
  </r>
  <r>
    <x v="25"/>
    <s v="M"/>
    <n v="2"/>
    <n v="17.059999999999999"/>
    <d v="1899-12-30T01:19:15"/>
    <d v="1899-12-30T01:42:38"/>
    <d v="1899-12-30T01:30:57"/>
    <n v="48"/>
    <d v="1899-12-30T00:05:20"/>
    <n v="4.0619047619047617"/>
    <n v="2"/>
    <x v="1"/>
    <n v="0.25"/>
    <n v="0.75"/>
    <n v="0"/>
    <n v="0"/>
    <n v="0"/>
    <n v="0"/>
    <n v="2.5154761904761904"/>
    <d v="2021-09-18T00:00:00"/>
    <n v="1"/>
    <s v="All Stars"/>
  </r>
  <r>
    <x v="26"/>
    <s v="M"/>
    <n v="2"/>
    <n v="10.07"/>
    <d v="1899-12-30T00:37:08"/>
    <d v="1899-12-30T00:37:08"/>
    <d v="1899-12-30T00:37:08"/>
    <n v="9"/>
    <d v="1899-12-30T00:03:41"/>
    <n v="2.3976190476190475"/>
    <n v="5"/>
    <x v="1"/>
    <n v="0.25"/>
    <n v="0.75"/>
    <n v="0"/>
    <n v="0"/>
    <n v="1.4999999999999998"/>
    <n v="0"/>
    <n v="5.8494047619047622"/>
    <d v="2021-09-19T00:00:00"/>
    <n v="1"/>
    <e v="#N/A"/>
  </r>
  <r>
    <x v="27"/>
    <s v="M"/>
    <n v="2"/>
    <n v="12"/>
    <d v="1899-12-30T01:08:11"/>
    <d v="1899-12-30T01:08:11"/>
    <d v="1899-12-30T01:08:11"/>
    <n v="15"/>
    <d v="1899-12-30T00:05:41"/>
    <n v="2.8571428571428572"/>
    <n v="1.5"/>
    <x v="0"/>
    <n v="0.75"/>
    <n v="0.25"/>
    <n v="0"/>
    <n v="0"/>
    <n v="0"/>
    <n v="0"/>
    <n v="2.5178571428571428"/>
    <d v="2021-09-19T00:00:00"/>
    <n v="1"/>
    <s v="All Stars"/>
  </r>
  <r>
    <x v="28"/>
    <s v="M"/>
    <n v="2"/>
    <n v="21.42"/>
    <d v="1899-12-30T01:35:31"/>
    <d v="1899-12-30T01:45:54"/>
    <d v="1899-12-30T01:40:42"/>
    <n v="44"/>
    <d v="1899-12-30T00:04:42"/>
    <n v="5"/>
    <n v="3.5"/>
    <x v="0"/>
    <n v="0.75"/>
    <n v="0.25"/>
    <n v="0"/>
    <n v="0"/>
    <n v="0"/>
    <n v="0"/>
    <n v="4.625"/>
    <d v="2021-09-19T00:00:00"/>
    <n v="1"/>
    <s v="UltraSYR"/>
  </r>
  <r>
    <x v="29"/>
    <s v="F"/>
    <n v="2"/>
    <n v="41.85"/>
    <d v="1899-12-30T05:01:42"/>
    <d v="1899-12-30T05:09:58"/>
    <d v="1899-12-30T05:05:50"/>
    <n v="2344"/>
    <d v="1899-12-30T00:07:18"/>
    <n v="5"/>
    <n v="1"/>
    <x v="0"/>
    <n v="0.75"/>
    <n v="0.25"/>
    <n v="1.5626666666666666"/>
    <n v="1"/>
    <n v="0"/>
    <n v="0"/>
    <n v="6.5626666666666669"/>
    <d v="2021-09-19T00:00:00"/>
    <n v="1"/>
    <s v="UltraSYR"/>
  </r>
  <r>
    <x v="0"/>
    <s v="M"/>
    <n v="3"/>
    <n v="10.23"/>
    <d v="1899-12-30T00:54:02"/>
    <d v="1899-12-30T00:54:02"/>
    <d v="1899-12-30T00:54:02"/>
    <n v="11"/>
    <d v="1899-12-30T00:05:17"/>
    <n v="2.4357142857142855"/>
    <n v="2"/>
    <x v="0"/>
    <n v="0.75"/>
    <n v="0.25"/>
    <n v="0"/>
    <n v="0"/>
    <n v="0"/>
    <n v="0"/>
    <n v="2.3267857142857142"/>
    <d v="2021-09-23T00:00:00"/>
    <n v="1"/>
    <s v="All Stars"/>
  </r>
  <r>
    <x v="2"/>
    <s v="M"/>
    <n v="3"/>
    <n v="43.41"/>
    <d v="1899-12-30T08:18:07"/>
    <d v="1899-12-30T10:13:37"/>
    <d v="1899-12-30T09:15:52"/>
    <n v="3435"/>
    <d v="1899-12-30T00:12:48"/>
    <n v="5"/>
    <n v="0"/>
    <x v="0"/>
    <n v="0.75"/>
    <n v="0.25"/>
    <n v="2.29"/>
    <n v="1.1000000000000001"/>
    <n v="0"/>
    <n v="0"/>
    <n v="7.1400000000000006"/>
    <d v="2021-09-25T00:00:00"/>
    <n v="1"/>
    <s v="UltraSYR"/>
  </r>
  <r>
    <x v="3"/>
    <s v="F"/>
    <n v="3"/>
    <n v="7.05"/>
    <d v="1899-12-30T00:34:30"/>
    <d v="1899-12-30T00:34:30"/>
    <d v="1899-12-30T00:34:30"/>
    <n v="11"/>
    <d v="1899-12-30T00:04:54"/>
    <n v="1.7625"/>
    <n v="4"/>
    <x v="1"/>
    <n v="0.25"/>
    <n v="0.75"/>
    <n v="0"/>
    <n v="0"/>
    <n v="0"/>
    <n v="0"/>
    <n v="3.4406249999999998"/>
    <d v="2021-09-23T00:00:00"/>
    <n v="1"/>
    <s v="All Stars"/>
  </r>
  <r>
    <x v="4"/>
    <s v="M"/>
    <n v="3"/>
    <n v="43.88"/>
    <d v="1899-12-30T10:15:41"/>
    <d v="1899-12-30T11:48:54"/>
    <d v="1899-12-30T11:02:17"/>
    <n v="3246"/>
    <d v="1899-12-30T00:15:06"/>
    <n v="5"/>
    <n v="0"/>
    <x v="0"/>
    <n v="0.75"/>
    <n v="0.25"/>
    <n v="2.1640000000000001"/>
    <n v="1.1000000000000001"/>
    <n v="0"/>
    <n v="0.4"/>
    <n v="7.4139999999999997"/>
    <d v="2021-09-25T00:00:00"/>
    <n v="1"/>
    <s v="UltraSYR"/>
  </r>
  <r>
    <x v="5"/>
    <s v="F"/>
    <n v="3"/>
    <n v="17.829999999999998"/>
    <d v="1899-12-30T01:50:33"/>
    <d v="1899-12-30T02:20:48"/>
    <d v="1899-12-30T02:05:40"/>
    <n v="57"/>
    <d v="1899-12-30T00:07:03"/>
    <n v="4.4574999999999996"/>
    <n v="1"/>
    <x v="0"/>
    <n v="0.75"/>
    <n v="0.25"/>
    <n v="3.7999999999999999E-2"/>
    <n v="0"/>
    <n v="0"/>
    <n v="0"/>
    <n v="3.6311249999999995"/>
    <d v="2021-09-26T00:00:00"/>
    <n v="1"/>
    <s v="UltraSYR"/>
  </r>
  <r>
    <x v="6"/>
    <s v="M"/>
    <n v="3"/>
    <n v="9.02"/>
    <d v="1899-12-30T00:42:58"/>
    <d v="1899-12-30T00:42:58"/>
    <d v="1899-12-30T00:42:58"/>
    <n v="19"/>
    <d v="1899-12-30T00:04:46"/>
    <n v="2.1476190476190475"/>
    <n v="3.5"/>
    <x v="1"/>
    <n v="0.25"/>
    <n v="0.75"/>
    <n v="0"/>
    <n v="0"/>
    <n v="0"/>
    <n v="0"/>
    <n v="3.1619047619047618"/>
    <d v="2021-09-21T00:00:00"/>
    <n v="1"/>
    <s v="All Stars"/>
  </r>
  <r>
    <x v="7"/>
    <s v="F"/>
    <n v="3"/>
    <n v="8.01"/>
    <d v="1899-12-30T00:57:17"/>
    <d v="1899-12-30T01:30:15"/>
    <d v="1899-12-30T01:13:46"/>
    <n v="0"/>
    <d v="1899-12-30T00:09:13"/>
    <n v="2.0024999999999999"/>
    <n v="0"/>
    <x v="0"/>
    <n v="0.75"/>
    <n v="0.25"/>
    <n v="0"/>
    <n v="0"/>
    <n v="0"/>
    <n v="0.7"/>
    <n v="2.2018750000000002"/>
    <d v="2021-09-20T00:00:00"/>
    <n v="1"/>
    <e v="#N/A"/>
  </r>
  <r>
    <x v="8"/>
    <s v="M"/>
    <n v="3"/>
    <n v="7.02"/>
    <d v="1899-12-30T00:31:07"/>
    <d v="1899-12-30T00:31:07"/>
    <d v="1899-12-30T00:31:07"/>
    <n v="13"/>
    <d v="1899-12-30T00:04:26"/>
    <n v="1.6714285714285713"/>
    <n v="4"/>
    <x v="1"/>
    <n v="0.25"/>
    <n v="0.75"/>
    <n v="0"/>
    <n v="0"/>
    <n v="0"/>
    <n v="0"/>
    <n v="3.4178571428571427"/>
    <d v="2021-09-23T00:00:00"/>
    <n v="1"/>
    <e v="#N/A"/>
  </r>
  <r>
    <x v="9"/>
    <s v="M"/>
    <n v="3"/>
    <n v="32.32"/>
    <d v="1899-12-30T03:17:11"/>
    <d v="1899-12-30T03:31:41"/>
    <d v="1899-12-30T03:24:26"/>
    <n v="760"/>
    <d v="1899-12-30T00:06:20"/>
    <n v="5"/>
    <n v="1"/>
    <x v="0"/>
    <n v="0.75"/>
    <n v="0.25"/>
    <n v="0.50666666666666671"/>
    <n v="0.5"/>
    <n v="0"/>
    <n v="0"/>
    <n v="5.0066666666666668"/>
    <d v="2021-09-26T00:00:00"/>
    <n v="1"/>
    <s v="UltraSYR"/>
  </r>
  <r>
    <x v="1"/>
    <s v="M"/>
    <n v="3"/>
    <n v="43.34"/>
    <d v="1899-12-30T08:13:24"/>
    <d v="1899-12-30T09:45:41"/>
    <d v="1899-12-30T08:59:32"/>
    <n v="3373"/>
    <d v="1899-12-30T00:12:27"/>
    <n v="5"/>
    <n v="0"/>
    <x v="0"/>
    <n v="0.75"/>
    <n v="0.25"/>
    <n v="2.2486666666666668"/>
    <n v="1.1000000000000001"/>
    <n v="0"/>
    <n v="0"/>
    <n v="7.0986666666666665"/>
    <d v="2021-09-25T00:00:00"/>
    <n v="1"/>
    <s v="UltraSYR"/>
  </r>
  <r>
    <x v="15"/>
    <s v="M"/>
    <n v="3"/>
    <n v="20.91"/>
    <d v="1899-12-30T01:43:35"/>
    <d v="1899-12-30T01:43:35"/>
    <d v="1899-12-30T01:43:35"/>
    <n v="212"/>
    <d v="1899-12-30T00:04:57"/>
    <n v="4.9785714285714286"/>
    <n v="3"/>
    <x v="0"/>
    <n v="0.75"/>
    <n v="0.25"/>
    <n v="0.14133333333333334"/>
    <n v="0"/>
    <n v="0"/>
    <n v="0"/>
    <n v="4.6252619047619055"/>
    <d v="2021-09-26T00:00:00"/>
    <n v="1"/>
    <e v="#N/A"/>
  </r>
  <r>
    <x v="19"/>
    <s v="F"/>
    <n v="3"/>
    <n v="10"/>
    <d v="1899-12-30T01:28:14"/>
    <d v="1899-12-30T01:31:00"/>
    <d v="1899-12-30T01:29:37"/>
    <n v="52"/>
    <d v="1899-12-30T00:08:58"/>
    <n v="2.5"/>
    <n v="1"/>
    <x v="0"/>
    <n v="0.75"/>
    <n v="0.25"/>
    <n v="3.4666666666666665E-2"/>
    <n v="0"/>
    <n v="0"/>
    <n v="0.4"/>
    <n v="2.5596666666666668"/>
    <d v="2021-09-23T00:00:00"/>
    <n v="1"/>
    <s v="All Stars"/>
  </r>
  <r>
    <x v="10"/>
    <s v="F"/>
    <n v="3"/>
    <n v="10.02"/>
    <d v="1899-12-30T00:51:56"/>
    <d v="1899-12-30T00:56:43"/>
    <d v="1899-12-30T00:54:20"/>
    <n v="0"/>
    <d v="1899-12-30T00:05:25"/>
    <n v="2.5049999999999999"/>
    <n v="3"/>
    <x v="0"/>
    <n v="0.75"/>
    <n v="0.25"/>
    <n v="0"/>
    <n v="0"/>
    <n v="0"/>
    <n v="0"/>
    <n v="2.6287500000000001"/>
    <d v="2021-09-23T00:00:00"/>
    <n v="1"/>
    <s v="UltraSYR"/>
  </r>
  <r>
    <x v="27"/>
    <s v="M"/>
    <n v="3"/>
    <n v="5.24"/>
    <d v="1899-12-30T00:30:17"/>
    <d v="1899-12-30T00:30:20"/>
    <d v="1899-12-30T00:30:19"/>
    <n v="2"/>
    <d v="1899-12-30T00:05:47"/>
    <n v="1.2476190476190476"/>
    <n v="1.5"/>
    <x v="1"/>
    <n v="0.25"/>
    <n v="0.75"/>
    <n v="0"/>
    <n v="0"/>
    <n v="0"/>
    <n v="0"/>
    <n v="1.4369047619047619"/>
    <d v="2021-09-20T00:00:00"/>
    <n v="1"/>
    <s v="All Stars"/>
  </r>
  <r>
    <x v="11"/>
    <s v="M"/>
    <n v="3"/>
    <n v="13.86"/>
    <d v="1899-12-30T00:59:01"/>
    <d v="1899-12-30T00:59:52"/>
    <d v="1899-12-30T00:59:27"/>
    <n v="46"/>
    <d v="1899-12-30T00:04:17"/>
    <n v="3.3"/>
    <n v="4"/>
    <x v="0"/>
    <n v="0.75"/>
    <n v="0.25"/>
    <n v="0"/>
    <n v="0"/>
    <n v="0"/>
    <n v="0"/>
    <n v="3.4749999999999996"/>
    <d v="2021-09-26T00:00:00"/>
    <n v="1"/>
    <s v="UltraSYR"/>
  </r>
  <r>
    <x v="13"/>
    <s v="F"/>
    <n v="3"/>
    <n v="12.01"/>
    <d v="1899-12-30T01:04:20"/>
    <d v="1899-12-30T01:04:20"/>
    <d v="1899-12-30T01:04:20"/>
    <n v="40"/>
    <d v="1899-12-30T00:05:21"/>
    <n v="3.0024999999999999"/>
    <n v="3"/>
    <x v="0"/>
    <n v="0.75"/>
    <n v="0.25"/>
    <n v="0"/>
    <n v="0"/>
    <n v="0"/>
    <n v="0"/>
    <n v="3.0018750000000001"/>
    <d v="2021-09-24T00:00:00"/>
    <n v="1"/>
    <s v="All Stars"/>
  </r>
  <r>
    <x v="30"/>
    <s v="M"/>
    <n v="3"/>
    <n v="21.11"/>
    <d v="1899-12-30T01:58:17"/>
    <d v="1899-12-30T01:59:21"/>
    <d v="1899-12-30T01:58:49"/>
    <n v="58"/>
    <d v="1899-12-30T00:05:38"/>
    <n v="5"/>
    <n v="1.5"/>
    <x v="0"/>
    <n v="0.75"/>
    <n v="0.25"/>
    <n v="3.8666666666666669E-2"/>
    <n v="0"/>
    <n v="0"/>
    <n v="0"/>
    <n v="4.1636666666666668"/>
    <d v="2021-09-26T00:00:00"/>
    <n v="1"/>
    <e v="#N/A"/>
  </r>
  <r>
    <x v="14"/>
    <s v="M"/>
    <n v="3"/>
    <n v="5.93"/>
    <d v="1899-12-30T00:22:13"/>
    <d v="1899-12-30T00:22:13"/>
    <d v="1899-12-30T00:22:13"/>
    <n v="30"/>
    <d v="1899-12-30T00:03:45"/>
    <n v="1.4119047619047618"/>
    <n v="5"/>
    <x v="1"/>
    <n v="0.25"/>
    <n v="0.75"/>
    <n v="0"/>
    <n v="0"/>
    <n v="1.4999999999999998"/>
    <n v="0"/>
    <n v="5.6029761904761903"/>
    <d v="2021-09-26T00:00:00"/>
    <n v="1"/>
    <s v="UltraSYR"/>
  </r>
  <r>
    <x v="16"/>
    <s v="M"/>
    <n v="3"/>
    <n v="21.61"/>
    <d v="1899-12-30T01:49:03"/>
    <d v="1899-12-30T01:49:11"/>
    <d v="1899-12-30T01:49:07"/>
    <n v="34"/>
    <d v="1899-12-30T00:05:03"/>
    <n v="5"/>
    <n v="2.5"/>
    <x v="0"/>
    <n v="0.75"/>
    <n v="0.25"/>
    <n v="0"/>
    <n v="0"/>
    <n v="0"/>
    <n v="0"/>
    <n v="4.375"/>
    <d v="2021-09-26T00:00:00"/>
    <n v="1"/>
    <s v="All Stars"/>
  </r>
  <r>
    <x v="17"/>
    <s v="F"/>
    <n v="3"/>
    <n v="2.52"/>
    <d v="1899-12-30T00:10:16"/>
    <d v="1899-12-30T00:10:16"/>
    <d v="1899-12-30T00:10:16"/>
    <n v="0"/>
    <d v="1899-12-30T00:04:04"/>
    <n v="0.63"/>
    <n v="5"/>
    <x v="1"/>
    <n v="0.25"/>
    <n v="0.75"/>
    <n v="0"/>
    <n v="0"/>
    <n v="3.1500000000000004"/>
    <n v="0"/>
    <n v="7.057500000000001"/>
    <d v="2021-09-26T00:00:00"/>
    <n v="1"/>
    <s v="All Stars"/>
  </r>
  <r>
    <x v="18"/>
    <s v="M"/>
    <n v="3"/>
    <n v="5.01"/>
    <d v="1899-12-30T00:27:47"/>
    <d v="1899-12-30T00:27:50"/>
    <d v="1899-12-30T00:27:49"/>
    <n v="3"/>
    <d v="1899-12-30T00:05:33"/>
    <n v="1.1928571428571428"/>
    <n v="1.5"/>
    <x v="1"/>
    <n v="0.25"/>
    <n v="0.75"/>
    <n v="0"/>
    <n v="0"/>
    <n v="0"/>
    <n v="0"/>
    <n v="1.4232142857142858"/>
    <d v="2021-09-26T00:00:00"/>
    <n v="1"/>
    <s v="UltraSYR"/>
  </r>
  <r>
    <x v="20"/>
    <s v="M"/>
    <n v="3"/>
    <n v="13.6"/>
    <d v="1899-12-30T01:09:02"/>
    <d v="1899-12-30T01:10:00"/>
    <d v="1899-12-30T01:09:31"/>
    <n v="13"/>
    <d v="1899-12-30T00:05:07"/>
    <n v="3.2380952380952377"/>
    <n v="2.5"/>
    <x v="0"/>
    <n v="0.75"/>
    <n v="0.25"/>
    <n v="0"/>
    <n v="0"/>
    <n v="0"/>
    <n v="0"/>
    <n v="3.0535714285714284"/>
    <d v="2021-09-25T00:00:00"/>
    <n v="1"/>
    <s v="All Stars"/>
  </r>
  <r>
    <x v="31"/>
    <s v="M"/>
    <n v="3"/>
    <n v="10.029999999999999"/>
    <d v="1899-12-30T01:04:07"/>
    <d v="1899-12-30T01:05:20"/>
    <d v="1899-12-30T01:04:44"/>
    <n v="0"/>
    <d v="1899-12-30T00:06:27"/>
    <n v="2.388095238095238"/>
    <n v="1"/>
    <x v="0"/>
    <n v="0.75"/>
    <n v="0.25"/>
    <n v="0"/>
    <n v="0"/>
    <n v="0"/>
    <n v="0"/>
    <n v="2.0410714285714286"/>
    <d v="2021-09-20T00:00:00"/>
    <n v="1"/>
    <e v="#N/A"/>
  </r>
  <r>
    <x v="32"/>
    <s v="M"/>
    <n v="3"/>
    <n v="19.010000000000002"/>
    <d v="1899-12-30T01:26:45"/>
    <d v="1899-12-30T01:29:11"/>
    <d v="1899-12-30T01:27:58"/>
    <n v="53"/>
    <d v="1899-12-30T00:04:38"/>
    <n v="4.5261904761904761"/>
    <n v="3.5"/>
    <x v="0"/>
    <n v="0.75"/>
    <n v="0.25"/>
    <n v="3.5333333333333335E-2"/>
    <n v="0"/>
    <n v="0"/>
    <n v="0"/>
    <n v="4.3049761904761903"/>
    <d v="2021-09-26T00:00:00"/>
    <n v="1"/>
    <e v="#N/A"/>
  </r>
  <r>
    <x v="21"/>
    <s v="M"/>
    <n v="3"/>
    <n v="10.07"/>
    <d v="1899-12-30T00:42:30"/>
    <d v="1899-12-30T00:42:35"/>
    <d v="1899-12-30T00:42:33"/>
    <n v="23"/>
    <d v="1899-12-30T00:04:13"/>
    <n v="2.3976190476190475"/>
    <n v="4.5"/>
    <x v="1"/>
    <n v="0.25"/>
    <n v="0.75"/>
    <n v="0"/>
    <n v="0"/>
    <n v="0"/>
    <n v="0"/>
    <n v="3.9744047619047618"/>
    <d v="2021-09-26T00:00:00"/>
    <n v="1"/>
    <s v="All Stars"/>
  </r>
  <r>
    <x v="33"/>
    <s v="F"/>
    <n v="3"/>
    <m/>
    <m/>
    <m/>
    <m/>
    <m/>
    <m/>
    <m/>
    <m/>
    <x v="2"/>
    <m/>
    <m/>
    <m/>
    <m/>
    <m/>
    <m/>
    <n v="1.5"/>
    <m/>
    <n v="1"/>
    <e v="#N/A"/>
  </r>
  <r>
    <x v="22"/>
    <s v="M"/>
    <n v="3"/>
    <n v="21.36"/>
    <d v="1899-12-30T01:35:14"/>
    <d v="1899-12-30T01:35:58"/>
    <d v="1899-12-30T01:35:36"/>
    <n v="43"/>
    <d v="1899-12-30T00:04:29"/>
    <n v="5"/>
    <n v="4"/>
    <x v="0"/>
    <n v="0.75"/>
    <n v="0.25"/>
    <n v="0"/>
    <n v="0"/>
    <n v="0"/>
    <n v="0"/>
    <n v="4.75"/>
    <d v="2021-09-26T00:00:00"/>
    <n v="1"/>
    <e v="#N/A"/>
  </r>
  <r>
    <x v="23"/>
    <s v="M"/>
    <n v="3"/>
    <n v="4.82"/>
    <d v="1899-12-30T00:16:26"/>
    <d v="1899-12-30T00:16:26"/>
    <d v="1899-12-30T00:16:26"/>
    <n v="27"/>
    <d v="1899-12-30T00:03:25"/>
    <n v="1.1476190476190475"/>
    <n v="5"/>
    <x v="1"/>
    <n v="0.25"/>
    <n v="0.75"/>
    <n v="0"/>
    <n v="0"/>
    <n v="5.4"/>
    <n v="0"/>
    <n v="9.4369047619047635"/>
    <d v="2021-09-25T00:00:00"/>
    <n v="1"/>
    <s v="All Stars"/>
  </r>
  <r>
    <x v="24"/>
    <s v="M"/>
    <n v="3"/>
    <n v="40.119999999999997"/>
    <d v="1899-12-30T03:11:27"/>
    <d v="1899-12-30T03:14:58"/>
    <d v="1899-12-30T03:13:13"/>
    <n v="291"/>
    <d v="1899-12-30T00:04:49"/>
    <n v="5"/>
    <n v="3"/>
    <x v="0"/>
    <n v="0.75"/>
    <n v="0.25"/>
    <n v="0.19400000000000001"/>
    <n v="0.9"/>
    <n v="0"/>
    <n v="0"/>
    <n v="5.5940000000000003"/>
    <d v="2021-09-25T00:00:00"/>
    <n v="1"/>
    <s v="All Stars"/>
  </r>
  <r>
    <x v="34"/>
    <s v="M"/>
    <n v="3"/>
    <n v="7.16"/>
    <d v="1899-12-30T00:34:32"/>
    <d v="1899-12-30T00:34:32"/>
    <d v="1899-12-30T00:34:32"/>
    <n v="12"/>
    <d v="1899-12-30T00:04:49"/>
    <n v="1.7047619047619047"/>
    <n v="3"/>
    <x v="1"/>
    <n v="0.25"/>
    <n v="0.75"/>
    <n v="0"/>
    <n v="0"/>
    <n v="0"/>
    <n v="0"/>
    <n v="2.676190476190476"/>
    <d v="2021-09-25T00:00:00"/>
    <n v="1"/>
    <e v="#N/A"/>
  </r>
  <r>
    <x v="25"/>
    <s v="M"/>
    <n v="3"/>
    <n v="20.45"/>
    <d v="1899-12-30T01:50:48"/>
    <d v="1899-12-30T01:50:57"/>
    <d v="1899-12-30T01:50:52"/>
    <n v="662"/>
    <d v="1899-12-30T00:05:25"/>
    <n v="4.8690476190476186"/>
    <n v="2"/>
    <x v="0"/>
    <n v="0.75"/>
    <n v="0.25"/>
    <n v="0.44133333333333336"/>
    <n v="0"/>
    <n v="0"/>
    <n v="0"/>
    <n v="4.5931190476190471"/>
    <d v="2021-09-25T00:00:00"/>
    <n v="1"/>
    <s v="All Stars"/>
  </r>
  <r>
    <x v="26"/>
    <s v="M"/>
    <n v="3"/>
    <n v="24.18"/>
    <d v="1899-12-30T01:49:54"/>
    <d v="1899-12-30T01:52:59"/>
    <d v="1899-12-30T01:51:26"/>
    <n v="16"/>
    <d v="1899-12-30T00:04:37"/>
    <n v="5"/>
    <n v="3.5"/>
    <x v="0"/>
    <n v="0.75"/>
    <n v="0.25"/>
    <n v="0"/>
    <n v="0.1"/>
    <n v="0"/>
    <n v="0"/>
    <n v="4.7249999999999996"/>
    <d v="2021-09-26T00:00:00"/>
    <n v="1"/>
    <e v="#N/A"/>
  </r>
  <r>
    <x v="28"/>
    <s v="M"/>
    <n v="3"/>
    <n v="3.01"/>
    <d v="1899-12-30T00:11:37"/>
    <d v="1899-12-30T00:11:37"/>
    <d v="1899-12-30T00:11:37"/>
    <n v="14"/>
    <d v="1899-12-30T00:03:52"/>
    <n v="0.71666666666666656"/>
    <n v="5"/>
    <x v="1"/>
    <n v="0.25"/>
    <n v="0.75"/>
    <n v="0"/>
    <n v="0"/>
    <n v="0.45000000000000007"/>
    <n v="0"/>
    <n v="4.3791666666666664"/>
    <d v="2021-09-25T00:00:00"/>
    <n v="1"/>
    <s v="UltraSYR"/>
  </r>
  <r>
    <x v="29"/>
    <s v="F"/>
    <n v="3"/>
    <n v="10.18"/>
    <d v="1899-12-30T00:50:32"/>
    <d v="1899-12-30T00:53:09"/>
    <d v="1899-12-30T00:51:51"/>
    <n v="51"/>
    <d v="1899-12-30T00:05:06"/>
    <n v="2.5449999999999999"/>
    <n v="3.5"/>
    <x v="1"/>
    <n v="0.25"/>
    <n v="0.75"/>
    <n v="3.4000000000000002E-2"/>
    <n v="0"/>
    <n v="0"/>
    <n v="0"/>
    <n v="3.2952499999999998"/>
    <d v="2021-09-26T00:00:00"/>
    <n v="1"/>
    <s v="UltraSYR"/>
  </r>
  <r>
    <x v="0"/>
    <s v="M"/>
    <n v="4"/>
    <n v="44.78"/>
    <d v="1899-12-30T04:21:34"/>
    <d v="1899-12-30T04:21:37"/>
    <d v="1899-12-30T04:21:36"/>
    <n v="18"/>
    <d v="1899-12-30T00:05:51"/>
    <n v="5"/>
    <n v="1.5"/>
    <x v="0"/>
    <n v="0.75"/>
    <n v="0.25"/>
    <n v="0"/>
    <n v="1.1000000000000001"/>
    <n v="0"/>
    <n v="0"/>
    <n v="5.2249999999999996"/>
    <d v="2021-10-03T00:00:00"/>
    <n v="1"/>
    <s v="All Stars"/>
  </r>
  <r>
    <x v="2"/>
    <s v="M"/>
    <n v="4"/>
    <n v="31.18"/>
    <d v="1899-12-30T02:47:23"/>
    <d v="1899-12-30T02:51:49"/>
    <d v="1899-12-30T02:49:36"/>
    <n v="49"/>
    <d v="1899-12-30T00:05:26"/>
    <n v="5"/>
    <n v="2"/>
    <x v="0"/>
    <n v="0.75"/>
    <n v="0.25"/>
    <n v="0"/>
    <n v="0.5"/>
    <n v="0"/>
    <n v="0"/>
    <n v="4.75"/>
    <d v="2021-10-03T00:00:00"/>
    <n v="1"/>
    <s v="UltraSYR"/>
  </r>
  <r>
    <x v="3"/>
    <s v="F"/>
    <n v="4"/>
    <m/>
    <m/>
    <m/>
    <m/>
    <m/>
    <m/>
    <m/>
    <m/>
    <x v="2"/>
    <m/>
    <m/>
    <m/>
    <m/>
    <m/>
    <m/>
    <n v="1.5"/>
    <m/>
    <n v="1"/>
    <s v="All Stars"/>
  </r>
  <r>
    <x v="4"/>
    <s v="M"/>
    <n v="4"/>
    <n v="22.62"/>
    <d v="1899-12-30T03:42:23"/>
    <d v="1899-12-30T03:42:27"/>
    <d v="1899-12-30T03:42:25"/>
    <n v="517"/>
    <d v="1899-12-30T00:09:50"/>
    <n v="5"/>
    <n v="0"/>
    <x v="1"/>
    <n v="0.25"/>
    <n v="0.75"/>
    <n v="0.34466666666666668"/>
    <n v="0"/>
    <n v="0"/>
    <n v="0.4"/>
    <n v="1.9946666666666668"/>
    <d v="2021-10-03T00:00:00"/>
    <n v="1"/>
    <s v="UltraSYR"/>
  </r>
  <r>
    <x v="5"/>
    <s v="F"/>
    <n v="4"/>
    <n v="17.010000000000002"/>
    <d v="1899-12-30T01:42:15"/>
    <d v="1899-12-30T02:04:01"/>
    <d v="1899-12-30T01:53:08"/>
    <n v="38"/>
    <d v="1899-12-30T00:06:39"/>
    <n v="4.2525000000000004"/>
    <n v="1"/>
    <x v="1"/>
    <n v="0.25"/>
    <n v="0.75"/>
    <n v="0"/>
    <n v="0"/>
    <n v="0"/>
    <n v="0"/>
    <n v="1.8131250000000001"/>
    <d v="2021-10-03T00:00:00"/>
    <n v="1"/>
    <s v="UltraSYR"/>
  </r>
  <r>
    <x v="6"/>
    <s v="M"/>
    <n v="4"/>
    <n v="7"/>
    <d v="1899-12-30T00:28:33"/>
    <d v="1899-12-30T00:28:33"/>
    <d v="1899-12-30T00:28:33"/>
    <n v="10"/>
    <d v="1899-12-30T00:04:05"/>
    <n v="1.6666666666666665"/>
    <n v="4.5"/>
    <x v="1"/>
    <n v="0.25"/>
    <n v="0.75"/>
    <n v="0"/>
    <n v="0"/>
    <n v="0"/>
    <n v="0"/>
    <n v="3.7916666666666665"/>
    <d v="2021-09-30T00:00:00"/>
    <n v="1"/>
    <s v="All Stars"/>
  </r>
  <r>
    <x v="7"/>
    <s v="F"/>
    <n v="4"/>
    <n v="8.02"/>
    <d v="1899-12-30T00:54:29"/>
    <d v="1899-12-30T01:28:23"/>
    <d v="1899-12-30T01:11:26"/>
    <n v="0"/>
    <d v="1899-12-30T00:08:54"/>
    <n v="2.0049999999999999"/>
    <n v="1"/>
    <x v="1"/>
    <n v="0.25"/>
    <n v="0.75"/>
    <n v="0"/>
    <n v="0"/>
    <n v="0"/>
    <n v="0.7"/>
    <n v="1.9512499999999999"/>
    <d v="2021-09-27T00:00:00"/>
    <n v="1"/>
    <e v="#N/A"/>
  </r>
  <r>
    <x v="8"/>
    <s v="M"/>
    <n v="4"/>
    <n v="25"/>
    <d v="1899-12-30T02:19:32"/>
    <d v="1899-12-30T02:33:42"/>
    <d v="1899-12-30T02:26:37"/>
    <n v="77"/>
    <d v="1899-12-30T00:05:52"/>
    <n v="5"/>
    <n v="1.5"/>
    <x v="0"/>
    <n v="0.75"/>
    <n v="0.25"/>
    <n v="5.1333333333333335E-2"/>
    <n v="0.2"/>
    <n v="0"/>
    <n v="0"/>
    <n v="4.3763333333333332"/>
    <d v="2021-09-30T00:00:00"/>
    <n v="1"/>
    <e v="#N/A"/>
  </r>
  <r>
    <x v="9"/>
    <s v="M"/>
    <n v="4"/>
    <n v="92.32"/>
    <d v="1899-12-30T09:28:36"/>
    <d v="1899-12-30T09:56:38"/>
    <d v="1899-12-30T09:42:37"/>
    <n v="119"/>
    <d v="1899-12-30T00:06:19"/>
    <n v="5"/>
    <n v="1"/>
    <x v="0"/>
    <n v="0.75"/>
    <n v="0.25"/>
    <n v="7.9333333333333339E-2"/>
    <n v="3.5"/>
    <n v="0"/>
    <n v="0"/>
    <n v="7.5793333333333335"/>
    <d v="2021-10-03T00:00:00"/>
    <n v="1"/>
    <s v="UltraSYR"/>
  </r>
  <r>
    <x v="1"/>
    <s v="M"/>
    <n v="4"/>
    <n v="7.02"/>
    <d v="1899-12-30T00:33:14"/>
    <d v="1899-12-30T00:33:14"/>
    <d v="1899-12-30T00:33:14"/>
    <n v="27"/>
    <d v="1899-12-30T00:04:44"/>
    <n v="1.6714285714285713"/>
    <n v="3.5"/>
    <x v="1"/>
    <n v="0.25"/>
    <n v="0.75"/>
    <n v="0"/>
    <n v="0"/>
    <n v="0"/>
    <n v="0"/>
    <n v="3.0428571428571427"/>
    <d v="2021-10-03T00:00:00"/>
    <n v="1"/>
    <s v="UltraSYR"/>
  </r>
  <r>
    <x v="15"/>
    <s v="M"/>
    <n v="4"/>
    <n v="21.1"/>
    <d v="1899-12-30T02:20:26"/>
    <d v="1899-12-30T02:25:20"/>
    <d v="1899-12-30T02:22:53"/>
    <n v="0"/>
    <d v="1899-12-30T00:06:46"/>
    <n v="5"/>
    <n v="1"/>
    <x v="1"/>
    <n v="0.25"/>
    <n v="0.75"/>
    <n v="0"/>
    <n v="0"/>
    <n v="0"/>
    <n v="0"/>
    <n v="2"/>
    <d v="2021-10-03T00:00:00"/>
    <n v="1"/>
    <e v="#N/A"/>
  </r>
  <r>
    <x v="19"/>
    <s v="F"/>
    <n v="4"/>
    <n v="7.23"/>
    <d v="1899-12-30T00:58:10"/>
    <d v="1899-12-30T01:00:02"/>
    <d v="1899-12-30T00:59:06"/>
    <n v="22"/>
    <d v="1899-12-30T00:08:10"/>
    <n v="1.8075000000000001"/>
    <n v="1"/>
    <x v="1"/>
    <n v="0.25"/>
    <n v="0.75"/>
    <n v="0"/>
    <n v="0"/>
    <n v="0"/>
    <n v="0.4"/>
    <n v="1.6018750000000002"/>
    <d v="2021-09-27T00:00:00"/>
    <n v="1"/>
    <s v="All Stars"/>
  </r>
  <r>
    <x v="10"/>
    <s v="F"/>
    <n v="4"/>
    <n v="5.07"/>
    <d v="1899-12-30T00:29:55"/>
    <d v="1899-12-30T00:31:15"/>
    <d v="1899-12-30T00:30:35"/>
    <n v="0"/>
    <d v="1899-12-30T00:06:02"/>
    <n v="1.2675000000000001"/>
    <n v="1.5"/>
    <x v="1"/>
    <n v="0.25"/>
    <n v="0.75"/>
    <n v="0"/>
    <n v="0"/>
    <n v="0"/>
    <n v="0"/>
    <n v="1.441875"/>
    <d v="2021-09-29T00:00:00"/>
    <n v="1"/>
    <s v="UltraSYR"/>
  </r>
  <r>
    <x v="27"/>
    <s v="M"/>
    <n v="4"/>
    <n v="5.26"/>
    <d v="1899-12-30T00:30:17"/>
    <d v="1899-12-30T00:30:17"/>
    <d v="1899-12-30T00:30:17"/>
    <n v="3"/>
    <d v="1899-12-30T00:05:45"/>
    <n v="1.2523809523809524"/>
    <n v="1.5"/>
    <x v="1"/>
    <n v="0.25"/>
    <n v="0.75"/>
    <n v="0"/>
    <n v="0"/>
    <n v="0"/>
    <n v="0"/>
    <n v="1.4380952380952381"/>
    <d v="2021-10-02T00:00:00"/>
    <n v="1"/>
    <s v="All Stars"/>
  </r>
  <r>
    <x v="11"/>
    <s v="M"/>
    <n v="4"/>
    <n v="11.3"/>
    <d v="1899-12-30T01:07:17"/>
    <d v="1899-12-30T01:18:49"/>
    <d v="1899-12-30T01:13:03"/>
    <n v="344"/>
    <d v="1899-12-30T00:06:28"/>
    <n v="2.6904761904761907"/>
    <n v="1"/>
    <x v="0"/>
    <n v="0.75"/>
    <n v="0.25"/>
    <n v="0.22933333333333333"/>
    <n v="0"/>
    <n v="0"/>
    <n v="0"/>
    <n v="2.4971904761904766"/>
    <d v="2021-10-02T00:00:00"/>
    <n v="1"/>
    <s v="UltraSYR"/>
  </r>
  <r>
    <x v="13"/>
    <s v="F"/>
    <n v="4"/>
    <n v="20.440000000000001"/>
    <d v="1899-12-30T01:44:34"/>
    <d v="1899-12-30T01:45:00"/>
    <d v="1899-12-30T01:44:47"/>
    <n v="144"/>
    <d v="1899-12-30T00:05:08"/>
    <n v="5"/>
    <n v="3.5"/>
    <x v="1"/>
    <n v="0.25"/>
    <n v="0.75"/>
    <n v="9.6000000000000002E-2"/>
    <n v="0"/>
    <n v="0"/>
    <n v="0"/>
    <n v="3.9710000000000001"/>
    <d v="2021-10-02T00:00:00"/>
    <n v="1"/>
    <s v="All Stars"/>
  </r>
  <r>
    <x v="12"/>
    <s v="M"/>
    <n v="4"/>
    <m/>
    <m/>
    <m/>
    <m/>
    <m/>
    <m/>
    <m/>
    <m/>
    <x v="2"/>
    <m/>
    <m/>
    <m/>
    <m/>
    <m/>
    <m/>
    <n v="1.5"/>
    <m/>
    <n v="1"/>
    <s v="UltraSYR"/>
  </r>
  <r>
    <x v="16"/>
    <s v="M"/>
    <n v="4"/>
    <n v="6.27"/>
    <d v="1899-12-30T00:24:49"/>
    <d v="1899-12-30T00:26:05"/>
    <d v="1899-12-30T00:25:27"/>
    <n v="22"/>
    <d v="1899-12-30T00:04:04"/>
    <n v="1.4928571428571427"/>
    <n v="4.5"/>
    <x v="1"/>
    <n v="0.25"/>
    <n v="0.75"/>
    <n v="0"/>
    <n v="0"/>
    <n v="0"/>
    <n v="0"/>
    <n v="3.7482142857142855"/>
    <d v="2021-10-03T00:00:00"/>
    <n v="1"/>
    <s v="All Stars"/>
  </r>
  <r>
    <x v="17"/>
    <s v="F"/>
    <n v="4"/>
    <n v="21.99"/>
    <d v="1899-12-30T01:49:25"/>
    <d v="1899-12-30T01:49:25"/>
    <d v="1899-12-30T01:49:25"/>
    <n v="88"/>
    <d v="1899-12-30T00:04:59"/>
    <n v="5"/>
    <n v="4"/>
    <x v="0"/>
    <n v="0.75"/>
    <n v="0.25"/>
    <n v="5.8666666666666666E-2"/>
    <n v="0"/>
    <n v="0"/>
    <n v="0"/>
    <n v="4.8086666666666664"/>
    <d v="2021-10-03T00:00:00"/>
    <n v="1"/>
    <s v="All Stars"/>
  </r>
  <r>
    <x v="18"/>
    <s v="M"/>
    <n v="4"/>
    <n v="14.08"/>
    <d v="1899-12-30T01:21:06"/>
    <d v="1899-12-30T01:21:06"/>
    <d v="1899-12-30T01:21:06"/>
    <n v="30"/>
    <d v="1899-12-30T00:05:46"/>
    <n v="3.3523809523809525"/>
    <n v="1.5"/>
    <x v="0"/>
    <n v="0.75"/>
    <n v="0.25"/>
    <n v="0"/>
    <n v="0"/>
    <n v="0"/>
    <n v="0"/>
    <n v="2.8892857142857142"/>
    <d v="2021-10-02T00:00:00"/>
    <n v="1"/>
    <s v="UltraSYR"/>
  </r>
  <r>
    <x v="20"/>
    <s v="M"/>
    <n v="4"/>
    <n v="6.44"/>
    <d v="1899-12-30T00:29:04"/>
    <d v="1899-12-30T00:29:04"/>
    <d v="1899-12-30T00:29:04"/>
    <n v="16"/>
    <d v="1899-12-30T00:04:31"/>
    <n v="1.5333333333333334"/>
    <n v="4"/>
    <x v="1"/>
    <n v="0.25"/>
    <n v="0.75"/>
    <n v="0"/>
    <n v="0"/>
    <n v="0"/>
    <n v="0"/>
    <n v="3.3833333333333333"/>
    <d v="2021-09-30T00:00:00"/>
    <n v="1"/>
    <s v="All Stars"/>
  </r>
  <r>
    <x v="14"/>
    <s v="M"/>
    <n v="4"/>
    <n v="30.79"/>
    <d v="1899-12-30T02:59:11"/>
    <d v="1899-12-30T03:13:04"/>
    <d v="1899-12-30T03:06:07"/>
    <n v="867"/>
    <d v="1899-12-30T00:06:03"/>
    <n v="5"/>
    <n v="1"/>
    <x v="0"/>
    <n v="0.75"/>
    <n v="0.25"/>
    <n v="0.57799999999999996"/>
    <n v="0.4"/>
    <n v="0"/>
    <n v="0"/>
    <n v="4.9780000000000006"/>
    <d v="2021-10-03T00:00:00"/>
    <n v="1"/>
    <s v="UltraSYR"/>
  </r>
  <r>
    <x v="31"/>
    <s v="M"/>
    <n v="4"/>
    <n v="10.029999999999999"/>
    <d v="1899-12-30T01:09:43"/>
    <d v="1899-12-30T01:10:08"/>
    <d v="1899-12-30T01:09:56"/>
    <n v="19"/>
    <d v="1899-12-30T00:06:58"/>
    <n v="2.388095238095238"/>
    <n v="1"/>
    <x v="1"/>
    <n v="0.25"/>
    <n v="0.75"/>
    <n v="0"/>
    <n v="0"/>
    <n v="0"/>
    <n v="0"/>
    <n v="1.3470238095238094"/>
    <d v="2021-10-03T00:00:00"/>
    <n v="1"/>
    <e v="#N/A"/>
  </r>
  <r>
    <x v="32"/>
    <s v="M"/>
    <n v="4"/>
    <n v="6.15"/>
    <d v="1899-12-30T00:26:11"/>
    <d v="1899-12-30T00:26:43"/>
    <d v="1899-12-30T00:26:27"/>
    <n v="0"/>
    <d v="1899-12-30T00:04:18"/>
    <n v="1.4642857142857144"/>
    <n v="4"/>
    <x v="1"/>
    <n v="0.25"/>
    <n v="0.75"/>
    <n v="0"/>
    <n v="0"/>
    <n v="0"/>
    <n v="0"/>
    <n v="3.3660714285714288"/>
    <d v="2021-10-03T00:00:00"/>
    <n v="1"/>
    <e v="#N/A"/>
  </r>
  <r>
    <x v="21"/>
    <s v="M"/>
    <n v="4"/>
    <n v="21.11"/>
    <d v="1899-12-30T01:32:08"/>
    <d v="1899-12-30T01:33:14"/>
    <d v="1899-12-30T01:32:41"/>
    <n v="7"/>
    <d v="1899-12-30T00:04:23"/>
    <n v="5"/>
    <n v="4"/>
    <x v="0"/>
    <n v="0.75"/>
    <n v="0.25"/>
    <n v="0"/>
    <n v="0"/>
    <n v="0"/>
    <n v="0"/>
    <n v="4.75"/>
    <d v="2021-10-02T00:00:00"/>
    <n v="1"/>
    <s v="All Stars"/>
  </r>
  <r>
    <x v="33"/>
    <s v="F"/>
    <n v="4"/>
    <n v="4.0199999999999996"/>
    <d v="1899-12-30T00:25:19"/>
    <d v="1899-12-30T00:45:18"/>
    <d v="1899-12-30T00:35:18"/>
    <n v="15"/>
    <d v="1899-12-30T00:08:47"/>
    <n v="1.0049999999999999"/>
    <n v="1"/>
    <x v="1"/>
    <n v="0.25"/>
    <n v="0.75"/>
    <n v="0"/>
    <n v="0"/>
    <n v="0"/>
    <n v="0"/>
    <n v="1.00125"/>
    <d v="2021-10-03T00:00:00"/>
    <n v="1"/>
    <e v="#N/A"/>
  </r>
  <r>
    <x v="22"/>
    <s v="M"/>
    <n v="4"/>
    <n v="6.02"/>
    <d v="1899-12-30T00:25:02"/>
    <d v="1899-12-30T00:25:18"/>
    <d v="1899-12-30T00:25:10"/>
    <n v="0"/>
    <d v="1899-12-30T00:04:11"/>
    <n v="1.4333333333333331"/>
    <n v="4.5"/>
    <x v="1"/>
    <n v="0.25"/>
    <n v="0.75"/>
    <n v="0"/>
    <n v="0"/>
    <n v="0"/>
    <n v="0"/>
    <n v="3.7333333333333334"/>
    <d v="2021-09-29T00:00:00"/>
    <n v="1"/>
    <e v="#N/A"/>
  </r>
  <r>
    <x v="23"/>
    <s v="M"/>
    <n v="4"/>
    <n v="41.62"/>
    <d v="1899-12-30T02:43:24"/>
    <d v="1899-12-30T02:43:36"/>
    <d v="1899-12-30T02:43:30"/>
    <n v="378"/>
    <d v="1899-12-30T00:03:56"/>
    <n v="5"/>
    <n v="5"/>
    <x v="0"/>
    <n v="0.75"/>
    <n v="0.25"/>
    <n v="0.252"/>
    <n v="1"/>
    <n v="0.45000000000000007"/>
    <n v="0"/>
    <n v="6.702"/>
    <d v="2021-09-02T00:00:00"/>
    <n v="1"/>
    <s v="All Stars"/>
  </r>
  <r>
    <x v="24"/>
    <s v="M"/>
    <n v="4"/>
    <n v="40.15"/>
    <d v="1899-12-30T02:52:36"/>
    <d v="1899-12-30T02:52:39"/>
    <d v="1899-12-30T02:52:37"/>
    <n v="379"/>
    <d v="1899-12-30T00:04:18"/>
    <n v="5"/>
    <n v="4"/>
    <x v="1"/>
    <n v="0.25"/>
    <n v="0.75"/>
    <n v="0.25266666666666665"/>
    <n v="0.9"/>
    <n v="0"/>
    <n v="0"/>
    <n v="5.4026666666666667"/>
    <d v="2021-09-02T00:00:00"/>
    <n v="1"/>
    <s v="All Stars"/>
  </r>
  <r>
    <x v="34"/>
    <s v="M"/>
    <n v="4"/>
    <n v="7.12"/>
    <d v="1899-12-30T00:33:27"/>
    <d v="1899-12-30T00:33:27"/>
    <d v="1899-12-30T00:33:27"/>
    <n v="16"/>
    <d v="1899-12-30T00:04:42"/>
    <n v="1.6952380952380952"/>
    <n v="3.5"/>
    <x v="1"/>
    <n v="0.25"/>
    <n v="0.75"/>
    <n v="0"/>
    <n v="0"/>
    <n v="0"/>
    <n v="0"/>
    <n v="3.0488095238095236"/>
    <d v="2021-09-30T00:00:00"/>
    <n v="1"/>
    <e v="#N/A"/>
  </r>
  <r>
    <x v="25"/>
    <s v="M"/>
    <n v="4"/>
    <n v="38.85"/>
    <d v="1899-12-30T05:00:07"/>
    <d v="1899-12-30T08:49:43"/>
    <d v="1899-12-30T06:54:55"/>
    <n v="1744"/>
    <d v="1899-12-30T00:10:41"/>
    <n v="5"/>
    <n v="0"/>
    <x v="0"/>
    <n v="0.75"/>
    <n v="0.25"/>
    <n v="1.1626666666666667"/>
    <n v="0.8"/>
    <n v="0"/>
    <n v="0"/>
    <n v="5.7126666666666663"/>
    <d v="2021-10-03T00:00:00"/>
    <n v="1"/>
    <s v="All Stars"/>
  </r>
  <r>
    <x v="26"/>
    <s v="M"/>
    <n v="4"/>
    <n v="10.97"/>
    <d v="1899-12-30T00:44:40"/>
    <d v="1899-12-30T00:45:29"/>
    <d v="1899-12-30T00:45:05"/>
    <n v="0"/>
    <d v="1899-12-30T00:04:07"/>
    <n v="2.611904761904762"/>
    <n v="4.5"/>
    <x v="1"/>
    <n v="0.25"/>
    <n v="0.75"/>
    <n v="0"/>
    <n v="0"/>
    <n v="0"/>
    <n v="0"/>
    <n v="4.0279761904761902"/>
    <d v="2021-10-03T00:00:00"/>
    <n v="1"/>
    <e v="#N/A"/>
  </r>
  <r>
    <x v="28"/>
    <s v="M"/>
    <n v="4"/>
    <n v="10.01"/>
    <d v="1899-12-30T00:42:57"/>
    <d v="1899-12-30T00:44:03"/>
    <d v="1899-12-30T00:43:30"/>
    <n v="15"/>
    <d v="1899-12-30T00:04:21"/>
    <n v="2.3833333333333333"/>
    <n v="4"/>
    <x v="1"/>
    <n v="0.25"/>
    <n v="0.75"/>
    <n v="0"/>
    <n v="0"/>
    <n v="0"/>
    <n v="0"/>
    <n v="3.5958333333333332"/>
    <d v="2021-10-03T00:00:00"/>
    <n v="1"/>
    <s v="UltraSYR"/>
  </r>
  <r>
    <x v="29"/>
    <s v="F"/>
    <n v="4"/>
    <n v="41.75"/>
    <d v="1899-12-30T03:12:20"/>
    <d v="1899-12-30T03:13:16"/>
    <d v="1899-12-30T03:12:48"/>
    <n v="368"/>
    <d v="1899-12-30T00:04:37"/>
    <n v="5"/>
    <n v="4.5"/>
    <x v="0"/>
    <n v="0.75"/>
    <n v="0.25"/>
    <n v="0.24533333333333332"/>
    <n v="1"/>
    <n v="0"/>
    <n v="0"/>
    <n v="6.120333333333333"/>
    <d v="2021-10-02T00:00:00"/>
    <n v="1"/>
    <s v="UltraSYR"/>
  </r>
  <r>
    <x v="0"/>
    <s v="M"/>
    <n v="5"/>
    <n v="10.34"/>
    <d v="1899-12-30T00:59:39"/>
    <d v="1899-12-30T01:02:39"/>
    <d v="1899-12-30T01:01:09"/>
    <n v="24"/>
    <d v="1899-12-30T00:05:55"/>
    <n v="2.4619047619047616"/>
    <n v="1.5"/>
    <x v="0"/>
    <n v="0.75"/>
    <n v="0.25"/>
    <n v="0"/>
    <n v="0"/>
    <n v="0"/>
    <n v="0"/>
    <n v="2.2214285714285711"/>
    <d v="2021-10-05T00:00:00"/>
    <n v="1"/>
    <s v="All Stars"/>
  </r>
  <r>
    <x v="2"/>
    <s v="M"/>
    <n v="5"/>
    <n v="31"/>
    <d v="1899-12-30T02:29:11"/>
    <d v="1899-12-30T02:32:59"/>
    <d v="1899-12-30T02:31:05"/>
    <n v="108"/>
    <d v="1899-12-30T00:04:52"/>
    <n v="5"/>
    <n v="3"/>
    <x v="1"/>
    <n v="0.25"/>
    <n v="0.75"/>
    <n v="7.1999999999999995E-2"/>
    <n v="0.5"/>
    <n v="0"/>
    <n v="0"/>
    <n v="4.0720000000000001"/>
    <d v="2021-10-10T00:00:00"/>
    <n v="1"/>
    <s v="UltraSYR"/>
  </r>
  <r>
    <x v="4"/>
    <s v="M"/>
    <n v="5"/>
    <n v="35.01"/>
    <d v="1899-12-30T06:25:51"/>
    <d v="1899-12-30T06:56:18"/>
    <d v="1899-12-30T06:41:04"/>
    <n v="1411"/>
    <d v="1899-12-30T00:11:27"/>
    <n v="5"/>
    <n v="0"/>
    <x v="0"/>
    <n v="0.75"/>
    <n v="0.25"/>
    <n v="0.94066666666666665"/>
    <n v="0.7"/>
    <n v="0"/>
    <n v="0.4"/>
    <n v="5.7906666666666675"/>
    <d v="2021-10-10T00:00:00"/>
    <n v="1"/>
    <s v="UltraSYR"/>
  </r>
  <r>
    <x v="5"/>
    <s v="F"/>
    <n v="5"/>
    <n v="10.25"/>
    <d v="1899-12-30T00:58:44"/>
    <d v="1899-12-30T01:11:35"/>
    <d v="1899-12-30T01:05:10"/>
    <n v="29"/>
    <d v="1899-12-30T00:06:21"/>
    <n v="2.5625"/>
    <n v="1.5"/>
    <x v="1"/>
    <n v="0.25"/>
    <n v="0.75"/>
    <n v="0"/>
    <n v="0"/>
    <n v="0"/>
    <n v="0"/>
    <n v="1.765625"/>
    <d v="2021-10-08T00:00:00"/>
    <n v="1"/>
    <s v="UltraSYR"/>
  </r>
  <r>
    <x v="6"/>
    <s v="M"/>
    <n v="5"/>
    <n v="8.9"/>
    <d v="1899-12-30T00:38:31"/>
    <d v="1899-12-30T00:38:31"/>
    <d v="1899-12-30T00:38:31"/>
    <n v="17"/>
    <d v="1899-12-30T00:04:20"/>
    <n v="2.1190476190476191"/>
    <n v="4"/>
    <x v="1"/>
    <n v="0.25"/>
    <n v="0.75"/>
    <n v="0"/>
    <n v="0"/>
    <n v="0"/>
    <n v="0"/>
    <n v="3.5297619047619047"/>
    <d v="2021-10-07T00:00:00"/>
    <n v="1"/>
    <s v="All Stars"/>
  </r>
  <r>
    <x v="7"/>
    <s v="F"/>
    <n v="5"/>
    <n v="8.01"/>
    <d v="1899-12-30T01:00:41"/>
    <d v="1899-12-30T01:02:55"/>
    <d v="1899-12-30T01:01:48"/>
    <n v="0"/>
    <d v="1899-12-30T00:07:43"/>
    <n v="2.0024999999999999"/>
    <n v="1"/>
    <x v="0"/>
    <n v="0.75"/>
    <n v="0.25"/>
    <n v="0"/>
    <n v="0"/>
    <n v="0"/>
    <n v="0.7"/>
    <n v="2.4518750000000002"/>
    <d v="2021-10-06T00:00:00"/>
    <n v="1"/>
    <e v="#N/A"/>
  </r>
  <r>
    <x v="8"/>
    <s v="M"/>
    <n v="5"/>
    <n v="22.44"/>
    <d v="1899-12-30T02:00:01"/>
    <d v="1899-12-30T02:00:01"/>
    <d v="1899-12-30T02:00:01"/>
    <n v="70"/>
    <d v="1899-12-30T00:05:21"/>
    <n v="5"/>
    <n v="2"/>
    <x v="0"/>
    <n v="0.75"/>
    <n v="0.25"/>
    <n v="4.6666666666666669E-2"/>
    <n v="0"/>
    <n v="0"/>
    <n v="0"/>
    <n v="4.2966666666666669"/>
    <d v="2021-10-09T00:00:00"/>
    <n v="1"/>
    <e v="#N/A"/>
  </r>
  <r>
    <x v="9"/>
    <s v="M"/>
    <n v="5"/>
    <n v="11.11"/>
    <d v="1899-12-30T00:51:53"/>
    <d v="1899-12-30T00:51:56"/>
    <d v="1899-12-30T00:51:55"/>
    <n v="17"/>
    <d v="1899-12-30T00:04:40"/>
    <n v="2.6452380952380952"/>
    <n v="3.5"/>
    <x v="1"/>
    <n v="0.25"/>
    <n v="0.75"/>
    <n v="0"/>
    <n v="0"/>
    <n v="0"/>
    <n v="0"/>
    <n v="3.2863095238095239"/>
    <d v="2021-10-07T00:00:00"/>
    <n v="1"/>
    <s v="UltraSYR"/>
  </r>
  <r>
    <x v="1"/>
    <s v="M"/>
    <n v="5"/>
    <m/>
    <m/>
    <m/>
    <m/>
    <m/>
    <m/>
    <m/>
    <m/>
    <x v="2"/>
    <m/>
    <m/>
    <m/>
    <m/>
    <m/>
    <m/>
    <n v="1.5"/>
    <m/>
    <n v="1"/>
    <s v="UltraSYR"/>
  </r>
  <r>
    <x v="15"/>
    <s v="M"/>
    <n v="5"/>
    <n v="22.32"/>
    <d v="1899-12-30T02:22:29"/>
    <d v="1899-12-30T02:43:29"/>
    <d v="1899-12-30T02:32:59"/>
    <n v="88"/>
    <d v="1899-12-30T00:06:51"/>
    <n v="5"/>
    <n v="1"/>
    <x v="0"/>
    <n v="0.75"/>
    <n v="0.25"/>
    <n v="5.8666666666666666E-2"/>
    <n v="0"/>
    <n v="0"/>
    <n v="0"/>
    <n v="4.0586666666666664"/>
    <d v="2021-10-10T00:00:00"/>
    <n v="1"/>
    <e v="#N/A"/>
  </r>
  <r>
    <x v="19"/>
    <s v="F"/>
    <n v="5"/>
    <n v="5.72"/>
    <d v="1899-12-30T00:57:48"/>
    <d v="1899-12-30T01:00:02"/>
    <d v="1899-12-30T00:58:55"/>
    <n v="25"/>
    <d v="1899-12-30T00:10:18"/>
    <n v="1.43"/>
    <n v="0"/>
    <x v="0"/>
    <n v="0.75"/>
    <n v="0.25"/>
    <n v="0"/>
    <n v="0"/>
    <n v="0"/>
    <n v="0.4"/>
    <n v="1.4725000000000001"/>
    <d v="2021-10-08T00:00:00"/>
    <n v="1"/>
    <s v="All Stars"/>
  </r>
  <r>
    <x v="10"/>
    <s v="F"/>
    <n v="5"/>
    <n v="10.01"/>
    <d v="1899-12-30T00:53:32"/>
    <d v="1899-12-30T00:54:20"/>
    <d v="1899-12-30T00:53:56"/>
    <n v="38"/>
    <d v="1899-12-30T00:05:23"/>
    <n v="2.5024999999999999"/>
    <n v="3"/>
    <x v="1"/>
    <n v="0.25"/>
    <n v="0.75"/>
    <n v="0"/>
    <n v="0"/>
    <n v="0"/>
    <n v="0"/>
    <n v="2.8756249999999999"/>
    <d v="2021-10-04T00:00:00"/>
    <n v="1"/>
    <s v="UltraSYR"/>
  </r>
  <r>
    <x v="27"/>
    <s v="M"/>
    <n v="5"/>
    <n v="10.27"/>
    <d v="1899-12-30T00:55:54"/>
    <d v="1899-12-30T00:56:01"/>
    <d v="1899-12-30T00:55:58"/>
    <n v="10"/>
    <d v="1899-12-30T00:05:27"/>
    <n v="2.445238095238095"/>
    <n v="2"/>
    <x v="1"/>
    <n v="0.25"/>
    <n v="0.75"/>
    <n v="0"/>
    <n v="0"/>
    <n v="0"/>
    <n v="0"/>
    <n v="2.1113095238095236"/>
    <d v="2021-10-09T00:00:00"/>
    <n v="1"/>
    <s v="All Stars"/>
  </r>
  <r>
    <x v="11"/>
    <s v="M"/>
    <n v="5"/>
    <n v="10.31"/>
    <d v="1899-12-30T00:48:27"/>
    <d v="1899-12-30T00:49:16"/>
    <d v="1899-12-30T00:48:52"/>
    <n v="100"/>
    <d v="1899-12-30T00:04:44"/>
    <n v="2.4547619047619049"/>
    <n v="3.5"/>
    <x v="1"/>
    <n v="0.25"/>
    <n v="0.75"/>
    <n v="6.6666666666666666E-2"/>
    <n v="0"/>
    <n v="0"/>
    <n v="0"/>
    <n v="3.3053571428571433"/>
    <d v="2021-10-07T00:00:00"/>
    <n v="1"/>
    <s v="UltraSYR"/>
  </r>
  <r>
    <x v="13"/>
    <s v="F"/>
    <n v="5"/>
    <n v="8.01"/>
    <d v="1899-12-30T00:40:52"/>
    <d v="1899-12-30T00:40:52"/>
    <d v="1899-12-30T00:40:52"/>
    <n v="11"/>
    <d v="1899-12-30T00:05:06"/>
    <n v="2.0024999999999999"/>
    <n v="3.5"/>
    <x v="1"/>
    <n v="0.25"/>
    <n v="0.75"/>
    <n v="0"/>
    <n v="0"/>
    <n v="0"/>
    <n v="0"/>
    <n v="3.1256249999999999"/>
    <d v="2021-10-10T00:00:00"/>
    <n v="1"/>
    <s v="All Stars"/>
  </r>
  <r>
    <x v="16"/>
    <s v="M"/>
    <n v="5"/>
    <n v="16.100000000000001"/>
    <d v="1899-12-30T01:25:28"/>
    <d v="1899-12-30T01:25:28"/>
    <d v="1899-12-30T01:25:28"/>
    <n v="29"/>
    <d v="1899-12-30T00:05:19"/>
    <n v="3.8333333333333335"/>
    <n v="2"/>
    <x v="0"/>
    <n v="0.75"/>
    <n v="0.25"/>
    <n v="0"/>
    <n v="0"/>
    <n v="0"/>
    <n v="0"/>
    <n v="3.375"/>
    <d v="2021-10-10T00:00:00"/>
    <n v="1"/>
    <s v="All Stars"/>
  </r>
  <r>
    <x v="17"/>
    <s v="F"/>
    <n v="5"/>
    <n v="20"/>
    <d v="1899-12-30T01:40:58"/>
    <d v="1899-12-30T01:41:26"/>
    <d v="1899-12-30T01:41:12"/>
    <n v="41"/>
    <d v="1899-12-30T00:05:04"/>
    <n v="5"/>
    <n v="3.5"/>
    <x v="0"/>
    <n v="0.75"/>
    <n v="0.25"/>
    <n v="0"/>
    <n v="0"/>
    <n v="0"/>
    <n v="0"/>
    <n v="4.625"/>
    <d v="2021-10-10T00:00:00"/>
    <n v="1"/>
    <s v="All Stars"/>
  </r>
  <r>
    <x v="20"/>
    <s v="M"/>
    <n v="5"/>
    <n v="12.68"/>
    <d v="1899-12-30T00:59:27"/>
    <d v="1899-12-30T01:00:00"/>
    <d v="1899-12-30T00:59:44"/>
    <n v="37"/>
    <d v="1899-12-30T00:04:43"/>
    <n v="3.019047619047619"/>
    <n v="3.5"/>
    <x v="0"/>
    <n v="0.75"/>
    <n v="0.25"/>
    <n v="0"/>
    <n v="0"/>
    <n v="0"/>
    <n v="0"/>
    <n v="3.1392857142857142"/>
    <d v="2021-10-09T00:00:00"/>
    <n v="1"/>
    <s v="All Stars"/>
  </r>
  <r>
    <x v="14"/>
    <s v="M"/>
    <n v="5"/>
    <n v="44.12"/>
    <d v="1899-12-30T04:18:44"/>
    <d v="1899-12-30T04:20:15"/>
    <d v="1899-12-30T04:19:30"/>
    <n v="1297"/>
    <d v="1899-12-30T00:05:53"/>
    <n v="5"/>
    <n v="1.5"/>
    <x v="0"/>
    <n v="0.75"/>
    <n v="0.25"/>
    <n v="0.86466666666666669"/>
    <n v="1.1000000000000001"/>
    <n v="0"/>
    <n v="0"/>
    <n v="6.0896666666666661"/>
    <d v="2021-10-10T00:00:00"/>
    <n v="1"/>
    <s v="UltraSYR"/>
  </r>
  <r>
    <x v="31"/>
    <s v="M"/>
    <n v="5"/>
    <n v="10.02"/>
    <d v="1899-12-30T01:01:17"/>
    <d v="1899-12-30T01:01:17"/>
    <d v="1899-12-30T01:01:17"/>
    <n v="2"/>
    <d v="1899-12-30T00:06:07"/>
    <n v="2.3857142857142857"/>
    <n v="1"/>
    <x v="0"/>
    <n v="0.75"/>
    <n v="0.25"/>
    <n v="0"/>
    <n v="0"/>
    <n v="0"/>
    <n v="0"/>
    <n v="2.0392857142857141"/>
    <d v="2021-10-05T00:00:00"/>
    <n v="1"/>
    <e v="#N/A"/>
  </r>
  <r>
    <x v="21"/>
    <s v="M"/>
    <n v="5"/>
    <n v="11"/>
    <d v="1899-12-30T00:48:45"/>
    <d v="1899-12-30T00:49:01"/>
    <d v="1899-12-30T00:48:53"/>
    <n v="34"/>
    <d v="1899-12-30T00:04:27"/>
    <n v="2.6190476190476191"/>
    <n v="4"/>
    <x v="1"/>
    <n v="0.25"/>
    <n v="0.75"/>
    <n v="0"/>
    <n v="0"/>
    <n v="0"/>
    <n v="0"/>
    <n v="3.6547619047619047"/>
    <d v="2021-10-07T00:00:00"/>
    <n v="1"/>
    <s v="All Stars"/>
  </r>
  <r>
    <x v="33"/>
    <s v="F"/>
    <n v="5"/>
    <n v="12.71"/>
    <d v="1899-12-30T01:20:04"/>
    <d v="1899-12-30T01:30:43"/>
    <d v="1899-12-30T01:25:23"/>
    <n v="28"/>
    <d v="1899-12-30T00:06:43"/>
    <n v="3.1775000000000002"/>
    <n v="1"/>
    <x v="0"/>
    <n v="0.75"/>
    <n v="0.25"/>
    <n v="0"/>
    <n v="0"/>
    <n v="0"/>
    <n v="0"/>
    <n v="2.6331250000000002"/>
    <d v="2021-10-10T00:00:00"/>
    <n v="1"/>
    <e v="#N/A"/>
  </r>
  <r>
    <x v="22"/>
    <s v="M"/>
    <n v="5"/>
    <n v="10.01"/>
    <d v="1899-12-30T00:46:32"/>
    <d v="1899-12-30T00:49:30"/>
    <d v="1899-12-30T00:48:01"/>
    <n v="24"/>
    <d v="1899-12-30T00:04:48"/>
    <n v="2.3833333333333333"/>
    <n v="3"/>
    <x v="0"/>
    <n v="0.75"/>
    <n v="0.25"/>
    <n v="0"/>
    <n v="0"/>
    <n v="0"/>
    <n v="0"/>
    <n v="2.5375000000000001"/>
    <d v="2021-10-05T00:00:00"/>
    <n v="1"/>
    <e v="#N/A"/>
  </r>
  <r>
    <x v="23"/>
    <s v="M"/>
    <n v="5"/>
    <n v="10.01"/>
    <d v="1899-12-30T00:35:43"/>
    <d v="1899-12-30T00:35:43"/>
    <d v="1899-12-30T00:35:43"/>
    <n v="54"/>
    <d v="1899-12-30T00:03:34"/>
    <n v="2.3833333333333333"/>
    <n v="5"/>
    <x v="1"/>
    <n v="0.25"/>
    <n v="0.75"/>
    <n v="3.5999999999999997E-2"/>
    <n v="0"/>
    <n v="3.1500000000000004"/>
    <n v="0"/>
    <n v="7.5318333333333332"/>
    <d v="2021-10-07T00:00:00"/>
    <n v="1"/>
    <s v="All Stars"/>
  </r>
  <r>
    <x v="24"/>
    <s v="M"/>
    <n v="5"/>
    <n v="11.03"/>
    <d v="1899-12-30T00:44:05"/>
    <d v="1899-12-30T00:44:05"/>
    <d v="1899-12-30T00:44:05"/>
    <n v="73"/>
    <d v="1899-12-30T00:04:00"/>
    <n v="2.6261904761904757"/>
    <n v="5"/>
    <x v="1"/>
    <n v="0.25"/>
    <n v="0.75"/>
    <n v="4.8666666666666664E-2"/>
    <n v="0"/>
    <n v="0.15000000000000002"/>
    <n v="0"/>
    <n v="4.6052142857142861"/>
    <d v="2021-10-10T00:00:00"/>
    <n v="1"/>
    <s v="All Stars"/>
  </r>
  <r>
    <x v="34"/>
    <s v="M"/>
    <n v="5"/>
    <n v="7.12"/>
    <d v="1899-12-30T00:32:51"/>
    <d v="1899-12-30T00:32:51"/>
    <d v="1899-12-30T00:32:51"/>
    <n v="17"/>
    <d v="1899-12-30T00:04:37"/>
    <n v="1.6952380952380952"/>
    <n v="3.5"/>
    <x v="0"/>
    <n v="0.75"/>
    <n v="0.25"/>
    <n v="0"/>
    <n v="0"/>
    <n v="0"/>
    <n v="0"/>
    <n v="2.1464285714285714"/>
    <d v="2021-10-07T00:00:00"/>
    <n v="1"/>
    <e v="#N/A"/>
  </r>
  <r>
    <x v="25"/>
    <s v="M"/>
    <n v="5"/>
    <n v="17.47"/>
    <d v="1899-12-30T01:36:57"/>
    <d v="1899-12-30T01:37:03"/>
    <d v="1899-12-30T01:37:00"/>
    <n v="661"/>
    <d v="1899-12-30T00:05:33"/>
    <n v="4.159523809523809"/>
    <n v="1.5"/>
    <x v="1"/>
    <n v="0.25"/>
    <n v="0.75"/>
    <n v="0.44066666666666665"/>
    <n v="0"/>
    <n v="0"/>
    <n v="0"/>
    <n v="2.6055476190476186"/>
    <d v="2021-10-09T00:00:00"/>
    <n v="1"/>
    <s v="All Stars"/>
  </r>
  <r>
    <x v="26"/>
    <s v="M"/>
    <n v="5"/>
    <n v="10.11"/>
    <d v="1899-12-30T00:38:33"/>
    <d v="1899-12-30T00:38:33"/>
    <d v="1899-12-30T00:38:33"/>
    <n v="0"/>
    <d v="1899-12-30T00:03:49"/>
    <n v="2.407142857142857"/>
    <n v="5"/>
    <x v="1"/>
    <n v="0.25"/>
    <n v="0.75"/>
    <n v="0"/>
    <n v="0"/>
    <n v="0.89999999999999991"/>
    <n v="0"/>
    <n v="5.2517857142857149"/>
    <d v="2021-10-06T00:00:00"/>
    <n v="1"/>
    <e v="#N/A"/>
  </r>
  <r>
    <x v="28"/>
    <s v="M"/>
    <n v="5"/>
    <n v="70.41"/>
    <d v="1899-12-30T06:32:36"/>
    <d v="1899-12-30T07:27:26"/>
    <d v="1899-12-30T07:00:01"/>
    <n v="374"/>
    <d v="1899-12-30T00:05:58"/>
    <n v="5"/>
    <n v="1.5"/>
    <x v="0"/>
    <n v="0.75"/>
    <n v="0.25"/>
    <n v="0.24933333333333332"/>
    <n v="2.4"/>
    <n v="0"/>
    <n v="0"/>
    <n v="6.7743333333333329"/>
    <d v="2021-10-08T00:00:00"/>
    <n v="1"/>
    <s v="UltraSYR"/>
  </r>
  <r>
    <x v="29"/>
    <s v="F"/>
    <n v="5"/>
    <n v="3.01"/>
    <d v="1899-12-30T00:12:48"/>
    <d v="1899-12-30T00:12:52"/>
    <d v="1899-12-30T00:12:50"/>
    <n v="20"/>
    <d v="1899-12-30T00:04:16"/>
    <n v="0.75249999999999995"/>
    <n v="5"/>
    <x v="1"/>
    <n v="0.25"/>
    <n v="0.75"/>
    <n v="0"/>
    <n v="0"/>
    <n v="1.4999999999999998"/>
    <n v="0"/>
    <n v="5.4381249999999994"/>
    <d v="2021-10-10T00:00:00"/>
    <n v="1"/>
    <s v="UltraSYR"/>
  </r>
  <r>
    <x v="23"/>
    <s v="M"/>
    <s v="P1"/>
    <m/>
    <m/>
    <m/>
    <m/>
    <m/>
    <m/>
    <m/>
    <m/>
    <x v="3"/>
    <m/>
    <m/>
    <m/>
    <m/>
    <m/>
    <m/>
    <n v="3.625"/>
    <m/>
    <n v="1"/>
    <s v="All Stars"/>
  </r>
  <r>
    <x v="17"/>
    <s v="F"/>
    <s v="P1"/>
    <m/>
    <m/>
    <m/>
    <m/>
    <m/>
    <m/>
    <m/>
    <m/>
    <x v="3"/>
    <m/>
    <m/>
    <m/>
    <m/>
    <m/>
    <m/>
    <n v="2.5"/>
    <m/>
    <n v="1"/>
    <s v="All Stars"/>
  </r>
  <r>
    <x v="24"/>
    <s v="M"/>
    <s v="P1"/>
    <m/>
    <m/>
    <m/>
    <m/>
    <m/>
    <m/>
    <m/>
    <m/>
    <x v="3"/>
    <m/>
    <m/>
    <m/>
    <m/>
    <m/>
    <m/>
    <n v="1"/>
    <m/>
    <n v="1"/>
    <s v="All Stars"/>
  </r>
  <r>
    <x v="2"/>
    <s v="M"/>
    <s v="P1"/>
    <m/>
    <m/>
    <m/>
    <m/>
    <m/>
    <m/>
    <m/>
    <m/>
    <x v="3"/>
    <m/>
    <m/>
    <m/>
    <m/>
    <m/>
    <m/>
    <n v="4.4375"/>
    <m/>
    <n v="1"/>
    <s v="UltraSYR"/>
  </r>
  <r>
    <x v="14"/>
    <s v="M"/>
    <s v="P1"/>
    <m/>
    <m/>
    <m/>
    <m/>
    <m/>
    <m/>
    <m/>
    <m/>
    <x v="3"/>
    <m/>
    <m/>
    <m/>
    <m/>
    <m/>
    <m/>
    <n v="4.375"/>
    <m/>
    <n v="1"/>
    <s v="UltraSYR"/>
  </r>
  <r>
    <x v="29"/>
    <s v="F"/>
    <s v="P1"/>
    <m/>
    <m/>
    <m/>
    <m/>
    <m/>
    <m/>
    <m/>
    <m/>
    <x v="3"/>
    <m/>
    <m/>
    <m/>
    <m/>
    <m/>
    <m/>
    <n v="2.25"/>
    <m/>
    <n v="1"/>
    <s v="UltraSYR"/>
  </r>
  <r>
    <x v="4"/>
    <s v="M"/>
    <s v="P1"/>
    <m/>
    <m/>
    <m/>
    <m/>
    <m/>
    <m/>
    <m/>
    <m/>
    <x v="3"/>
    <m/>
    <m/>
    <m/>
    <m/>
    <m/>
    <m/>
    <n v="3.875"/>
    <m/>
    <n v="1"/>
    <s v="UltraSYR"/>
  </r>
  <r>
    <x v="28"/>
    <s v="M"/>
    <s v="P1"/>
    <m/>
    <m/>
    <m/>
    <m/>
    <m/>
    <m/>
    <m/>
    <m/>
    <x v="3"/>
    <m/>
    <m/>
    <m/>
    <m/>
    <m/>
    <m/>
    <n v="2.5625"/>
    <m/>
    <n v="1"/>
    <s v="UltraSYR"/>
  </r>
  <r>
    <x v="26"/>
    <s v="M"/>
    <s v="P1"/>
    <m/>
    <m/>
    <m/>
    <m/>
    <m/>
    <m/>
    <m/>
    <m/>
    <x v="3"/>
    <m/>
    <m/>
    <m/>
    <m/>
    <m/>
    <m/>
    <n v="3.25"/>
    <m/>
    <n v="1"/>
    <e v="#N/A"/>
  </r>
  <r>
    <x v="9"/>
    <s v="M"/>
    <s v="P1"/>
    <m/>
    <m/>
    <m/>
    <m/>
    <m/>
    <m/>
    <m/>
    <m/>
    <x v="3"/>
    <m/>
    <m/>
    <m/>
    <m/>
    <m/>
    <m/>
    <n v="3.5"/>
    <m/>
    <n v="1"/>
    <s v="UltraSYR"/>
  </r>
  <r>
    <x v="21"/>
    <s v="M"/>
    <s v="P1"/>
    <m/>
    <m/>
    <m/>
    <m/>
    <m/>
    <m/>
    <m/>
    <m/>
    <x v="3"/>
    <m/>
    <m/>
    <m/>
    <m/>
    <m/>
    <m/>
    <n v="3.1875"/>
    <m/>
    <n v="1"/>
    <s v="All Stars"/>
  </r>
  <r>
    <x v="25"/>
    <s v="M"/>
    <s v="P1"/>
    <m/>
    <m/>
    <m/>
    <m/>
    <m/>
    <m/>
    <m/>
    <m/>
    <x v="3"/>
    <m/>
    <m/>
    <m/>
    <m/>
    <m/>
    <m/>
    <n v="2.375"/>
    <m/>
    <n v="1"/>
    <s v="All Stars"/>
  </r>
  <r>
    <x v="8"/>
    <s v="M"/>
    <s v="P1"/>
    <m/>
    <m/>
    <m/>
    <m/>
    <m/>
    <m/>
    <m/>
    <m/>
    <x v="3"/>
    <m/>
    <m/>
    <m/>
    <m/>
    <m/>
    <m/>
    <n v="3.3125"/>
    <m/>
    <n v="1"/>
    <e v="#N/A"/>
  </r>
  <r>
    <x v="6"/>
    <s v="M"/>
    <s v="P1"/>
    <m/>
    <m/>
    <m/>
    <m/>
    <m/>
    <m/>
    <m/>
    <m/>
    <x v="3"/>
    <m/>
    <m/>
    <m/>
    <m/>
    <m/>
    <m/>
    <n v="0.8125"/>
    <m/>
    <n v="1"/>
    <s v="All Stars"/>
  </r>
  <r>
    <x v="16"/>
    <s v="M"/>
    <s v="P1"/>
    <m/>
    <m/>
    <m/>
    <m/>
    <m/>
    <m/>
    <m/>
    <m/>
    <x v="3"/>
    <m/>
    <m/>
    <m/>
    <m/>
    <m/>
    <m/>
    <n v="1.1875"/>
    <m/>
    <n v="1"/>
    <s v="All Stars"/>
  </r>
  <r>
    <x v="0"/>
    <s v="M"/>
    <s v="P1"/>
    <m/>
    <m/>
    <m/>
    <m/>
    <m/>
    <m/>
    <m/>
    <m/>
    <x v="3"/>
    <m/>
    <m/>
    <m/>
    <m/>
    <m/>
    <m/>
    <n v="1.8333333333333333"/>
    <m/>
    <n v="1"/>
    <s v="All Stars"/>
  </r>
  <r>
    <x v="22"/>
    <s v="M"/>
    <s v="P1"/>
    <m/>
    <m/>
    <m/>
    <m/>
    <m/>
    <m/>
    <m/>
    <m/>
    <x v="3"/>
    <m/>
    <m/>
    <m/>
    <m/>
    <m/>
    <m/>
    <n v="0.625"/>
    <m/>
    <n v="1"/>
    <e v="#N/A"/>
  </r>
  <r>
    <x v="11"/>
    <s v="M"/>
    <s v="P1"/>
    <m/>
    <m/>
    <m/>
    <m/>
    <m/>
    <m/>
    <m/>
    <m/>
    <x v="3"/>
    <m/>
    <m/>
    <m/>
    <m/>
    <m/>
    <m/>
    <n v="2"/>
    <m/>
    <n v="1"/>
    <s v="UltraSYR"/>
  </r>
  <r>
    <x v="13"/>
    <s v="F"/>
    <s v="P1"/>
    <m/>
    <m/>
    <m/>
    <m/>
    <m/>
    <m/>
    <m/>
    <m/>
    <x v="3"/>
    <m/>
    <m/>
    <m/>
    <m/>
    <m/>
    <m/>
    <n v="2"/>
    <m/>
    <n v="1"/>
    <s v="All Stars"/>
  </r>
  <r>
    <x v="15"/>
    <s v="M"/>
    <s v="P1"/>
    <m/>
    <m/>
    <m/>
    <m/>
    <m/>
    <m/>
    <m/>
    <m/>
    <x v="3"/>
    <m/>
    <m/>
    <m/>
    <m/>
    <m/>
    <m/>
    <n v="2.0625"/>
    <m/>
    <n v="1"/>
    <e v="#N/A"/>
  </r>
  <r>
    <x v="20"/>
    <s v="M"/>
    <s v="P1"/>
    <m/>
    <m/>
    <m/>
    <m/>
    <m/>
    <m/>
    <m/>
    <m/>
    <x v="3"/>
    <m/>
    <m/>
    <m/>
    <m/>
    <m/>
    <m/>
    <n v="3.375"/>
    <m/>
    <n v="1"/>
    <s v="All Stars"/>
  </r>
  <r>
    <x v="3"/>
    <s v="F"/>
    <s v="P1"/>
    <m/>
    <m/>
    <m/>
    <m/>
    <m/>
    <m/>
    <m/>
    <m/>
    <x v="3"/>
    <m/>
    <m/>
    <m/>
    <m/>
    <m/>
    <m/>
    <n v="3.625"/>
    <m/>
    <n v="1"/>
    <s v="All Stars"/>
  </r>
  <r>
    <x v="1"/>
    <s v="M"/>
    <s v="P1"/>
    <m/>
    <m/>
    <m/>
    <m/>
    <m/>
    <m/>
    <m/>
    <m/>
    <x v="3"/>
    <m/>
    <m/>
    <m/>
    <m/>
    <m/>
    <m/>
    <n v="3.5"/>
    <m/>
    <n v="1"/>
    <s v="UltraSYR"/>
  </r>
  <r>
    <x v="10"/>
    <s v="F"/>
    <s v="P1"/>
    <m/>
    <m/>
    <m/>
    <m/>
    <m/>
    <m/>
    <m/>
    <m/>
    <x v="3"/>
    <m/>
    <m/>
    <m/>
    <m/>
    <m/>
    <m/>
    <n v="1.8125"/>
    <m/>
    <n v="1"/>
    <s v="UltraSYR"/>
  </r>
  <r>
    <x v="5"/>
    <s v="F"/>
    <s v="P1"/>
    <m/>
    <m/>
    <m/>
    <m/>
    <m/>
    <m/>
    <m/>
    <m/>
    <x v="3"/>
    <m/>
    <m/>
    <m/>
    <m/>
    <m/>
    <m/>
    <n v="4.0625"/>
    <m/>
    <n v="1"/>
    <s v="UltraSYR"/>
  </r>
  <r>
    <x v="32"/>
    <s v="M"/>
    <s v="P1"/>
    <m/>
    <m/>
    <m/>
    <m/>
    <m/>
    <m/>
    <m/>
    <m/>
    <x v="3"/>
    <m/>
    <m/>
    <m/>
    <m/>
    <m/>
    <m/>
    <n v="2.3125"/>
    <m/>
    <n v="1"/>
    <e v="#N/A"/>
  </r>
  <r>
    <x v="27"/>
    <s v="M"/>
    <s v="P1"/>
    <m/>
    <m/>
    <m/>
    <m/>
    <m/>
    <m/>
    <m/>
    <m/>
    <x v="3"/>
    <m/>
    <m/>
    <m/>
    <m/>
    <m/>
    <m/>
    <n v="2.125"/>
    <m/>
    <n v="1"/>
    <s v="All Stars"/>
  </r>
  <r>
    <x v="7"/>
    <s v="F"/>
    <s v="P1"/>
    <m/>
    <m/>
    <m/>
    <m/>
    <m/>
    <m/>
    <m/>
    <m/>
    <x v="3"/>
    <m/>
    <m/>
    <m/>
    <m/>
    <m/>
    <m/>
    <n v="3"/>
    <m/>
    <n v="1"/>
    <e v="#N/A"/>
  </r>
  <r>
    <x v="33"/>
    <s v="F"/>
    <s v="P1"/>
    <m/>
    <m/>
    <m/>
    <m/>
    <m/>
    <m/>
    <m/>
    <m/>
    <x v="3"/>
    <m/>
    <m/>
    <m/>
    <m/>
    <m/>
    <m/>
    <n v="2.625"/>
    <m/>
    <n v="1"/>
    <e v="#N/A"/>
  </r>
  <r>
    <x v="12"/>
    <s v="M"/>
    <s v="P1"/>
    <m/>
    <m/>
    <m/>
    <m/>
    <m/>
    <m/>
    <m/>
    <m/>
    <x v="3"/>
    <m/>
    <m/>
    <m/>
    <m/>
    <m/>
    <m/>
    <n v="1.4375"/>
    <m/>
    <n v="1"/>
    <s v="UltraSYR"/>
  </r>
  <r>
    <x v="30"/>
    <s v="M"/>
    <s v="P1"/>
    <m/>
    <m/>
    <m/>
    <m/>
    <m/>
    <m/>
    <m/>
    <m/>
    <x v="3"/>
    <m/>
    <m/>
    <m/>
    <m/>
    <m/>
    <m/>
    <n v="2.0625"/>
    <m/>
    <n v="1"/>
    <e v="#N/A"/>
  </r>
  <r>
    <x v="19"/>
    <s v="F"/>
    <s v="P1"/>
    <m/>
    <m/>
    <m/>
    <m/>
    <m/>
    <m/>
    <m/>
    <m/>
    <x v="3"/>
    <m/>
    <m/>
    <m/>
    <m/>
    <m/>
    <m/>
    <n v="0.3125"/>
    <m/>
    <n v="1"/>
    <s v="All Stars"/>
  </r>
  <r>
    <x v="34"/>
    <s v="M"/>
    <s v="P1"/>
    <m/>
    <m/>
    <m/>
    <m/>
    <m/>
    <m/>
    <m/>
    <m/>
    <x v="3"/>
    <m/>
    <m/>
    <m/>
    <m/>
    <m/>
    <m/>
    <n v="2.25"/>
    <m/>
    <n v="1"/>
    <e v="#N/A"/>
  </r>
  <r>
    <x v="18"/>
    <s v="M"/>
    <s v="P1"/>
    <m/>
    <m/>
    <m/>
    <m/>
    <m/>
    <m/>
    <m/>
    <m/>
    <x v="3"/>
    <m/>
    <m/>
    <m/>
    <m/>
    <m/>
    <m/>
    <n v="1.8125"/>
    <m/>
    <n v="1"/>
    <s v="UltraSYR"/>
  </r>
  <r>
    <x v="31"/>
    <s v="M"/>
    <s v="P1"/>
    <m/>
    <m/>
    <m/>
    <m/>
    <m/>
    <m/>
    <m/>
    <m/>
    <x v="3"/>
    <m/>
    <m/>
    <m/>
    <m/>
    <m/>
    <m/>
    <n v="1.75"/>
    <m/>
    <n v="1"/>
    <e v="#N/A"/>
  </r>
  <r>
    <x v="23"/>
    <s v="M"/>
    <n v="6"/>
    <n v="33.21"/>
    <d v="1899-12-30T02:26:21"/>
    <d v="1899-12-30T02:27:37"/>
    <d v="1899-12-30T02:26:59"/>
    <n v="606"/>
    <d v="1899-12-30T00:04:26"/>
    <n v="5"/>
    <n v="4"/>
    <x v="0"/>
    <n v="0.75"/>
    <n v="0.25"/>
    <n v="0.40400000000000003"/>
    <n v="0.6"/>
    <n v="0"/>
    <n v="0"/>
    <n v="5.7539999999999996"/>
    <d v="2021-10-12T00:00:00"/>
    <n v="1"/>
    <s v="All Stars"/>
  </r>
  <r>
    <x v="17"/>
    <s v="F"/>
    <n v="6"/>
    <n v="21.88"/>
    <d v="1899-12-30T02:05:42"/>
    <d v="1899-12-30T02:05:48"/>
    <d v="1899-12-30T02:05:45"/>
    <n v="731"/>
    <d v="1899-12-30T00:05:45"/>
    <n v="5"/>
    <n v="2.5"/>
    <x v="0"/>
    <n v="0.75"/>
    <n v="0.25"/>
    <n v="0.48733333333333334"/>
    <n v="0"/>
    <n v="0"/>
    <n v="0"/>
    <n v="4.862333333333333"/>
    <d v="2021-10-17T00:00:00"/>
    <n v="1"/>
    <s v="All Stars"/>
  </r>
  <r>
    <x v="24"/>
    <s v="M"/>
    <n v="6"/>
    <n v="20.88"/>
    <d v="1899-12-30T01:34:36"/>
    <d v="1899-12-30T01:34:39"/>
    <d v="1899-12-30T01:34:38"/>
    <n v="596"/>
    <d v="1899-12-30T00:04:32"/>
    <n v="4.9714285714285706"/>
    <n v="3.5"/>
    <x v="0"/>
    <n v="0.75"/>
    <n v="0.25"/>
    <n v="0.39733333333333332"/>
    <n v="0"/>
    <n v="0"/>
    <n v="0"/>
    <n v="5.0009047619047609"/>
    <d v="2021-10-17T00:00:00"/>
    <n v="1"/>
    <s v="All Stars"/>
  </r>
  <r>
    <x v="2"/>
    <s v="M"/>
    <n v="6"/>
    <n v="36.79"/>
    <d v="1899-12-30T04:29:24"/>
    <d v="1899-12-30T04:46:44"/>
    <d v="1899-12-30T04:38:04"/>
    <n v="1426"/>
    <d v="1899-12-30T00:07:33"/>
    <n v="5"/>
    <n v="1"/>
    <x v="0"/>
    <n v="0.75"/>
    <n v="0.25"/>
    <n v="0.95066666666666666"/>
    <n v="0.7"/>
    <n v="0"/>
    <n v="0"/>
    <n v="5.6506666666666669"/>
    <d v="2021-10-16T00:00:00"/>
    <n v="1"/>
    <s v="UltraSYR"/>
  </r>
  <r>
    <x v="14"/>
    <s v="M"/>
    <n v="6"/>
    <m/>
    <m/>
    <m/>
    <e v="#DIV/0!"/>
    <m/>
    <e v="#DIV/0!"/>
    <n v="0"/>
    <n v="0"/>
    <x v="1"/>
    <n v="0.25"/>
    <n v="0.75"/>
    <n v="0"/>
    <n v="0"/>
    <n v="0"/>
    <n v="0"/>
    <n v="0"/>
    <m/>
    <n v="1"/>
    <s v="UltraSYR"/>
  </r>
  <r>
    <x v="29"/>
    <s v="F"/>
    <n v="6"/>
    <n v="20.87"/>
    <d v="1899-12-30T01:49:45"/>
    <d v="1899-12-30T01:53:36"/>
    <d v="1899-12-30T01:51:40"/>
    <n v="590"/>
    <d v="1899-12-30T00:05:21"/>
    <n v="5"/>
    <n v="3"/>
    <x v="0"/>
    <n v="0.75"/>
    <n v="0.25"/>
    <n v="0.39333333333333331"/>
    <n v="0"/>
    <n v="0"/>
    <n v="0"/>
    <n v="4.8933333333333335"/>
    <d v="2021-10-17T00:00:00"/>
    <n v="1"/>
    <s v="UltraSYR"/>
  </r>
  <r>
    <x v="4"/>
    <s v="M"/>
    <n v="6"/>
    <n v="38.18"/>
    <d v="1899-12-30T07:07:02"/>
    <d v="1899-12-30T07:58:37"/>
    <d v="1899-12-30T07:32:50"/>
    <n v="1877"/>
    <d v="1899-12-30T00:11:52"/>
    <n v="5"/>
    <n v="0"/>
    <x v="1"/>
    <n v="0.25"/>
    <n v="0.75"/>
    <n v="1.2513333333333334"/>
    <n v="0.8"/>
    <n v="0"/>
    <n v="0.4"/>
    <n v="3.7013333333333329"/>
    <d v="2021-10-16T00:00:00"/>
    <n v="1"/>
    <s v="UltraSYR"/>
  </r>
  <r>
    <x v="28"/>
    <s v="M"/>
    <n v="6"/>
    <n v="3.01"/>
    <d v="1899-12-30T00:11:28"/>
    <d v="1899-12-30T00:11:28"/>
    <d v="1899-12-30T00:11:28"/>
    <n v="3"/>
    <d v="1899-12-30T00:03:49"/>
    <n v="0.71666666666666656"/>
    <n v="5"/>
    <x v="1"/>
    <n v="0.25"/>
    <n v="0.75"/>
    <n v="0"/>
    <n v="0"/>
    <n v="0.89999999999999991"/>
    <n v="0"/>
    <n v="4.8291666666666666"/>
    <d v="2021-10-17T00:00:00"/>
    <n v="1"/>
    <s v="UltraSYR"/>
  </r>
  <r>
    <x v="26"/>
    <s v="M"/>
    <n v="6"/>
    <n v="22.28"/>
    <d v="1899-12-30T01:43:14"/>
    <d v="1899-12-30T01:45:50"/>
    <d v="1899-12-30T01:44:32"/>
    <n v="16"/>
    <d v="1899-12-30T00:04:42"/>
    <n v="5"/>
    <n v="3.5"/>
    <x v="0"/>
    <n v="0.75"/>
    <n v="0.25"/>
    <n v="0"/>
    <n v="0"/>
    <n v="0"/>
    <n v="0"/>
    <n v="4.625"/>
    <d v="2021-10-17T00:00:00"/>
    <n v="1"/>
    <e v="#N/A"/>
  </r>
  <r>
    <x v="9"/>
    <s v="M"/>
    <n v="6"/>
    <n v="43.2"/>
    <d v="1899-12-30T04:06:57"/>
    <d v="1899-12-30T04:12:56"/>
    <d v="1899-12-30T04:09:57"/>
    <n v="27"/>
    <d v="1899-12-30T00:05:47"/>
    <n v="5"/>
    <n v="1.5"/>
    <x v="0"/>
    <n v="0.75"/>
    <n v="0.25"/>
    <n v="0"/>
    <n v="1.1000000000000001"/>
    <n v="0"/>
    <n v="0"/>
    <n v="5.2249999999999996"/>
    <d v="2021-10-16T00:00:00"/>
    <n v="1"/>
    <s v="UltraSYR"/>
  </r>
  <r>
    <x v="21"/>
    <s v="M"/>
    <n v="6"/>
    <n v="12.12"/>
    <d v="1899-12-30T00:57:48"/>
    <d v="1899-12-30T00:58:54"/>
    <d v="1899-12-30T00:58:21"/>
    <n v="17"/>
    <d v="1899-12-30T00:04:49"/>
    <n v="2.8857142857142852"/>
    <n v="3"/>
    <x v="0"/>
    <n v="0.75"/>
    <n v="0.25"/>
    <n v="0"/>
    <n v="0"/>
    <n v="0"/>
    <n v="0"/>
    <n v="2.9142857142857137"/>
    <d v="2021-10-17T00:00:00"/>
    <n v="1"/>
    <s v="All Stars"/>
  </r>
  <r>
    <x v="8"/>
    <s v="M"/>
    <n v="6"/>
    <n v="13.03"/>
    <d v="1899-12-30T01:00:00"/>
    <d v="1899-12-30T01:14:24"/>
    <d v="1899-12-30T01:07:12"/>
    <n v="35"/>
    <d v="1899-12-30T00:05:09"/>
    <n v="3.102380952380952"/>
    <n v="2.5"/>
    <x v="1"/>
    <n v="0.25"/>
    <n v="0.75"/>
    <n v="0"/>
    <n v="0"/>
    <n v="0"/>
    <n v="0"/>
    <n v="2.6505952380952378"/>
    <d v="2021-10-13T00:00:00"/>
    <n v="1"/>
    <e v="#N/A"/>
  </r>
  <r>
    <x v="6"/>
    <s v="M"/>
    <n v="6"/>
    <n v="21.89"/>
    <d v="1899-12-30T02:22:32"/>
    <d v="1899-12-30T02:22:48"/>
    <d v="1899-12-30T02:22:40"/>
    <n v="827"/>
    <d v="1899-12-30T00:06:31"/>
    <n v="5"/>
    <n v="1"/>
    <x v="0"/>
    <n v="0.75"/>
    <n v="0.25"/>
    <n v="0.55133333333333334"/>
    <n v="0"/>
    <n v="0"/>
    <n v="0"/>
    <n v="4.551333333333333"/>
    <d v="2021-10-16T00:00:00"/>
    <n v="1"/>
    <s v="All Stars"/>
  </r>
  <r>
    <x v="0"/>
    <s v="M"/>
    <n v="6"/>
    <n v="19.02"/>
    <d v="1899-12-30T01:24:28"/>
    <d v="1899-12-30T01:24:28"/>
    <d v="1899-12-30T01:24:28"/>
    <n v="0"/>
    <d v="1899-12-30T00:04:26"/>
    <n v="4.5285714285714285"/>
    <n v="4"/>
    <x v="0"/>
    <n v="0.75"/>
    <n v="0.25"/>
    <n v="0"/>
    <n v="0"/>
    <n v="0"/>
    <n v="0"/>
    <n v="4.3964285714285714"/>
    <d v="2021-10-17T00:00:00"/>
    <n v="1"/>
    <s v="All Stars"/>
  </r>
  <r>
    <x v="11"/>
    <s v="M"/>
    <n v="6"/>
    <n v="5"/>
    <d v="1899-12-30T00:22:36"/>
    <d v="1899-12-30T00:22:36"/>
    <d v="1899-12-30T00:22:36"/>
    <n v="0"/>
    <d v="1899-12-30T00:04:31"/>
    <n v="1.1904761904761905"/>
    <n v="3.5"/>
    <x v="1"/>
    <n v="0.25"/>
    <n v="0.75"/>
    <n v="0"/>
    <n v="0"/>
    <n v="0"/>
    <n v="0"/>
    <n v="2.9226190476190474"/>
    <d v="2021-10-13T00:00:00"/>
    <n v="1"/>
    <s v="UltraSYR"/>
  </r>
  <r>
    <x v="13"/>
    <s v="F"/>
    <n v="6"/>
    <n v="6.56"/>
    <d v="1899-12-30T00:53:21"/>
    <d v="1899-12-30T01:05:58"/>
    <d v="1899-12-30T00:59:40"/>
    <n v="101"/>
    <d v="1899-12-30T00:09:06"/>
    <n v="1.64"/>
    <n v="0"/>
    <x v="1"/>
    <n v="0.25"/>
    <n v="0.75"/>
    <n v="6.7333333333333328E-2"/>
    <n v="0"/>
    <n v="0"/>
    <n v="0"/>
    <n v="0.47733333333333328"/>
    <d v="2021-10-14T00:00:00"/>
    <n v="1"/>
    <s v="All Stars"/>
  </r>
  <r>
    <x v="15"/>
    <s v="M"/>
    <n v="6"/>
    <n v="21.44"/>
    <d v="1899-12-30T02:19:01"/>
    <d v="1899-12-30T02:29:31"/>
    <d v="1899-12-30T02:24:16"/>
    <n v="75"/>
    <d v="1899-12-30T00:06:44"/>
    <n v="5"/>
    <n v="1"/>
    <x v="1"/>
    <n v="0.25"/>
    <n v="0.75"/>
    <n v="0.05"/>
    <n v="0"/>
    <n v="0"/>
    <n v="0"/>
    <n v="2.0499999999999998"/>
    <d v="2021-10-17T00:00:00"/>
    <n v="1"/>
    <e v="#N/A"/>
  </r>
  <r>
    <x v="20"/>
    <s v="M"/>
    <n v="6"/>
    <n v="22.19"/>
    <d v="1899-12-30T02:47:11"/>
    <d v="1899-12-30T03:44:05"/>
    <d v="1899-12-30T03:15:38"/>
    <n v="1183"/>
    <d v="1899-12-30T00:08:49"/>
    <n v="5"/>
    <n v="0"/>
    <x v="0"/>
    <n v="0.75"/>
    <n v="0.25"/>
    <n v="0.78866666666666663"/>
    <n v="0"/>
    <n v="0"/>
    <n v="0"/>
    <n v="4.5386666666666668"/>
    <d v="2021-10-16T00:00:00"/>
    <n v="1"/>
    <s v="All Stars"/>
  </r>
  <r>
    <x v="10"/>
    <s v="F"/>
    <n v="6"/>
    <n v="15.01"/>
    <d v="1899-12-30T01:27:00"/>
    <d v="1899-12-30T01:32:28"/>
    <d v="1899-12-30T01:29:44"/>
    <n v="8"/>
    <d v="1899-12-30T00:05:59"/>
    <n v="3.7524999999999999"/>
    <n v="2"/>
    <x v="0"/>
    <n v="0.75"/>
    <n v="0.25"/>
    <n v="0"/>
    <n v="0"/>
    <n v="0"/>
    <n v="0"/>
    <n v="3.3143750000000001"/>
    <d v="2021-10-17T00:00:00"/>
    <n v="1"/>
    <s v="UltraSYR"/>
  </r>
  <r>
    <x v="5"/>
    <s v="F"/>
    <n v="6"/>
    <n v="21.64"/>
    <d v="1899-12-30T03:12:00"/>
    <d v="1899-12-30T03:22:56"/>
    <d v="1899-12-30T03:17:28"/>
    <n v="895"/>
    <d v="1899-12-30T00:09:08"/>
    <n v="5"/>
    <n v="0"/>
    <x v="0"/>
    <n v="0.75"/>
    <n v="0.25"/>
    <n v="0.59666666666666668"/>
    <n v="0"/>
    <n v="0"/>
    <n v="0"/>
    <n v="4.3466666666666667"/>
    <d v="2021-10-16T00:00:00"/>
    <n v="1"/>
    <s v="UltraSYR"/>
  </r>
  <r>
    <x v="27"/>
    <s v="M"/>
    <n v="6"/>
    <n v="3"/>
    <d v="1899-12-30T00:13:13"/>
    <d v="1899-12-30T00:13:13"/>
    <d v="1899-12-30T00:13:13"/>
    <n v="17"/>
    <d v="1899-12-30T00:04:24"/>
    <n v="0.7142857142857143"/>
    <n v="4"/>
    <x v="1"/>
    <n v="0.25"/>
    <n v="0.75"/>
    <n v="0"/>
    <n v="0"/>
    <n v="0"/>
    <n v="0"/>
    <n v="3.1785714285714284"/>
    <d v="2021-10-14T00:00:00"/>
    <n v="1"/>
    <s v="All Stars"/>
  </r>
  <r>
    <x v="33"/>
    <s v="F"/>
    <n v="6"/>
    <n v="6.17"/>
    <d v="1899-12-30T00:38:43"/>
    <d v="1899-12-30T00:38:43"/>
    <d v="1899-12-30T00:38:43"/>
    <n v="25"/>
    <d v="1899-12-30T00:06:16"/>
    <n v="1.5425"/>
    <n v="1.5"/>
    <x v="1"/>
    <n v="0.25"/>
    <n v="0.75"/>
    <n v="0"/>
    <n v="0"/>
    <n v="0"/>
    <n v="0"/>
    <n v="1.5106250000000001"/>
    <d v="2021-10-17T00:00:00"/>
    <n v="1"/>
    <e v="#N/A"/>
  </r>
  <r>
    <x v="12"/>
    <s v="M"/>
    <n v="6"/>
    <n v="12.64"/>
    <d v="1899-12-30T01:14:13"/>
    <d v="1899-12-30T01:49:15"/>
    <d v="1899-12-30T01:31:44"/>
    <n v="130"/>
    <d v="1899-12-30T00:07:15"/>
    <n v="3.0095238095238095"/>
    <n v="1"/>
    <x v="0"/>
    <n v="0.75"/>
    <n v="0.25"/>
    <n v="8.666666666666667E-2"/>
    <n v="0"/>
    <n v="0"/>
    <n v="0.4"/>
    <n v="2.9938095238095239"/>
    <d v="2021-10-14T00:00:00"/>
    <n v="1"/>
    <s v="UltraSYR"/>
  </r>
  <r>
    <x v="30"/>
    <s v="M"/>
    <n v="6"/>
    <n v="10.18"/>
    <d v="1899-12-30T00:55:17"/>
    <d v="1899-12-30T00:56:16"/>
    <d v="1899-12-30T00:55:46"/>
    <n v="0"/>
    <d v="1899-12-30T00:05:29"/>
    <n v="2.4238095238095236"/>
    <n v="2"/>
    <x v="1"/>
    <n v="0.25"/>
    <n v="0.75"/>
    <n v="0"/>
    <n v="0"/>
    <n v="0"/>
    <n v="0"/>
    <n v="2.105952380952381"/>
    <d v="2021-10-17T00:00:00"/>
    <n v="1"/>
    <e v="#N/A"/>
  </r>
  <r>
    <x v="19"/>
    <s v="F"/>
    <n v="6"/>
    <n v="6.17"/>
    <d v="1899-12-30T00:59:32"/>
    <d v="1899-12-30T01:00:02"/>
    <d v="1899-12-30T00:59:47"/>
    <n v="25"/>
    <d v="1899-12-30T00:09:41"/>
    <n v="1.5425"/>
    <n v="0"/>
    <x v="1"/>
    <n v="0.25"/>
    <n v="0.75"/>
    <n v="0"/>
    <n v="0"/>
    <n v="0"/>
    <n v="0.4"/>
    <n v="0.78562500000000002"/>
    <d v="2021-10-12T00:00:00"/>
    <n v="1"/>
    <s v="All Stars"/>
  </r>
  <r>
    <x v="25"/>
    <s v="M"/>
    <n v="6"/>
    <m/>
    <m/>
    <m/>
    <m/>
    <m/>
    <m/>
    <m/>
    <m/>
    <x v="2"/>
    <m/>
    <m/>
    <m/>
    <m/>
    <m/>
    <m/>
    <n v="1.5"/>
    <m/>
    <n v="1"/>
    <s v="All Stars"/>
  </r>
  <r>
    <x v="18"/>
    <s v="M"/>
    <n v="6"/>
    <n v="5"/>
    <d v="1899-12-30T00:27:19"/>
    <d v="1899-12-30T00:27:23"/>
    <d v="1899-12-30T00:27:21"/>
    <n v="2"/>
    <d v="1899-12-30T00:05:28"/>
    <n v="1.1904761904761905"/>
    <n v="2"/>
    <x v="1"/>
    <n v="0.25"/>
    <n v="0.75"/>
    <n v="0"/>
    <n v="0"/>
    <n v="0"/>
    <n v="0"/>
    <n v="1.7976190476190477"/>
    <d v="2021-10-16T00:00:00"/>
    <n v="1"/>
    <s v="UltraSYR"/>
  </r>
  <r>
    <x v="31"/>
    <s v="M"/>
    <n v="6"/>
    <n v="10.039999999999999"/>
    <d v="1899-12-30T01:07:26"/>
    <d v="1899-12-30T01:12:53"/>
    <d v="1899-12-30T01:10:10"/>
    <n v="0"/>
    <d v="1899-12-30T00:06:59"/>
    <n v="2.39047619047619"/>
    <n v="1"/>
    <x v="1"/>
    <n v="0.25"/>
    <n v="0.75"/>
    <n v="0"/>
    <n v="0"/>
    <n v="0"/>
    <n v="0"/>
    <n v="1.3476190476190475"/>
    <d v="2021-10-12T00:00:00"/>
    <n v="1"/>
    <e v="#N/A"/>
  </r>
  <r>
    <x v="23"/>
    <s v="M"/>
    <n v="7"/>
    <n v="10.01"/>
    <d v="1899-12-30T00:35:11"/>
    <d v="1899-12-30T00:35:11"/>
    <d v="1899-12-30T00:35:11"/>
    <n v="52"/>
    <d v="1899-12-30T00:03:31"/>
    <n v="2.3833333333333333"/>
    <n v="5"/>
    <x v="1"/>
    <n v="0.25"/>
    <n v="0.75"/>
    <n v="3.4666666666666665E-2"/>
    <n v="0"/>
    <n v="4.1999999999999993"/>
    <n v="0"/>
    <n v="8.5804999999999989"/>
    <d v="2021-10-19T00:00:00"/>
    <n v="1"/>
    <s v="All Stars"/>
  </r>
  <r>
    <x v="17"/>
    <s v="F"/>
    <n v="7"/>
    <n v="2.5299999999999998"/>
    <d v="1899-12-30T00:09:35"/>
    <d v="1899-12-30T00:09:35"/>
    <d v="1899-12-30T00:09:35"/>
    <n v="0"/>
    <d v="1899-12-30T00:03:47"/>
    <n v="0.63249999999999995"/>
    <n v="5"/>
    <x v="1"/>
    <n v="0.25"/>
    <n v="0.75"/>
    <n v="0"/>
    <n v="0"/>
    <n v="6.75"/>
    <n v="0"/>
    <n v="10.658125"/>
    <d v="2021-10-19T00:00:00"/>
    <n v="1"/>
    <s v="All Stars"/>
  </r>
  <r>
    <x v="24"/>
    <s v="M"/>
    <n v="7"/>
    <n v="26.57"/>
    <d v="1899-12-30T01:57:22"/>
    <d v="1899-12-30T01:57:22"/>
    <d v="1899-12-30T01:57:22"/>
    <n v="555"/>
    <d v="1899-12-30T00:04:25"/>
    <n v="5"/>
    <n v="4"/>
    <x v="0"/>
    <n v="0.75"/>
    <n v="0.25"/>
    <n v="0.37"/>
    <n v="0.2"/>
    <n v="0"/>
    <n v="0"/>
    <n v="5.32"/>
    <d v="2021-10-23T00:00:00"/>
    <n v="1"/>
    <s v="All Stars"/>
  </r>
  <r>
    <x v="2"/>
    <s v="M"/>
    <n v="7"/>
    <n v="31.79"/>
    <d v="1899-12-30T04:10:08"/>
    <d v="1899-12-30T04:46:37"/>
    <d v="1899-12-30T04:28:23"/>
    <n v="1870"/>
    <d v="1899-12-30T00:08:27"/>
    <n v="5"/>
    <n v="0"/>
    <x v="0"/>
    <n v="0.75"/>
    <n v="0.25"/>
    <n v="1.2466666666666666"/>
    <n v="0.5"/>
    <n v="0"/>
    <n v="0"/>
    <n v="5.4966666666666661"/>
    <d v="2021-10-23T00:00:00"/>
    <n v="1"/>
    <s v="UltraSYR"/>
  </r>
  <r>
    <x v="14"/>
    <s v="M"/>
    <n v="7"/>
    <n v="16.010000000000002"/>
    <d v="1899-12-30T01:26:26"/>
    <d v="1899-12-30T01:33:57"/>
    <d v="1899-12-30T01:30:11"/>
    <n v="604"/>
    <d v="1899-12-30T00:05:38"/>
    <n v="3.8119047619047621"/>
    <n v="1.5"/>
    <x v="1"/>
    <n v="0.25"/>
    <n v="0.75"/>
    <n v="0.40266666666666667"/>
    <n v="0"/>
    <n v="0"/>
    <n v="0"/>
    <n v="2.4806428571428571"/>
    <d v="2021-10-23T00:00:00"/>
    <n v="1"/>
    <s v="UltraSYR"/>
  </r>
  <r>
    <x v="29"/>
    <s v="F"/>
    <n v="7"/>
    <n v="10.5"/>
    <d v="1899-12-30T00:42:54"/>
    <d v="1899-12-30T00:42:54"/>
    <d v="1899-12-30T00:42:54"/>
    <n v="68"/>
    <d v="1899-12-30T00:04:05"/>
    <n v="2.625"/>
    <n v="5"/>
    <x v="1"/>
    <n v="0.25"/>
    <n v="0.75"/>
    <n v="4.5333333333333337E-2"/>
    <n v="0"/>
    <n v="3.1500000000000004"/>
    <n v="0"/>
    <n v="7.601583333333334"/>
    <d v="2021-10-20T00:00:00"/>
    <n v="1"/>
    <s v="UltraSYR"/>
  </r>
  <r>
    <x v="26"/>
    <s v="M"/>
    <n v="7"/>
    <n v="9.1"/>
    <d v="1899-12-30T00:35:56"/>
    <d v="1899-12-30T00:36:02"/>
    <d v="1899-12-30T00:35:59"/>
    <n v="0"/>
    <d v="1899-12-30T00:03:57"/>
    <n v="2.1666666666666665"/>
    <n v="5"/>
    <x v="1"/>
    <n v="0.25"/>
    <n v="0.75"/>
    <n v="0"/>
    <n v="0"/>
    <n v="0.15000000000000002"/>
    <n v="0"/>
    <n v="4.4416666666666673"/>
    <d v="2021-10-20T00:00:00"/>
    <n v="1"/>
    <e v="#N/A"/>
  </r>
  <r>
    <x v="9"/>
    <s v="M"/>
    <n v="7"/>
    <n v="7.02"/>
    <d v="1899-12-30T00:31:14"/>
    <d v="1899-12-30T00:31:14"/>
    <d v="1899-12-30T00:31:14"/>
    <n v="7"/>
    <d v="1899-12-30T00:04:27"/>
    <n v="1.6714285714285713"/>
    <n v="4"/>
    <x v="1"/>
    <n v="0.25"/>
    <n v="0.75"/>
    <n v="0"/>
    <n v="0"/>
    <n v="0"/>
    <n v="0"/>
    <n v="3.4178571428571427"/>
    <d v="2021-10-20T00:00:00"/>
    <n v="1"/>
    <s v="UltraSYR"/>
  </r>
  <r>
    <x v="21"/>
    <s v="M"/>
    <n v="7"/>
    <n v="14.01"/>
    <d v="1899-12-30T01:01:25"/>
    <d v="1899-12-30T01:02:22"/>
    <d v="1899-12-30T01:01:53"/>
    <n v="13"/>
    <d v="1899-12-30T00:04:25"/>
    <n v="3.3357142857142854"/>
    <n v="4"/>
    <x v="1"/>
    <n v="0.25"/>
    <n v="0.75"/>
    <n v="0"/>
    <n v="0"/>
    <n v="0"/>
    <n v="0"/>
    <n v="3.8339285714285714"/>
    <d v="2021-10-24T00:00:00"/>
    <n v="1"/>
    <s v="All Stars"/>
  </r>
  <r>
    <x v="8"/>
    <s v="M"/>
    <n v="7"/>
    <n v="17.010000000000002"/>
    <d v="1899-12-30T01:32:53"/>
    <d v="1899-12-30T01:43:16"/>
    <d v="1899-12-30T01:38:04"/>
    <n v="64"/>
    <d v="1899-12-30T00:05:46"/>
    <n v="4.05"/>
    <n v="1.5"/>
    <x v="0"/>
    <n v="0.75"/>
    <n v="0.25"/>
    <n v="4.2666666666666665E-2"/>
    <n v="0"/>
    <n v="0"/>
    <n v="0"/>
    <n v="3.4551666666666665"/>
    <d v="2021-10-24T00:00:00"/>
    <n v="1"/>
    <e v="#N/A"/>
  </r>
  <r>
    <x v="6"/>
    <s v="M"/>
    <n v="7"/>
    <n v="19.48"/>
    <d v="1899-12-30T01:31:18"/>
    <d v="1899-12-30T01:34:24"/>
    <d v="1899-12-30T01:32:51"/>
    <n v="10"/>
    <d v="1899-12-30T00:04:46"/>
    <n v="4.6380952380952376"/>
    <n v="3.5"/>
    <x v="0"/>
    <n v="0.75"/>
    <n v="0.25"/>
    <n v="0"/>
    <n v="0"/>
    <n v="0"/>
    <n v="0"/>
    <n v="4.3535714285714278"/>
    <d v="2021-10-23T00:00:00"/>
    <n v="1"/>
    <s v="All Stars"/>
  </r>
  <r>
    <x v="16"/>
    <s v="M"/>
    <n v="7"/>
    <n v="12.81"/>
    <d v="1899-12-30T01:04:52"/>
    <d v="1899-12-30T01:07:50"/>
    <d v="1899-12-30T01:06:21"/>
    <n v="83"/>
    <d v="1899-12-30T00:05:11"/>
    <n v="3.05"/>
    <n v="2.5"/>
    <x v="0"/>
    <n v="0.75"/>
    <n v="0.25"/>
    <n v="5.5333333333333332E-2"/>
    <n v="0"/>
    <n v="0"/>
    <n v="0"/>
    <n v="2.9678333333333331"/>
    <d v="2021-10-24T00:00:00"/>
    <n v="1"/>
    <s v="All Stars"/>
  </r>
  <r>
    <x v="0"/>
    <s v="M"/>
    <n v="7"/>
    <n v="18.3"/>
    <d v="1899-12-30T01:19:49"/>
    <d v="1899-12-30T01:21:26"/>
    <d v="1899-12-30T01:20:37"/>
    <n v="0"/>
    <d v="1899-12-30T00:04:24"/>
    <n v="4.3571428571428568"/>
    <n v="4"/>
    <x v="0"/>
    <n v="0.75"/>
    <n v="0.25"/>
    <n v="0"/>
    <n v="0"/>
    <n v="0"/>
    <n v="0"/>
    <n v="4.2678571428571423"/>
    <d v="2021-10-24T00:00:00"/>
    <n v="1"/>
    <s v="All Stars"/>
  </r>
  <r>
    <x v="22"/>
    <s v="M"/>
    <n v="7"/>
    <n v="11.12"/>
    <d v="1899-12-30T00:51:39"/>
    <d v="1899-12-30T00:52:58"/>
    <d v="1899-12-30T00:52:18"/>
    <n v="15"/>
    <d v="1899-12-30T00:04:42"/>
    <n v="2.6476190476190475"/>
    <n v="3.5"/>
    <x v="0"/>
    <n v="0.75"/>
    <n v="0.25"/>
    <n v="0"/>
    <n v="0"/>
    <n v="0"/>
    <n v="0"/>
    <n v="2.8607142857142858"/>
    <d v="2021-10-19T00:00:00"/>
    <n v="1"/>
    <e v="#N/A"/>
  </r>
  <r>
    <x v="11"/>
    <s v="M"/>
    <n v="7"/>
    <n v="42.54"/>
    <d v="1899-12-30T03:17:07"/>
    <d v="1899-12-30T03:19:03"/>
    <d v="1899-12-30T03:18:05"/>
    <n v="173"/>
    <d v="1899-12-30T00:04:39"/>
    <n v="5"/>
    <n v="3.5"/>
    <x v="0"/>
    <n v="0.75"/>
    <n v="0.25"/>
    <n v="0.11533333333333333"/>
    <n v="1"/>
    <n v="0"/>
    <n v="0"/>
    <n v="5.7403333333333331"/>
    <d v="2021-10-24T00:00:00"/>
    <n v="1"/>
    <s v="UltraSYR"/>
  </r>
  <r>
    <x v="13"/>
    <s v="F"/>
    <n v="7"/>
    <n v="7.01"/>
    <d v="1899-12-30T00:35:51"/>
    <d v="1899-12-30T00:35:51"/>
    <d v="1899-12-30T00:35:51"/>
    <n v="20"/>
    <d v="1899-12-30T00:05:07"/>
    <n v="1.7524999999999999"/>
    <n v="3.5"/>
    <x v="1"/>
    <n v="0.25"/>
    <n v="0.75"/>
    <n v="0"/>
    <n v="0"/>
    <n v="0"/>
    <n v="0"/>
    <n v="3.0631249999999999"/>
    <d v="2021-10-19T00:00:00"/>
    <n v="1"/>
    <s v="All Stars"/>
  </r>
  <r>
    <x v="15"/>
    <s v="M"/>
    <n v="7"/>
    <n v="21.03"/>
    <d v="1899-12-30T02:14:03"/>
    <d v="1899-12-30T02:30:27"/>
    <d v="1899-12-30T02:22:15"/>
    <n v="75"/>
    <d v="1899-12-30T00:06:46"/>
    <n v="5"/>
    <n v="1"/>
    <x v="0"/>
    <n v="0.75"/>
    <n v="0.25"/>
    <n v="0.05"/>
    <n v="0"/>
    <n v="0"/>
    <n v="0"/>
    <n v="4.05"/>
    <d v="2021-10-24T00:00:00"/>
    <n v="1"/>
    <e v="#N/A"/>
  </r>
  <r>
    <x v="20"/>
    <s v="M"/>
    <n v="7"/>
    <n v="18.18"/>
    <d v="1899-12-30T01:37:06"/>
    <d v="1899-12-30T01:38:31"/>
    <d v="1899-12-30T01:37:48"/>
    <n v="40"/>
    <d v="1899-12-30T00:05:23"/>
    <n v="4.3285714285714283"/>
    <n v="2"/>
    <x v="0"/>
    <n v="0.75"/>
    <n v="0.25"/>
    <n v="0"/>
    <n v="0"/>
    <n v="0"/>
    <n v="0"/>
    <n v="3.746428571428571"/>
    <d v="2021-10-23T00:00:00"/>
    <n v="1"/>
    <s v="All Stars"/>
  </r>
  <r>
    <x v="10"/>
    <s v="F"/>
    <n v="7"/>
    <n v="15.01"/>
    <d v="1899-12-30T01:25:01"/>
    <d v="1899-12-30T01:47:04"/>
    <d v="1899-12-30T01:36:02"/>
    <n v="2"/>
    <d v="1899-12-30T00:06:24"/>
    <n v="3.7524999999999999"/>
    <n v="1.5"/>
    <x v="0"/>
    <n v="0.75"/>
    <n v="0.25"/>
    <n v="0"/>
    <n v="0"/>
    <n v="0"/>
    <n v="0"/>
    <n v="3.1893750000000001"/>
    <d v="2021-10-24T00:00:00"/>
    <n v="1"/>
    <s v="UltraSYR"/>
  </r>
  <r>
    <x v="27"/>
    <s v="M"/>
    <n v="7"/>
    <n v="15.3"/>
    <d v="1899-12-30T01:18:57"/>
    <d v="1899-12-30T01:19:01"/>
    <d v="1899-12-30T01:18:59"/>
    <n v="13"/>
    <d v="1899-12-30T00:05:10"/>
    <n v="3.6428571428571428"/>
    <n v="2.5"/>
    <x v="0"/>
    <n v="0.75"/>
    <n v="0.25"/>
    <n v="0"/>
    <n v="0"/>
    <n v="0"/>
    <n v="0"/>
    <n v="3.3571428571428572"/>
    <d v="2021-10-23T00:00:00"/>
    <n v="1"/>
    <s v="All Stars"/>
  </r>
  <r>
    <x v="7"/>
    <s v="F"/>
    <n v="7"/>
    <n v="10"/>
    <d v="1899-12-30T01:13:03"/>
    <d v="1899-12-30T01:27:43"/>
    <d v="1899-12-30T01:20:23"/>
    <n v="7"/>
    <d v="1899-12-30T00:08:02"/>
    <n v="2.5"/>
    <n v="1"/>
    <x v="0"/>
    <n v="0.75"/>
    <n v="0.25"/>
    <n v="0"/>
    <n v="0"/>
    <n v="0"/>
    <n v="0.7"/>
    <n v="2.8250000000000002"/>
    <d v="2021-10-22T00:00:00"/>
    <n v="1"/>
    <e v="#N/A"/>
  </r>
  <r>
    <x v="33"/>
    <s v="F"/>
    <n v="7"/>
    <n v="10.01"/>
    <d v="1899-12-30T01:03:55"/>
    <d v="1899-12-30T01:17:53"/>
    <d v="1899-12-30T01:10:54"/>
    <n v="17"/>
    <d v="1899-12-30T00:07:05"/>
    <n v="2.5024999999999999"/>
    <n v="1"/>
    <x v="0"/>
    <n v="0.75"/>
    <n v="0.25"/>
    <n v="0"/>
    <n v="0"/>
    <n v="0"/>
    <n v="0"/>
    <n v="2.1268750000000001"/>
    <d v="2021-10-21T00:00:00"/>
    <n v="1"/>
    <e v="#N/A"/>
  </r>
  <r>
    <x v="12"/>
    <s v="M"/>
    <n v="7"/>
    <n v="13.18"/>
    <d v="1899-12-30T01:22:10"/>
    <d v="1899-12-30T01:44:15"/>
    <d v="1899-12-30T01:33:12"/>
    <n v="297"/>
    <d v="1899-12-30T00:07:04"/>
    <n v="3.138095238095238"/>
    <n v="1"/>
    <x v="0"/>
    <n v="0.75"/>
    <n v="0.25"/>
    <n v="0.19800000000000001"/>
    <n v="0"/>
    <n v="0"/>
    <n v="0.4"/>
    <n v="3.2015714285714285"/>
    <d v="2021-10-24T00:00:00"/>
    <n v="1"/>
    <s v="UltraSYR"/>
  </r>
  <r>
    <x v="30"/>
    <s v="M"/>
    <n v="7"/>
    <n v="20.89"/>
    <d v="1899-12-30T02:57:14"/>
    <d v="1899-12-30T03:44:29"/>
    <d v="1899-12-30T03:20:52"/>
    <n v="1121"/>
    <d v="1899-12-30T00:09:37"/>
    <n v="4.9738095238095239"/>
    <n v="0"/>
    <x v="0"/>
    <n v="0.75"/>
    <n v="0.25"/>
    <n v="0.74733333333333329"/>
    <n v="0"/>
    <n v="0"/>
    <n v="0"/>
    <n v="4.4776904761904763"/>
    <d v="2021-10-23T00:00:00"/>
    <n v="1"/>
    <e v="#N/A"/>
  </r>
  <r>
    <x v="19"/>
    <s v="F"/>
    <n v="7"/>
    <n v="10.01"/>
    <d v="1899-12-30T01:29:15"/>
    <d v="1899-12-30T01:30:06"/>
    <d v="1899-12-30T01:29:41"/>
    <n v="25"/>
    <d v="1899-12-30T00:08:58"/>
    <n v="2.5024999999999999"/>
    <n v="1"/>
    <x v="0"/>
    <n v="0.75"/>
    <n v="0.25"/>
    <n v="0"/>
    <n v="0"/>
    <n v="0"/>
    <n v="0.4"/>
    <n v="2.526875"/>
    <d v="2021-10-19T00:00:00"/>
    <n v="1"/>
    <s v="All Stars"/>
  </r>
  <r>
    <x v="18"/>
    <s v="M"/>
    <n v="7"/>
    <n v="8.3699999999999992"/>
    <d v="1899-12-30T00:57:59"/>
    <d v="1899-12-30T00:57:59"/>
    <d v="1899-12-30T00:57:59"/>
    <n v="4"/>
    <d v="1899-12-30T00:06:56"/>
    <n v="1.9928571428571427"/>
    <n v="1"/>
    <x v="0"/>
    <n v="0.75"/>
    <n v="0.25"/>
    <n v="0"/>
    <n v="0"/>
    <n v="0"/>
    <n v="0"/>
    <n v="1.7446428571428569"/>
    <d v="2021-10-23T00:00:00"/>
    <n v="1"/>
    <s v="UltraSYR"/>
  </r>
  <r>
    <x v="31"/>
    <s v="M"/>
    <n v="7"/>
    <n v="10.029999999999999"/>
    <d v="1899-12-30T01:07:26"/>
    <d v="1899-12-30T01:07:26"/>
    <d v="1899-12-30T01:07:26"/>
    <n v="8"/>
    <d v="1899-12-30T00:06:43"/>
    <n v="2.388095238095238"/>
    <n v="1"/>
    <x v="0"/>
    <n v="0.75"/>
    <n v="0.25"/>
    <n v="0"/>
    <n v="0"/>
    <n v="0"/>
    <n v="0"/>
    <n v="2.0410714285714286"/>
    <d v="2021-10-18T00:00:00"/>
    <n v="1"/>
    <e v="#N/A"/>
  </r>
  <r>
    <x v="23"/>
    <s v="M"/>
    <n v="8"/>
    <n v="35.01"/>
    <d v="1899-12-30T02:29:32"/>
    <d v="1899-12-30T02:29:40"/>
    <d v="1899-12-30T02:29:36"/>
    <n v="364"/>
    <d v="1899-12-30T00:04:16"/>
    <n v="5"/>
    <n v="4"/>
    <x v="0"/>
    <n v="0.75"/>
    <n v="0.25"/>
    <n v="0.24266666666666667"/>
    <n v="0.7"/>
    <n v="0"/>
    <n v="0"/>
    <n v="5.6926666666666668"/>
    <d v="2021-10-26T00:00:00"/>
    <n v="1"/>
    <s v="All Stars"/>
  </r>
  <r>
    <x v="17"/>
    <s v="F"/>
    <n v="8"/>
    <n v="10.06"/>
    <d v="1899-12-30T00:47:31"/>
    <d v="1899-12-30T00:47:55"/>
    <d v="1899-12-30T00:47:43"/>
    <n v="75"/>
    <d v="1899-12-30T00:04:45"/>
    <n v="2.5150000000000001"/>
    <n v="4.5"/>
    <x v="1"/>
    <n v="0.25"/>
    <n v="0.75"/>
    <n v="0.05"/>
    <n v="0"/>
    <n v="0"/>
    <n v="0"/>
    <n v="4.05375"/>
    <d v="2021-10-26T00:00:00"/>
    <n v="1"/>
    <s v="All Stars"/>
  </r>
  <r>
    <x v="24"/>
    <s v="M"/>
    <n v="8"/>
    <n v="10.050000000000001"/>
    <d v="1899-12-30T00:37:27"/>
    <d v="1899-12-30T00:37:27"/>
    <d v="1899-12-30T00:37:27"/>
    <n v="20"/>
    <d v="1899-12-30T00:03:44"/>
    <n v="2.3928571428571428"/>
    <n v="5"/>
    <x v="1"/>
    <n v="0.25"/>
    <n v="0.75"/>
    <n v="0"/>
    <n v="0"/>
    <n v="1.4999999999999998"/>
    <n v="0"/>
    <n v="5.8482142857142856"/>
    <d v="2021-10-31T00:00:00"/>
    <n v="1"/>
    <s v="All Stars"/>
  </r>
  <r>
    <x v="4"/>
    <s v="M"/>
    <n v="8"/>
    <n v="36.43"/>
    <d v="1899-12-30T07:42:04"/>
    <d v="1899-12-30T08:40:25"/>
    <d v="1899-12-30T08:11:15"/>
    <n v="2174"/>
    <d v="1899-12-30T00:13:29"/>
    <n v="5"/>
    <n v="0"/>
    <x v="0"/>
    <n v="0.75"/>
    <n v="0.25"/>
    <n v="1.4493333333333334"/>
    <n v="0.7"/>
    <n v="0"/>
    <n v="0.4"/>
    <n v="6.2993333333333341"/>
    <d v="2021-10-31T00:00:00"/>
    <n v="1"/>
    <s v="UltraSYR"/>
  </r>
  <r>
    <x v="2"/>
    <s v="M"/>
    <n v="8"/>
    <n v="21.22"/>
    <d v="1899-12-30T01:43:27"/>
    <d v="1899-12-30T01:43:27"/>
    <d v="1899-12-30T01:43:27"/>
    <n v="47"/>
    <d v="1899-12-30T00:04:53"/>
    <n v="5"/>
    <n v="3"/>
    <x v="1"/>
    <n v="0.25"/>
    <n v="0.75"/>
    <n v="0"/>
    <n v="0"/>
    <n v="0"/>
    <n v="0"/>
    <n v="3.5"/>
    <d v="2021-10-31T00:00:00"/>
    <n v="1"/>
    <s v="UltraSYR"/>
  </r>
  <r>
    <x v="14"/>
    <s v="M"/>
    <n v="8"/>
    <n v="10.01"/>
    <d v="1899-12-30T00:40:10"/>
    <d v="1899-12-30T00:40:10"/>
    <d v="1899-12-30T00:40:10"/>
    <n v="30"/>
    <d v="1899-12-30T00:04:01"/>
    <n v="2.3833333333333333"/>
    <n v="5"/>
    <x v="1"/>
    <n v="0.25"/>
    <n v="0.75"/>
    <n v="0"/>
    <n v="0"/>
    <n v="0"/>
    <n v="0"/>
    <n v="4.3458333333333332"/>
    <d v="2021-10-28T00:00:00"/>
    <n v="1"/>
    <s v="UltraSYR"/>
  </r>
  <r>
    <x v="29"/>
    <s v="F"/>
    <n v="8"/>
    <n v="20.45"/>
    <d v="1899-12-30T01:55:49"/>
    <d v="1899-12-30T02:08:00"/>
    <d v="1899-12-30T02:01:55"/>
    <n v="208"/>
    <d v="1899-12-30T00:05:58"/>
    <n v="5"/>
    <n v="2"/>
    <x v="0"/>
    <n v="0.75"/>
    <n v="0.25"/>
    <n v="0.13866666666666666"/>
    <n v="0"/>
    <n v="0"/>
    <n v="0"/>
    <n v="4.3886666666666665"/>
    <d v="2021-10-30T00:00:00"/>
    <n v="1"/>
    <s v="UltraSYR"/>
  </r>
  <r>
    <x v="26"/>
    <s v="M"/>
    <n v="8"/>
    <n v="19.399999999999999"/>
    <d v="1899-12-30T01:37:29"/>
    <d v="1899-12-30T01:39:54"/>
    <d v="1899-12-30T01:38:42"/>
    <n v="4"/>
    <d v="1899-12-30T00:05:05"/>
    <n v="4.6190476190476186"/>
    <n v="2.5"/>
    <x v="0"/>
    <n v="0.75"/>
    <n v="0.25"/>
    <n v="0"/>
    <n v="0"/>
    <n v="0"/>
    <n v="0"/>
    <n v="4.0892857142857135"/>
    <d v="2021-10-31T00:00:00"/>
    <n v="1"/>
    <e v="#N/A"/>
  </r>
  <r>
    <x v="9"/>
    <s v="M"/>
    <n v="8"/>
    <n v="25.3"/>
    <d v="1899-12-30T02:04:51"/>
    <d v="1899-12-30T02:26:22"/>
    <d v="1899-12-30T02:15:36"/>
    <n v="32"/>
    <d v="1899-12-30T00:05:22"/>
    <n v="5"/>
    <n v="2"/>
    <x v="0"/>
    <n v="0.75"/>
    <n v="0.25"/>
    <n v="0"/>
    <n v="0.2"/>
    <n v="0"/>
    <n v="0"/>
    <n v="4.45"/>
    <d v="2021-10-30T00:00:00"/>
    <n v="1"/>
    <s v="UltraSYR"/>
  </r>
  <r>
    <x v="21"/>
    <s v="M"/>
    <n v="8"/>
    <n v="30.03"/>
    <d v="1899-12-30T02:21:23"/>
    <d v="1899-12-30T02:24:02"/>
    <d v="1899-12-30T02:22:42"/>
    <n v="91"/>
    <d v="1899-12-30T00:04:45"/>
    <n v="5"/>
    <n v="3.5"/>
    <x v="0"/>
    <n v="0.75"/>
    <n v="0.25"/>
    <n v="6.0666666666666667E-2"/>
    <n v="0.4"/>
    <n v="0"/>
    <n v="0"/>
    <n v="5.0856666666666674"/>
    <d v="2021-10-30T00:00:00"/>
    <n v="1"/>
    <s v="All Stars"/>
  </r>
  <r>
    <x v="8"/>
    <s v="M"/>
    <n v="8"/>
    <n v="21.2"/>
    <d v="1899-12-30T01:58:44"/>
    <d v="1899-12-30T01:59:08"/>
    <d v="1899-12-30T01:58:56"/>
    <n v="41"/>
    <d v="1899-12-30T00:05:37"/>
    <n v="5"/>
    <n v="1.5"/>
    <x v="0"/>
    <n v="0.75"/>
    <n v="0.25"/>
    <n v="0"/>
    <n v="0"/>
    <n v="0"/>
    <n v="0"/>
    <n v="4.125"/>
    <d v="2021-10-31T00:00:00"/>
    <n v="1"/>
    <e v="#N/A"/>
  </r>
  <r>
    <x v="6"/>
    <s v="M"/>
    <n v="8"/>
    <n v="21.4"/>
    <d v="1899-12-30T01:22:18"/>
    <d v="1899-12-30T01:22:26"/>
    <d v="1899-12-30T01:22:22"/>
    <n v="44"/>
    <d v="1899-12-30T00:03:51"/>
    <n v="5"/>
    <n v="5"/>
    <x v="1"/>
    <n v="0.25"/>
    <n v="0.75"/>
    <n v="0"/>
    <n v="0"/>
    <n v="0.89999999999999991"/>
    <n v="0"/>
    <n v="5.9"/>
    <d v="2021-10-31T00:00:00"/>
    <n v="1"/>
    <s v="All Stars"/>
  </r>
  <r>
    <x v="28"/>
    <s v="M"/>
    <n v="8"/>
    <n v="21.53"/>
    <d v="1899-12-30T01:49:46"/>
    <d v="1899-12-30T02:02:58"/>
    <d v="1899-12-30T01:56:22"/>
    <n v="91"/>
    <d v="1899-12-30T00:05:24"/>
    <n v="5"/>
    <n v="2"/>
    <x v="0"/>
    <n v="0.75"/>
    <n v="0.25"/>
    <n v="6.0666666666666667E-2"/>
    <n v="0"/>
    <n v="0"/>
    <n v="0"/>
    <n v="4.3106666666666671"/>
    <d v="2021-10-31T00:00:00"/>
    <n v="1"/>
    <s v="UltraSYR"/>
  </r>
  <r>
    <x v="16"/>
    <s v="M"/>
    <n v="8"/>
    <n v="10.220000000000001"/>
    <d v="1899-12-30T00:50:43"/>
    <d v="1899-12-30T00:55:33"/>
    <d v="1899-12-30T00:53:08"/>
    <n v="28"/>
    <d v="1899-12-30T00:05:12"/>
    <n v="2.4333333333333336"/>
    <n v="2.5"/>
    <x v="1"/>
    <n v="0.25"/>
    <n v="0.75"/>
    <n v="0"/>
    <n v="0"/>
    <n v="0"/>
    <n v="0"/>
    <n v="2.4833333333333334"/>
    <d v="2021-10-31T00:00:00"/>
    <n v="1"/>
    <s v="All Stars"/>
  </r>
  <r>
    <x v="0"/>
    <s v="M"/>
    <n v="8"/>
    <n v="21.1"/>
    <d v="1899-12-30T01:29:57"/>
    <d v="1899-12-30T01:29:57"/>
    <d v="1899-12-30T01:29:57"/>
    <n v="40"/>
    <d v="1899-12-30T00:04:16"/>
    <n v="5"/>
    <n v="4.5"/>
    <x v="1"/>
    <n v="0.25"/>
    <n v="0.75"/>
    <n v="0"/>
    <n v="0"/>
    <n v="0"/>
    <n v="0"/>
    <n v="4.625"/>
    <d v="2021-10-31T00:00:00"/>
    <n v="1"/>
    <s v="All Stars"/>
  </r>
  <r>
    <x v="5"/>
    <s v="F"/>
    <n v="8"/>
    <n v="10.07"/>
    <d v="1899-12-30T00:54:26"/>
    <d v="1899-12-30T00:54:26"/>
    <d v="1899-12-30T00:54:26"/>
    <n v="11"/>
    <d v="1899-12-30T00:05:24"/>
    <n v="2.5175000000000001"/>
    <n v="3"/>
    <x v="1"/>
    <n v="0.25"/>
    <n v="0.75"/>
    <n v="0"/>
    <n v="0"/>
    <n v="0"/>
    <n v="0"/>
    <n v="2.879375"/>
    <d v="2021-10-30T00:00:00"/>
    <n v="1"/>
    <s v="UltraSYR"/>
  </r>
  <r>
    <x v="11"/>
    <s v="M"/>
    <n v="8"/>
    <n v="7.34"/>
    <d v="1899-12-30T00:33:04"/>
    <d v="1899-12-30T00:33:14"/>
    <d v="1899-12-30T00:33:09"/>
    <n v="45"/>
    <d v="1899-12-30T00:04:31"/>
    <n v="1.7476190476190474"/>
    <n v="4"/>
    <x v="1"/>
    <n v="0.25"/>
    <n v="0.75"/>
    <n v="0"/>
    <n v="0"/>
    <n v="0"/>
    <n v="0"/>
    <n v="3.4369047619047617"/>
    <d v="2021-10-30T00:00:00"/>
    <n v="1"/>
    <s v="UltraSYR"/>
  </r>
  <r>
    <x v="13"/>
    <s v="F"/>
    <n v="8"/>
    <n v="3.02"/>
    <d v="1899-12-30T00:11:21"/>
    <d v="1899-12-30T00:11:21"/>
    <d v="1899-12-30T00:11:21"/>
    <n v="0"/>
    <d v="1899-12-30T00:03:45"/>
    <n v="0.755"/>
    <n v="5"/>
    <x v="1"/>
    <n v="0.25"/>
    <n v="0.75"/>
    <n v="0"/>
    <n v="0"/>
    <n v="8.25"/>
    <n v="0"/>
    <n v="12.188750000000001"/>
    <d v="2021-10-29T00:00:00"/>
    <n v="1"/>
    <s v="All Stars"/>
  </r>
  <r>
    <x v="15"/>
    <s v="M"/>
    <n v="8"/>
    <n v="31"/>
    <d v="1899-12-30T03:21:40"/>
    <d v="1899-12-30T03:44:28"/>
    <d v="1899-12-30T03:33:04"/>
    <n v="99"/>
    <d v="1899-12-30T00:06:52"/>
    <n v="5"/>
    <n v="1"/>
    <x v="1"/>
    <n v="0.25"/>
    <n v="0.75"/>
    <n v="6.6000000000000003E-2"/>
    <n v="0.5"/>
    <n v="0"/>
    <n v="0"/>
    <n v="2.5659999999999998"/>
    <d v="2021-10-31T00:00:00"/>
    <n v="1"/>
    <e v="#N/A"/>
  </r>
  <r>
    <x v="20"/>
    <s v="M"/>
    <n v="8"/>
    <n v="3.13"/>
    <d v="1899-12-30T00:13:33"/>
    <d v="1899-12-30T00:13:45"/>
    <d v="1899-12-30T00:13:39"/>
    <n v="31"/>
    <d v="1899-12-30T00:04:22"/>
    <n v="0.74523809523809514"/>
    <n v="4"/>
    <x v="1"/>
    <n v="0.25"/>
    <n v="0.75"/>
    <n v="0"/>
    <n v="0"/>
    <n v="0"/>
    <n v="0"/>
    <n v="3.1863095238095238"/>
    <d v="2021-10-28T00:00:00"/>
    <n v="1"/>
    <s v="All Stars"/>
  </r>
  <r>
    <x v="27"/>
    <s v="M"/>
    <n v="8"/>
    <n v="12.1"/>
    <d v="1899-12-30T01:00:09"/>
    <d v="1899-12-30T01:00:09"/>
    <d v="1899-12-30T01:00:09"/>
    <n v="78"/>
    <d v="1899-12-30T00:04:58"/>
    <n v="2.8809523809523809"/>
    <n v="3"/>
    <x v="0"/>
    <n v="0.75"/>
    <n v="0.25"/>
    <n v="5.1999999999999998E-2"/>
    <n v="0"/>
    <n v="0"/>
    <n v="0"/>
    <n v="2.9627142857142856"/>
    <d v="2021-10-30T00:00:00"/>
    <n v="1"/>
    <s v="All Stars"/>
  </r>
  <r>
    <x v="7"/>
    <s v="F"/>
    <n v="8"/>
    <n v="8"/>
    <d v="1899-12-30T00:55:29"/>
    <d v="1899-12-30T01:17:13"/>
    <d v="1899-12-30T01:06:21"/>
    <n v="0"/>
    <d v="1899-12-30T00:08:18"/>
    <n v="2"/>
    <n v="1"/>
    <x v="1"/>
    <n v="0.25"/>
    <n v="0.75"/>
    <n v="0"/>
    <n v="0"/>
    <n v="0"/>
    <n v="0.7"/>
    <n v="1.95"/>
    <d v="2021-10-25T00:00:00"/>
    <n v="1"/>
    <e v="#N/A"/>
  </r>
  <r>
    <x v="33"/>
    <s v="F"/>
    <n v="8"/>
    <n v="8.4499999999999993"/>
    <d v="1899-12-30T00:53:34"/>
    <d v="1899-12-30T00:59:16"/>
    <d v="1899-12-30T00:56:25"/>
    <n v="25"/>
    <d v="1899-12-30T00:06:41"/>
    <n v="2.1124999999999998"/>
    <n v="1"/>
    <x v="1"/>
    <n v="0.25"/>
    <n v="0.75"/>
    <n v="0"/>
    <n v="0"/>
    <n v="0"/>
    <n v="0"/>
    <n v="1.278125"/>
    <d v="2021-10-31T00:00:00"/>
    <n v="1"/>
    <e v="#N/A"/>
  </r>
  <r>
    <x v="35"/>
    <s v="M"/>
    <n v="8"/>
    <n v="42.3"/>
    <d v="1899-12-30T03:54:44"/>
    <d v="1899-12-30T03:55:18"/>
    <d v="1899-12-30T03:55:01"/>
    <n v="63"/>
    <d v="1899-12-30T00:05:33"/>
    <n v="5"/>
    <n v="1.5"/>
    <x v="1"/>
    <n v="0.25"/>
    <n v="0.75"/>
    <n v="4.2000000000000003E-2"/>
    <n v="1"/>
    <n v="0"/>
    <n v="0"/>
    <n v="3.4169999999999998"/>
    <d v="2021-10-31T00:00:00"/>
    <n v="1"/>
    <e v="#N/A"/>
  </r>
  <r>
    <x v="12"/>
    <s v="M"/>
    <n v="8"/>
    <n v="11.49"/>
    <d v="1899-12-30T01:03:50"/>
    <d v="1899-12-30T01:13:13"/>
    <d v="1899-12-30T01:08:32"/>
    <n v="174"/>
    <d v="1899-12-30T00:05:58"/>
    <n v="2.7357142857142858"/>
    <n v="1.5"/>
    <x v="1"/>
    <n v="0.25"/>
    <n v="0.75"/>
    <n v="0.11600000000000001"/>
    <n v="0"/>
    <n v="0"/>
    <n v="0.4"/>
    <n v="2.3249285714285715"/>
    <d v="2021-10-27T00:00:00"/>
    <n v="1"/>
    <s v="UltraSYR"/>
  </r>
  <r>
    <x v="30"/>
    <s v="M"/>
    <n v="8"/>
    <n v="10.41"/>
    <d v="1899-12-30T00:57:56"/>
    <d v="1899-12-30T01:03:42"/>
    <d v="1899-12-30T01:00:49"/>
    <n v="3"/>
    <d v="1899-12-30T00:05:51"/>
    <n v="2.4785714285714286"/>
    <n v="1.5"/>
    <x v="1"/>
    <n v="0.25"/>
    <n v="0.75"/>
    <n v="0"/>
    <n v="0"/>
    <n v="0"/>
    <n v="0"/>
    <n v="1.7446428571428572"/>
    <d v="2021-10-31T00:00:00"/>
    <n v="1"/>
    <e v="#N/A"/>
  </r>
  <r>
    <x v="19"/>
    <s v="F"/>
    <n v="8"/>
    <n v="6.37"/>
    <d v="1899-12-30T00:59:10"/>
    <d v="1899-12-30T01:00:03"/>
    <d v="1899-12-30T00:59:37"/>
    <n v="23"/>
    <d v="1899-12-30T00:09:21"/>
    <n v="1.5925"/>
    <n v="0"/>
    <x v="1"/>
    <n v="0.25"/>
    <n v="0.75"/>
    <n v="0"/>
    <n v="0"/>
    <n v="0"/>
    <n v="0.4"/>
    <n v="0.79812499999999997"/>
    <d v="2021-10-26T00:00:00"/>
    <n v="1"/>
    <s v="All Stars"/>
  </r>
  <r>
    <x v="18"/>
    <s v="M"/>
    <n v="8"/>
    <n v="21.27"/>
    <d v="1899-12-30T02:04:38"/>
    <d v="1899-12-30T02:04:38"/>
    <d v="1899-12-30T02:04:38"/>
    <n v="43"/>
    <d v="1899-12-30T00:05:52"/>
    <n v="5"/>
    <n v="1.5"/>
    <x v="0"/>
    <n v="0.75"/>
    <n v="0.25"/>
    <n v="0"/>
    <n v="0"/>
    <n v="0"/>
    <n v="0"/>
    <n v="4.125"/>
    <d v="2021-10-31T00:00:00"/>
    <n v="1"/>
    <s v="UltraSYR"/>
  </r>
  <r>
    <x v="31"/>
    <s v="M"/>
    <n v="8"/>
    <n v="10.08"/>
    <d v="1899-12-30T01:13:43"/>
    <d v="1899-12-30T01:14:42"/>
    <d v="1899-12-30T01:14:13"/>
    <n v="2"/>
    <d v="1899-12-30T00:07:22"/>
    <n v="2.4"/>
    <n v="1"/>
    <x v="1"/>
    <n v="0.25"/>
    <n v="0.75"/>
    <n v="0"/>
    <n v="0"/>
    <n v="0"/>
    <n v="0"/>
    <n v="1.35"/>
    <d v="2021-10-30T00:00:00"/>
    <n v="1"/>
    <e v="#N/A"/>
  </r>
  <r>
    <x v="23"/>
    <s v="M"/>
    <n v="9"/>
    <n v="10.01"/>
    <d v="1899-12-30T00:36:27"/>
    <d v="1899-12-30T00:36:27"/>
    <d v="1899-12-30T00:36:27"/>
    <n v="49"/>
    <d v="1899-12-30T00:03:38"/>
    <n v="2.3833333333333333"/>
    <n v="5"/>
    <x v="1"/>
    <n v="0.25"/>
    <n v="0.75"/>
    <n v="0"/>
    <n v="0"/>
    <n v="2.25"/>
    <n v="0"/>
    <n v="6.5958333333333332"/>
    <d v="2021-11-02T00:00:00"/>
    <n v="1"/>
    <s v="All Stars"/>
  </r>
  <r>
    <x v="17"/>
    <s v="F"/>
    <n v="9"/>
    <n v="42.86"/>
    <d v="1899-12-30T03:58:23"/>
    <d v="1899-12-30T03:58:50"/>
    <d v="1899-12-30T03:58:37"/>
    <n v="77"/>
    <d v="1899-12-30T00:05:34"/>
    <n v="5"/>
    <n v="2.5"/>
    <x v="0"/>
    <n v="0.75"/>
    <n v="0.25"/>
    <n v="5.1333333333333335E-2"/>
    <n v="1"/>
    <n v="0"/>
    <n v="0"/>
    <n v="5.426333333333333"/>
    <d v="2021-11-07T00:00:00"/>
    <n v="1"/>
    <s v="All Stars"/>
  </r>
  <r>
    <x v="24"/>
    <s v="M"/>
    <n v="9"/>
    <n v="14.11"/>
    <d v="1899-12-30T00:57:41"/>
    <d v="1899-12-30T00:57:41"/>
    <d v="1899-12-30T00:57:41"/>
    <n v="94"/>
    <d v="1899-12-30T00:04:05"/>
    <n v="3.3595238095238091"/>
    <n v="4.5"/>
    <x v="0"/>
    <n v="0.75"/>
    <n v="0.25"/>
    <n v="6.2666666666666662E-2"/>
    <n v="0"/>
    <n v="0"/>
    <n v="0"/>
    <n v="3.7073095238095237"/>
    <d v="2021-11-07T00:00:00"/>
    <n v="1"/>
    <s v="All Stars"/>
  </r>
  <r>
    <x v="2"/>
    <s v="M"/>
    <n v="9"/>
    <n v="31.01"/>
    <d v="1899-12-30T03:44:42"/>
    <d v="1899-12-30T04:27:09"/>
    <d v="1899-12-30T04:05:56"/>
    <n v="1504"/>
    <d v="1899-12-30T00:07:56"/>
    <n v="5"/>
    <n v="1"/>
    <x v="0"/>
    <n v="0.75"/>
    <n v="0.25"/>
    <n v="1.0026666666666666"/>
    <n v="0.5"/>
    <n v="0"/>
    <n v="0"/>
    <n v="5.5026666666666664"/>
    <d v="2021-11-06T00:00:00"/>
    <n v="1"/>
    <s v="UltraSYR"/>
  </r>
  <r>
    <x v="14"/>
    <s v="M"/>
    <n v="9"/>
    <n v="43.03"/>
    <d v="1899-12-30T03:11:15"/>
    <d v="1899-12-30T03:11:24"/>
    <d v="1899-12-30T03:11:20"/>
    <n v="185"/>
    <d v="1899-12-30T00:04:27"/>
    <n v="5"/>
    <n v="4"/>
    <x v="0"/>
    <n v="0.75"/>
    <n v="0.25"/>
    <n v="0.12333333333333334"/>
    <n v="1.1000000000000001"/>
    <n v="0"/>
    <n v="0"/>
    <n v="5.9733333333333327"/>
    <d v="2021-11-07T00:00:00"/>
    <n v="1"/>
    <s v="UltraSYR"/>
  </r>
  <r>
    <x v="29"/>
    <s v="F"/>
    <n v="9"/>
    <n v="4.01"/>
    <d v="1899-12-30T00:17:25"/>
    <d v="1899-12-30T00:17:31"/>
    <d v="1899-12-30T00:17:28"/>
    <n v="0"/>
    <d v="1899-12-30T00:04:21"/>
    <n v="1.0024999999999999"/>
    <n v="5"/>
    <x v="1"/>
    <n v="0.25"/>
    <n v="0.75"/>
    <n v="0"/>
    <n v="0"/>
    <n v="0.45000000000000007"/>
    <n v="0"/>
    <n v="4.4506250000000005"/>
    <d v="2021-10-06T00:00:00"/>
    <n v="1"/>
    <s v="UltraSYR"/>
  </r>
  <r>
    <x v="4"/>
    <s v="M"/>
    <n v="9"/>
    <n v="88.83"/>
    <d v="1899-12-30T18:16:13"/>
    <d v="1899-12-30T21:25:01"/>
    <d v="1899-12-30T19:50:37"/>
    <n v="2606"/>
    <d v="1899-12-30T00:13:24"/>
    <n v="5"/>
    <n v="0"/>
    <x v="0"/>
    <n v="0.75"/>
    <n v="0.25"/>
    <n v="1.7373333333333334"/>
    <n v="3.3"/>
    <n v="0"/>
    <n v="0.4"/>
    <n v="9.1873333333333331"/>
    <d v="2021-10-06T00:00:00"/>
    <n v="1"/>
    <s v="UltraSYR"/>
  </r>
  <r>
    <x v="28"/>
    <s v="M"/>
    <n v="9"/>
    <n v="12.4"/>
    <d v="1899-12-30T00:53:14"/>
    <d v="1899-12-30T00:56:31"/>
    <d v="1899-12-30T00:54:53"/>
    <n v="40"/>
    <d v="1899-12-30T00:04:26"/>
    <n v="2.9523809523809526"/>
    <n v="4"/>
    <x v="1"/>
    <n v="0.25"/>
    <n v="0.75"/>
    <n v="0"/>
    <n v="0"/>
    <n v="0"/>
    <n v="0"/>
    <n v="3.7380952380952381"/>
    <d v="2021-11-07T00:00:00"/>
    <n v="1"/>
    <s v="UltraSYR"/>
  </r>
  <r>
    <x v="26"/>
    <s v="M"/>
    <n v="9"/>
    <n v="21.39"/>
    <d v="1899-12-30T01:26:32"/>
    <d v="1899-12-30T01:26:32"/>
    <d v="1899-12-30T01:26:32"/>
    <n v="28"/>
    <d v="1899-12-30T00:04:03"/>
    <n v="5"/>
    <n v="4.5"/>
    <x v="1"/>
    <n v="0.25"/>
    <n v="0.75"/>
    <n v="0"/>
    <n v="0"/>
    <n v="0"/>
    <n v="0"/>
    <n v="4.625"/>
    <d v="2021-11-07T00:00:00"/>
    <n v="1"/>
    <e v="#N/A"/>
  </r>
  <r>
    <x v="9"/>
    <s v="M"/>
    <n v="9"/>
    <n v="12.3"/>
    <d v="1899-12-30T00:57:36"/>
    <d v="1899-12-30T00:57:36"/>
    <d v="1899-12-30T00:57:36"/>
    <n v="9"/>
    <d v="1899-12-30T00:04:41"/>
    <n v="2.9285714285714288"/>
    <n v="3.5"/>
    <x v="1"/>
    <n v="0.25"/>
    <n v="0.75"/>
    <n v="0"/>
    <n v="0"/>
    <n v="0"/>
    <n v="0"/>
    <n v="3.3571428571428572"/>
    <d v="2021-11-05T00:00:00"/>
    <n v="1"/>
    <s v="UltraSYR"/>
  </r>
  <r>
    <x v="21"/>
    <s v="M"/>
    <n v="9"/>
    <n v="17.57"/>
    <d v="1899-12-30T02:08:40"/>
    <d v="1899-12-30T02:17:55"/>
    <d v="1899-12-30T02:13:18"/>
    <n v="942"/>
    <d v="1899-12-30T00:07:35"/>
    <n v="4.1833333333333336"/>
    <n v="1"/>
    <x v="0"/>
    <n v="0.75"/>
    <n v="0.25"/>
    <n v="0.628"/>
    <n v="0"/>
    <n v="0"/>
    <n v="0"/>
    <n v="4.0155000000000003"/>
    <d v="2021-11-06T00:00:00"/>
    <n v="1"/>
    <s v="All Stars"/>
  </r>
  <r>
    <x v="6"/>
    <s v="M"/>
    <n v="9"/>
    <n v="17.72"/>
    <d v="1899-12-30T01:56:22"/>
    <d v="1899-12-30T01:57:43"/>
    <d v="1899-12-30T01:57:02"/>
    <n v="934"/>
    <d v="1899-12-30T00:06:36"/>
    <n v="4.2190476190476183"/>
    <n v="1"/>
    <x v="0"/>
    <n v="0.75"/>
    <n v="0.25"/>
    <n v="0.6226666666666667"/>
    <n v="0"/>
    <n v="0"/>
    <n v="0"/>
    <n v="4.0369523809523802"/>
    <d v="2021-11-06T00:00:00"/>
    <n v="1"/>
    <s v="All Stars"/>
  </r>
  <r>
    <x v="16"/>
    <s v="M"/>
    <n v="9"/>
    <n v="11.07"/>
    <d v="1899-12-30T00:57:45"/>
    <d v="1899-12-30T00:58:30"/>
    <d v="1899-12-30T00:58:08"/>
    <n v="23"/>
    <d v="1899-12-30T00:05:15"/>
    <n v="2.6357142857142857"/>
    <n v="2.5"/>
    <x v="0"/>
    <n v="0.75"/>
    <n v="0.25"/>
    <n v="0"/>
    <n v="0"/>
    <n v="0"/>
    <n v="0"/>
    <n v="2.6017857142857141"/>
    <d v="2021-11-03T00:00:00"/>
    <n v="1"/>
    <s v="All Stars"/>
  </r>
  <r>
    <x v="0"/>
    <s v="M"/>
    <n v="9"/>
    <n v="15.73"/>
    <d v="1899-12-30T01:26:38"/>
    <d v="1899-12-30T01:30:21"/>
    <d v="1899-12-30T01:28:30"/>
    <n v="211"/>
    <d v="1899-12-30T00:05:38"/>
    <n v="3.7452380952380953"/>
    <n v="1.5"/>
    <x v="1"/>
    <n v="0.25"/>
    <n v="0.75"/>
    <n v="0.14066666666666666"/>
    <n v="0"/>
    <n v="0"/>
    <n v="0"/>
    <n v="2.2019761904761905"/>
    <d v="2021-11-07T00:00:00"/>
    <n v="1"/>
    <s v="All Stars"/>
  </r>
  <r>
    <x v="22"/>
    <s v="M"/>
    <n v="9"/>
    <n v="10.85"/>
    <d v="1899-12-30T00:48:22"/>
    <d v="1899-12-30T00:49:29"/>
    <d v="1899-12-30T00:48:56"/>
    <n v="22"/>
    <d v="1899-12-30T00:04:31"/>
    <n v="2.583333333333333"/>
    <n v="4"/>
    <x v="0"/>
    <n v="0.75"/>
    <n v="0.25"/>
    <n v="0"/>
    <n v="0"/>
    <n v="0"/>
    <n v="0"/>
    <n v="2.9375"/>
    <d v="2021-11-07T00:00:00"/>
    <n v="1"/>
    <e v="#N/A"/>
  </r>
  <r>
    <x v="11"/>
    <s v="M"/>
    <n v="9"/>
    <n v="21.14"/>
    <d v="1899-12-30T01:37:09"/>
    <d v="1899-12-30T01:38:13"/>
    <d v="1899-12-30T01:37:41"/>
    <n v="110"/>
    <d v="1899-12-30T00:04:37"/>
    <n v="5"/>
    <n v="3.5"/>
    <x v="0"/>
    <n v="0.75"/>
    <n v="0.25"/>
    <n v="7.3333333333333334E-2"/>
    <n v="0"/>
    <n v="0"/>
    <n v="0"/>
    <n v="4.6983333333333333"/>
    <d v="2021-11-07T00:00:00"/>
    <n v="1"/>
    <s v="UltraSYR"/>
  </r>
  <r>
    <x v="13"/>
    <s v="F"/>
    <n v="9"/>
    <n v="7.01"/>
    <d v="1899-12-30T00:38:50"/>
    <d v="1899-12-30T00:40:21"/>
    <d v="1899-12-30T00:39:36"/>
    <n v="59"/>
    <d v="1899-12-30T00:05:39"/>
    <n v="1.7524999999999999"/>
    <n v="2.5"/>
    <x v="0"/>
    <n v="0.75"/>
    <n v="0.25"/>
    <n v="3.9333333333333331E-2"/>
    <n v="0"/>
    <n v="0"/>
    <n v="0"/>
    <n v="1.9787083333333335"/>
    <d v="2021-11-03T00:00:00"/>
    <n v="1"/>
    <s v="All Stars"/>
  </r>
  <r>
    <x v="15"/>
    <s v="M"/>
    <n v="9"/>
    <n v="10.33"/>
    <d v="1899-12-30T01:04:22"/>
    <d v="1899-12-30T01:04:39"/>
    <d v="1899-12-30T01:04:31"/>
    <n v="13"/>
    <d v="1899-12-30T00:06:15"/>
    <n v="2.4595238095238092"/>
    <n v="1"/>
    <x v="0"/>
    <n v="0.75"/>
    <n v="0.25"/>
    <n v="0"/>
    <n v="0"/>
    <n v="0"/>
    <n v="0"/>
    <n v="2.094642857142857"/>
    <d v="2021-11-04T00:00:00"/>
    <n v="1"/>
    <e v="#N/A"/>
  </r>
  <r>
    <x v="20"/>
    <s v="M"/>
    <n v="9"/>
    <n v="6.89"/>
    <d v="1899-12-30T00:31:35"/>
    <d v="1899-12-30T00:31:48"/>
    <d v="1899-12-30T00:31:41"/>
    <n v="2"/>
    <d v="1899-12-30T00:04:36"/>
    <n v="1.6404761904761904"/>
    <n v="3.5"/>
    <x v="1"/>
    <n v="0.25"/>
    <n v="0.75"/>
    <n v="0"/>
    <n v="0"/>
    <n v="0"/>
    <n v="0"/>
    <n v="3.0351190476190477"/>
    <d v="2021-11-04T00:00:00"/>
    <n v="1"/>
    <s v="All Stars"/>
  </r>
  <r>
    <x v="10"/>
    <s v="F"/>
    <n v="9"/>
    <m/>
    <m/>
    <m/>
    <m/>
    <m/>
    <m/>
    <m/>
    <m/>
    <x v="2"/>
    <m/>
    <m/>
    <m/>
    <m/>
    <m/>
    <m/>
    <n v="1.5"/>
    <m/>
    <n v="1"/>
    <s v="UltraSYR"/>
  </r>
  <r>
    <x v="5"/>
    <s v="F"/>
    <n v="9"/>
    <n v="15"/>
    <d v="1899-12-30T01:25:07"/>
    <d v="1899-12-30T01:53:53"/>
    <d v="1899-12-30T01:39:30"/>
    <n v="33"/>
    <d v="1899-12-30T00:06:38"/>
    <n v="3.75"/>
    <n v="1"/>
    <x v="1"/>
    <n v="0.25"/>
    <n v="0.75"/>
    <n v="0"/>
    <n v="0"/>
    <n v="0"/>
    <n v="0"/>
    <n v="1.6875"/>
    <d v="2021-11-06T00:00:00"/>
    <n v="1"/>
    <s v="UltraSYR"/>
  </r>
  <r>
    <x v="27"/>
    <s v="M"/>
    <n v="9"/>
    <n v="15.05"/>
    <d v="1899-12-30T01:16:01"/>
    <d v="1899-12-30T01:16:01"/>
    <d v="1899-12-30T01:16:01"/>
    <n v="39"/>
    <d v="1899-12-30T00:05:03"/>
    <n v="3.5833333333333335"/>
    <n v="2.5"/>
    <x v="0"/>
    <n v="0.75"/>
    <n v="0.25"/>
    <n v="0"/>
    <n v="0"/>
    <n v="0"/>
    <n v="0"/>
    <n v="3.3125"/>
    <d v="2021-11-06T00:00:00"/>
    <n v="1"/>
    <s v="All Stars"/>
  </r>
  <r>
    <x v="7"/>
    <s v="F"/>
    <n v="9"/>
    <n v="8.06"/>
    <d v="1899-12-30T00:55:20"/>
    <d v="1899-12-30T01:17:32"/>
    <d v="1899-12-30T01:06:26"/>
    <n v="0"/>
    <d v="1899-12-30T00:08:15"/>
    <n v="2.0150000000000001"/>
    <n v="1"/>
    <x v="0"/>
    <n v="0.75"/>
    <n v="0.25"/>
    <n v="0"/>
    <n v="0"/>
    <n v="0"/>
    <n v="0.7"/>
    <n v="2.4612499999999997"/>
    <d v="2021-11-03T00:00:00"/>
    <n v="1"/>
    <e v="#N/A"/>
  </r>
  <r>
    <x v="33"/>
    <s v="F"/>
    <n v="9"/>
    <n v="21.16"/>
    <d v="1899-12-30T02:11:02"/>
    <d v="1899-12-30T02:29:26"/>
    <d v="1899-12-30T02:20:14"/>
    <n v="13"/>
    <d v="1899-12-30T00:06:38"/>
    <n v="5"/>
    <n v="1"/>
    <x v="0"/>
    <n v="0.75"/>
    <n v="0.25"/>
    <n v="0"/>
    <n v="0"/>
    <n v="0"/>
    <n v="0"/>
    <n v="4"/>
    <d v="2021-11-06T00:00:00"/>
    <n v="1"/>
    <e v="#N/A"/>
  </r>
  <r>
    <x v="12"/>
    <s v="M"/>
    <n v="9"/>
    <n v="8.84"/>
    <d v="1899-12-30T00:49:09"/>
    <d v="1899-12-30T01:05:43"/>
    <d v="1899-12-30T00:57:26"/>
    <n v="12"/>
    <d v="1899-12-30T00:06:30"/>
    <n v="2.1047619047619048"/>
    <n v="1"/>
    <x v="0"/>
    <n v="0.75"/>
    <n v="0.25"/>
    <n v="0"/>
    <n v="0"/>
    <n v="0"/>
    <n v="0.4"/>
    <n v="2.2285714285714286"/>
    <d v="2021-11-07T00:00:00"/>
    <n v="1"/>
    <s v="UltraSYR"/>
  </r>
  <r>
    <x v="30"/>
    <s v="M"/>
    <n v="9"/>
    <n v="18.59"/>
    <d v="1899-12-30T02:36:23"/>
    <d v="1899-12-30T03:26:04"/>
    <d v="1899-12-30T03:01:14"/>
    <n v="982"/>
    <d v="1899-12-30T00:09:45"/>
    <n v="4.4261904761904756"/>
    <n v="0"/>
    <x v="0"/>
    <n v="0.75"/>
    <n v="0.25"/>
    <n v="0.65466666666666662"/>
    <n v="0"/>
    <n v="0"/>
    <n v="0"/>
    <n v="3.9743095238095232"/>
    <d v="2021-11-06T00:00:00"/>
    <n v="1"/>
    <e v="#N/A"/>
  </r>
  <r>
    <x v="19"/>
    <s v="F"/>
    <n v="9"/>
    <n v="8"/>
    <d v="1899-12-30T01:20:54"/>
    <d v="1899-12-30T01:24:58"/>
    <d v="1899-12-30T01:22:56"/>
    <n v="44"/>
    <d v="1899-12-30T00:10:22"/>
    <n v="2"/>
    <n v="0"/>
    <x v="0"/>
    <n v="0.75"/>
    <n v="0.25"/>
    <n v="0"/>
    <n v="0"/>
    <n v="0"/>
    <n v="0.4"/>
    <n v="1.9"/>
    <d v="2021-11-06T00:00:00"/>
    <n v="1"/>
    <s v="All Stars"/>
  </r>
  <r>
    <x v="18"/>
    <s v="M"/>
    <n v="9"/>
    <n v="10.02"/>
    <d v="1899-12-30T00:55:45"/>
    <d v="1899-12-30T00:55:45"/>
    <d v="1899-12-30T00:55:45"/>
    <n v="19"/>
    <d v="1899-12-30T00:05:34"/>
    <n v="2.3857142857142857"/>
    <n v="1.5"/>
    <x v="0"/>
    <n v="0.75"/>
    <n v="0.25"/>
    <n v="0"/>
    <n v="0"/>
    <n v="0"/>
    <n v="0"/>
    <n v="2.1642857142857141"/>
    <d v="2021-11-07T00:00:00"/>
    <n v="1"/>
    <s v="UltraSYR"/>
  </r>
  <r>
    <x v="23"/>
    <s v="M"/>
    <n v="10"/>
    <n v="10.01"/>
    <d v="1899-12-30T00:34:39"/>
    <d v="1899-12-30T00:34:39"/>
    <d v="1899-12-30T00:34:39"/>
    <n v="0"/>
    <d v="1899-12-30T00:03:28"/>
    <n v="2.3833333333333333"/>
    <n v="5"/>
    <x v="1"/>
    <n v="0.25"/>
    <n v="0.75"/>
    <n v="0"/>
    <n v="0"/>
    <n v="4.1999999999999993"/>
    <n v="0"/>
    <n v="8.5458333333333325"/>
    <d v="2021-11-08T00:00:00"/>
    <n v="1"/>
    <s v="All Stars"/>
  </r>
  <r>
    <x v="17"/>
    <s v="F"/>
    <n v="10"/>
    <n v="3.69"/>
    <d v="1899-12-30T00:13:56"/>
    <d v="1899-12-30T00:13:56"/>
    <d v="1899-12-30T00:13:56"/>
    <n v="-137"/>
    <d v="1899-12-30T00:03:47"/>
    <n v="0.92249999999999999"/>
    <n v="5"/>
    <x v="1"/>
    <n v="0.25"/>
    <n v="0.75"/>
    <n v="-9.1333333333333336E-2"/>
    <n v="0"/>
    <n v="6.75"/>
    <n v="0"/>
    <n v="10.639291666666667"/>
    <d v="2021-11-13T00:00:00"/>
    <n v="1"/>
    <s v="All Stars"/>
  </r>
  <r>
    <x v="24"/>
    <s v="M"/>
    <n v="10"/>
    <n v="17.559999999999999"/>
    <d v="1899-12-30T01:10:04"/>
    <d v="1899-12-30T01:10:04"/>
    <d v="1899-12-30T01:10:04"/>
    <n v="93"/>
    <d v="1899-12-30T00:03:59"/>
    <n v="4.1809523809523803"/>
    <n v="5"/>
    <x v="1"/>
    <n v="0.25"/>
    <n v="0.75"/>
    <n v="6.2E-2"/>
    <n v="0"/>
    <n v="0.15000000000000002"/>
    <n v="0"/>
    <n v="5.0072380952380957"/>
    <d v="2021-11-13T00:00:00"/>
    <n v="1"/>
    <s v="All Stars"/>
  </r>
  <r>
    <x v="2"/>
    <s v="M"/>
    <n v="10"/>
    <n v="42.22"/>
    <d v="1899-12-30T03:16:55"/>
    <d v="1899-12-30T03:17:07"/>
    <d v="1899-12-30T03:17:01"/>
    <n v="85"/>
    <d v="1899-12-30T00:04:40"/>
    <n v="5"/>
    <n v="3.5"/>
    <x v="1"/>
    <n v="0.25"/>
    <n v="0.75"/>
    <n v="5.6666666666666664E-2"/>
    <n v="1"/>
    <n v="0"/>
    <n v="0"/>
    <n v="4.9316666666666666"/>
    <d v="2021-11-13T00:00:00"/>
    <n v="1"/>
    <s v="UltraSYR"/>
  </r>
  <r>
    <x v="14"/>
    <s v="M"/>
    <n v="10"/>
    <n v="4.43"/>
    <d v="1899-12-30T00:17:45"/>
    <d v="1899-12-30T00:17:45"/>
    <d v="1899-12-30T00:17:45"/>
    <n v="13"/>
    <d v="1899-12-30T00:04:00"/>
    <n v="1.0547619047619046"/>
    <n v="5"/>
    <x v="1"/>
    <n v="0.25"/>
    <n v="0.75"/>
    <n v="0"/>
    <n v="0"/>
    <n v="0"/>
    <n v="0"/>
    <n v="4.0136904761904759"/>
    <d v="2021-11-13T00:00:00"/>
    <n v="1"/>
    <s v="UltraSYR"/>
  </r>
  <r>
    <x v="29"/>
    <s v="F"/>
    <n v="10"/>
    <n v="14.34"/>
    <d v="1899-12-30T01:12:15"/>
    <d v="1899-12-30T01:19:05"/>
    <d v="1899-12-30T01:15:40"/>
    <n v="79"/>
    <d v="1899-12-30T00:05:17"/>
    <n v="3.585"/>
    <n v="3"/>
    <x v="0"/>
    <n v="0.75"/>
    <n v="0.25"/>
    <n v="5.2666666666666667E-2"/>
    <n v="0"/>
    <n v="0"/>
    <n v="0"/>
    <n v="3.4914166666666664"/>
    <d v="2021-11-11T00:00:00"/>
    <n v="1"/>
    <s v="UltraSYR"/>
  </r>
  <r>
    <x v="28"/>
    <s v="M"/>
    <n v="10"/>
    <n v="21.56"/>
    <d v="1899-12-30T01:36:36"/>
    <d v="1899-12-30T01:40:31"/>
    <d v="1899-12-30T01:38:33"/>
    <n v="37"/>
    <d v="1899-12-30T00:04:34"/>
    <n v="5"/>
    <n v="3.5"/>
    <x v="0"/>
    <n v="0.75"/>
    <n v="0.25"/>
    <n v="0"/>
    <n v="0"/>
    <n v="0"/>
    <n v="0"/>
    <n v="4.625"/>
    <d v="2021-11-14T00:00:00"/>
    <n v="1"/>
    <s v="UltraSYR"/>
  </r>
  <r>
    <x v="26"/>
    <s v="M"/>
    <n v="10"/>
    <n v="10.38"/>
    <d v="1899-12-30T00:45:03"/>
    <d v="1899-12-30T00:46:42"/>
    <d v="1899-12-30T00:45:53"/>
    <n v="0"/>
    <d v="1899-12-30T00:04:25"/>
    <n v="2.4714285714285715"/>
    <n v="4"/>
    <x v="1"/>
    <n v="0.25"/>
    <n v="0.75"/>
    <n v="0"/>
    <n v="0"/>
    <n v="0"/>
    <n v="0"/>
    <n v="3.6178571428571429"/>
    <d v="2021-11-12T00:00:00"/>
    <n v="1"/>
    <e v="#N/A"/>
  </r>
  <r>
    <x v="9"/>
    <s v="M"/>
    <n v="10"/>
    <n v="21.1"/>
    <d v="1899-12-30T01:38:54"/>
    <d v="1899-12-30T01:38:54"/>
    <d v="1899-12-30T01:38:54"/>
    <n v="10"/>
    <d v="1899-12-30T00:04:41"/>
    <n v="5"/>
    <n v="3.5"/>
    <x v="0"/>
    <n v="0.75"/>
    <n v="0.25"/>
    <n v="0"/>
    <n v="0"/>
    <n v="0"/>
    <n v="0"/>
    <n v="4.625"/>
    <d v="2021-11-13T00:00:00"/>
    <n v="1"/>
    <s v="UltraSYR"/>
  </r>
  <r>
    <x v="21"/>
    <s v="M"/>
    <n v="10"/>
    <n v="22.48"/>
    <d v="1899-12-30T03:22:16"/>
    <d v="1899-12-30T04:56:49"/>
    <d v="1899-12-30T04:09:33"/>
    <n v="1372"/>
    <d v="1899-12-30T00:11:06"/>
    <n v="5"/>
    <n v="0"/>
    <x v="0"/>
    <n v="0.75"/>
    <n v="0.25"/>
    <n v="0.91466666666666663"/>
    <n v="0"/>
    <n v="0"/>
    <n v="0"/>
    <n v="4.6646666666666663"/>
    <d v="2021-11-13T00:00:00"/>
    <n v="1"/>
    <s v="All Stars"/>
  </r>
  <r>
    <x v="25"/>
    <s v="M"/>
    <n v="10"/>
    <n v="23.82"/>
    <d v="1899-12-30T04:21:06"/>
    <d v="1899-12-30T05:17:27"/>
    <d v="1899-12-30T04:49:17"/>
    <n v="1307"/>
    <d v="1899-12-30T00:12:09"/>
    <n v="5"/>
    <n v="0"/>
    <x v="0"/>
    <n v="0.75"/>
    <n v="0.25"/>
    <n v="0.87133333333333329"/>
    <n v="0.1"/>
    <n v="0"/>
    <n v="0"/>
    <n v="4.7213333333333329"/>
    <d v="2021-11-14T00:00:00"/>
    <n v="1"/>
    <s v="All Stars"/>
  </r>
  <r>
    <x v="8"/>
    <s v="M"/>
    <n v="10"/>
    <n v="5"/>
    <d v="1899-12-30T00:24:10"/>
    <d v="1899-12-30T00:24:10"/>
    <d v="1899-12-30T00:24:10"/>
    <n v="18"/>
    <d v="1899-12-30T00:04:50"/>
    <n v="1.1904761904761905"/>
    <n v="3"/>
    <x v="1"/>
    <n v="0.25"/>
    <n v="0.75"/>
    <n v="0"/>
    <n v="0"/>
    <n v="0"/>
    <n v="0"/>
    <n v="2.5476190476190474"/>
    <d v="2021-11-10T00:00:00"/>
    <n v="1"/>
    <e v="#N/A"/>
  </r>
  <r>
    <x v="6"/>
    <s v="M"/>
    <n v="10"/>
    <n v="6.01"/>
    <d v="1899-12-30T00:33:11"/>
    <d v="1899-12-30T00:36:43"/>
    <d v="1899-12-30T00:34:57"/>
    <n v="2"/>
    <d v="1899-12-30T00:05:49"/>
    <n v="1.4309523809523808"/>
    <n v="1.5"/>
    <x v="1"/>
    <n v="0.25"/>
    <n v="0.75"/>
    <n v="0"/>
    <n v="0"/>
    <n v="0"/>
    <n v="0"/>
    <n v="1.4827380952380951"/>
    <d v="2021-10-13T00:00:00"/>
    <n v="1"/>
    <s v="All Stars"/>
  </r>
  <r>
    <x v="16"/>
    <s v="M"/>
    <n v="10"/>
    <n v="12.01"/>
    <d v="1899-12-30T00:59:30"/>
    <d v="1899-12-30T01:07:27"/>
    <d v="1899-12-30T01:03:29"/>
    <n v="47"/>
    <d v="1899-12-30T00:05:17"/>
    <n v="2.8595238095238091"/>
    <n v="2"/>
    <x v="1"/>
    <n v="0.25"/>
    <n v="0.75"/>
    <n v="0"/>
    <n v="0"/>
    <n v="0"/>
    <n v="0"/>
    <n v="2.2148809523809523"/>
    <d v="2021-10-09T00:00:00"/>
    <n v="1"/>
    <s v="All Stars"/>
  </r>
  <r>
    <x v="0"/>
    <s v="M"/>
    <n v="10"/>
    <n v="11.61"/>
    <d v="1899-12-30T00:57:15"/>
    <d v="1899-12-30T00:57:32"/>
    <d v="1899-12-30T00:57:24"/>
    <n v="16"/>
    <d v="1899-12-30T00:04:57"/>
    <n v="2.7642857142857142"/>
    <n v="3"/>
    <x v="1"/>
    <n v="0.25"/>
    <n v="0.75"/>
    <n v="0"/>
    <n v="0"/>
    <n v="0"/>
    <n v="0"/>
    <n v="2.9410714285714286"/>
    <d v="2021-10-12T00:00:00"/>
    <n v="1"/>
    <s v="All Stars"/>
  </r>
  <r>
    <x v="22"/>
    <s v="M"/>
    <n v="10"/>
    <n v="11.2"/>
    <d v="1899-12-30T00:53:59"/>
    <d v="1899-12-30T01:02:00"/>
    <d v="1899-12-30T00:58:00"/>
    <n v="19"/>
    <d v="1899-12-30T00:05:11"/>
    <n v="2.6666666666666665"/>
    <n v="2.5"/>
    <x v="1"/>
    <n v="0.25"/>
    <n v="0.75"/>
    <n v="0"/>
    <n v="0"/>
    <n v="0"/>
    <n v="0"/>
    <n v="2.5416666666666665"/>
    <d v="2021-11-11T00:00:00"/>
    <n v="1"/>
    <e v="#N/A"/>
  </r>
  <r>
    <x v="13"/>
    <s v="F"/>
    <n v="10"/>
    <n v="15"/>
    <d v="1899-12-30T01:23:56"/>
    <d v="1899-12-30T01:29:02"/>
    <d v="1899-12-30T01:26:29"/>
    <n v="79"/>
    <d v="1899-12-30T00:05:46"/>
    <n v="3.75"/>
    <n v="2.5"/>
    <x v="0"/>
    <n v="0.75"/>
    <n v="0.25"/>
    <n v="5.2666666666666667E-2"/>
    <n v="0"/>
    <n v="0"/>
    <n v="0"/>
    <n v="3.4901666666666666"/>
    <d v="2021-11-10T00:00:00"/>
    <n v="1"/>
    <s v="All Stars"/>
  </r>
  <r>
    <x v="20"/>
    <s v="M"/>
    <n v="10"/>
    <n v="4.93"/>
    <d v="1899-12-30T00:22:45"/>
    <d v="1899-12-30T00:22:45"/>
    <d v="1899-12-30T00:22:45"/>
    <n v="95"/>
    <d v="1899-12-30T00:04:37"/>
    <n v="1.1738095238095236"/>
    <n v="3.5"/>
    <x v="1"/>
    <n v="0.25"/>
    <n v="0.75"/>
    <n v="6.3333333333333339E-2"/>
    <n v="0"/>
    <n v="0"/>
    <n v="0"/>
    <n v="2.9817857142857145"/>
    <d v="2021-11-11T00:00:00"/>
    <n v="1"/>
    <s v="All Stars"/>
  </r>
  <r>
    <x v="10"/>
    <s v="F"/>
    <n v="10"/>
    <n v="3.01"/>
    <d v="1899-12-30T00:14:46"/>
    <d v="1899-12-30T00:15:00"/>
    <d v="1899-12-30T00:14:53"/>
    <n v="0"/>
    <d v="1899-12-30T00:04:57"/>
    <n v="0.75249999999999995"/>
    <n v="4"/>
    <x v="1"/>
    <n v="0.25"/>
    <n v="0.75"/>
    <n v="0"/>
    <n v="0"/>
    <n v="0"/>
    <n v="0"/>
    <n v="3.1881249999999999"/>
    <d v="2021-11-12T00:00:00"/>
    <n v="1"/>
    <s v="UltraSYR"/>
  </r>
  <r>
    <x v="27"/>
    <s v="M"/>
    <n v="10"/>
    <n v="18.25"/>
    <d v="1899-12-30T01:35:02"/>
    <d v="1899-12-30T01:35:02"/>
    <d v="1899-12-30T01:35:02"/>
    <n v="17"/>
    <d v="1899-12-30T00:05:12"/>
    <n v="4.3452380952380949"/>
    <n v="2.5"/>
    <x v="0"/>
    <n v="0.75"/>
    <n v="0.25"/>
    <n v="0"/>
    <n v="0"/>
    <n v="0"/>
    <n v="0"/>
    <n v="3.8839285714285712"/>
    <d v="2021-10-13T00:00:00"/>
    <n v="1"/>
    <s v="All Stars"/>
  </r>
  <r>
    <x v="7"/>
    <s v="F"/>
    <n v="10"/>
    <n v="8.11"/>
    <d v="1899-12-30T00:55:54"/>
    <d v="1899-12-30T01:21:20"/>
    <d v="1899-12-30T01:08:37"/>
    <n v="0"/>
    <d v="1899-12-30T00:08:28"/>
    <n v="2.0274999999999999"/>
    <n v="1"/>
    <x v="1"/>
    <n v="0.25"/>
    <n v="0.75"/>
    <n v="0"/>
    <n v="0"/>
    <n v="0"/>
    <n v="0.7"/>
    <n v="1.9568749999999999"/>
    <d v="2021-10-12T00:00:00"/>
    <n v="1"/>
    <e v="#N/A"/>
  </r>
  <r>
    <x v="33"/>
    <s v="F"/>
    <n v="10"/>
    <n v="3"/>
    <d v="1899-12-30T00:16:03"/>
    <d v="1899-12-30T00:16:03"/>
    <d v="1899-12-30T00:16:03"/>
    <n v="0"/>
    <d v="1899-12-30T00:05:21"/>
    <n v="0.75"/>
    <n v="3"/>
    <x v="1"/>
    <n v="0.25"/>
    <n v="0.75"/>
    <n v="0"/>
    <n v="0"/>
    <n v="0"/>
    <n v="0"/>
    <n v="2.4375"/>
    <d v="2021-11-14T00:00:00"/>
    <n v="1"/>
    <e v="#N/A"/>
  </r>
  <r>
    <x v="12"/>
    <s v="M"/>
    <n v="10"/>
    <n v="10.029999999999999"/>
    <d v="1899-12-30T01:04:42"/>
    <d v="1899-12-30T01:16:43"/>
    <d v="1899-12-30T01:10:42"/>
    <n v="187"/>
    <d v="1899-12-30T00:07:03"/>
    <n v="2.388095238095238"/>
    <n v="1"/>
    <x v="1"/>
    <n v="0.25"/>
    <n v="0.75"/>
    <n v="0.12466666666666666"/>
    <n v="0"/>
    <n v="0"/>
    <n v="0.4"/>
    <n v="1.871690476190476"/>
    <d v="2021-11-14T00:00:00"/>
    <n v="1"/>
    <s v="UltraSYR"/>
  </r>
  <r>
    <x v="30"/>
    <s v="M"/>
    <n v="10"/>
    <n v="12.28"/>
    <d v="1899-12-30T01:07:30"/>
    <d v="1899-12-30T01:07:57"/>
    <d v="1899-12-30T01:07:43"/>
    <n v="8"/>
    <d v="1899-12-30T00:05:31"/>
    <n v="2.9238095238095236"/>
    <n v="2"/>
    <x v="1"/>
    <n v="0.25"/>
    <n v="0.75"/>
    <n v="0"/>
    <n v="0"/>
    <n v="0"/>
    <n v="0"/>
    <n v="2.230952380952381"/>
    <d v="2021-11-13T00:00:00"/>
    <n v="1"/>
    <e v="#N/A"/>
  </r>
  <r>
    <x v="19"/>
    <s v="F"/>
    <n v="10"/>
    <n v="6.61"/>
    <d v="1899-12-30T01:00:00"/>
    <d v="1899-12-30T01:01:34"/>
    <d v="1899-12-30T01:00:47"/>
    <n v="34"/>
    <d v="1899-12-30T00:09:12"/>
    <n v="1.6525000000000001"/>
    <n v="0"/>
    <x v="1"/>
    <n v="0.25"/>
    <n v="0.75"/>
    <n v="0"/>
    <n v="0"/>
    <n v="0"/>
    <n v="0.4"/>
    <n v="0.8131250000000001"/>
    <d v="2021-11-10T00:00:00"/>
    <n v="1"/>
    <s v="All Stars"/>
  </r>
  <r>
    <x v="18"/>
    <s v="M"/>
    <n v="10"/>
    <n v="21.67"/>
    <d v="1899-12-30T02:21:33"/>
    <d v="1899-12-30T02:22:04"/>
    <d v="1899-12-30T02:21:48"/>
    <n v="55"/>
    <d v="1899-12-30T00:06:33"/>
    <n v="5"/>
    <n v="1"/>
    <x v="0"/>
    <n v="0.75"/>
    <n v="0.25"/>
    <n v="3.6666666666666667E-2"/>
    <n v="0"/>
    <n v="0"/>
    <n v="0"/>
    <n v="4.0366666666666671"/>
    <d v="2021-11-14T00:00:00"/>
    <n v="1"/>
    <s v="UltraSYR"/>
  </r>
  <r>
    <x v="23"/>
    <s v="M"/>
    <s v="P2"/>
    <m/>
    <m/>
    <m/>
    <m/>
    <m/>
    <m/>
    <m/>
    <m/>
    <x v="3"/>
    <m/>
    <m/>
    <m/>
    <m/>
    <m/>
    <m/>
    <n v="2.4375"/>
    <m/>
    <n v="1"/>
    <s v="All Stars"/>
  </r>
  <r>
    <x v="17"/>
    <s v="F"/>
    <s v="P2"/>
    <m/>
    <m/>
    <m/>
    <m/>
    <m/>
    <m/>
    <m/>
    <m/>
    <x v="3"/>
    <m/>
    <m/>
    <m/>
    <m/>
    <m/>
    <m/>
    <n v="2.125"/>
    <m/>
    <n v="1"/>
    <s v="All Stars"/>
  </r>
  <r>
    <x v="24"/>
    <s v="M"/>
    <s v="P2"/>
    <m/>
    <m/>
    <m/>
    <m/>
    <m/>
    <m/>
    <m/>
    <m/>
    <x v="3"/>
    <m/>
    <m/>
    <m/>
    <m/>
    <m/>
    <m/>
    <n v="0.9375"/>
    <m/>
    <n v="1"/>
    <s v="All Stars"/>
  </r>
  <r>
    <x v="2"/>
    <s v="M"/>
    <s v="P2"/>
    <m/>
    <m/>
    <m/>
    <m/>
    <m/>
    <m/>
    <m/>
    <m/>
    <x v="3"/>
    <m/>
    <m/>
    <m/>
    <m/>
    <m/>
    <m/>
    <n v="4.6875"/>
    <m/>
    <n v="1"/>
    <s v="UltraSYR"/>
  </r>
  <r>
    <x v="14"/>
    <s v="M"/>
    <s v="P2"/>
    <m/>
    <m/>
    <m/>
    <m/>
    <m/>
    <m/>
    <m/>
    <m/>
    <x v="3"/>
    <m/>
    <m/>
    <m/>
    <m/>
    <m/>
    <m/>
    <n v="4.3125"/>
    <m/>
    <n v="1"/>
    <s v="UltraSYR"/>
  </r>
  <r>
    <x v="29"/>
    <s v="F"/>
    <s v="P2"/>
    <m/>
    <m/>
    <m/>
    <m/>
    <m/>
    <m/>
    <m/>
    <m/>
    <x v="3"/>
    <m/>
    <m/>
    <m/>
    <m/>
    <m/>
    <m/>
    <n v="3.625"/>
    <m/>
    <n v="1"/>
    <s v="UltraSYR"/>
  </r>
  <r>
    <x v="4"/>
    <s v="M"/>
    <s v="P2"/>
    <m/>
    <m/>
    <m/>
    <m/>
    <m/>
    <m/>
    <m/>
    <m/>
    <x v="3"/>
    <m/>
    <m/>
    <m/>
    <m/>
    <m/>
    <m/>
    <n v="4.25"/>
    <m/>
    <n v="1"/>
    <s v="UltraSYR"/>
  </r>
  <r>
    <x v="28"/>
    <s v="M"/>
    <s v="P2"/>
    <m/>
    <m/>
    <m/>
    <m/>
    <m/>
    <m/>
    <m/>
    <m/>
    <x v="3"/>
    <m/>
    <m/>
    <m/>
    <m/>
    <m/>
    <m/>
    <n v="2.625"/>
    <m/>
    <n v="1"/>
    <s v="UltraSYR"/>
  </r>
  <r>
    <x v="26"/>
    <s v="M"/>
    <s v="P2"/>
    <m/>
    <m/>
    <m/>
    <m/>
    <m/>
    <m/>
    <m/>
    <m/>
    <x v="3"/>
    <m/>
    <m/>
    <m/>
    <m/>
    <m/>
    <m/>
    <n v="1.5"/>
    <m/>
    <n v="1"/>
    <e v="#N/A"/>
  </r>
  <r>
    <x v="9"/>
    <s v="M"/>
    <s v="P2"/>
    <m/>
    <m/>
    <m/>
    <m/>
    <m/>
    <m/>
    <m/>
    <m/>
    <x v="3"/>
    <m/>
    <m/>
    <m/>
    <m/>
    <m/>
    <m/>
    <n v="2.4375"/>
    <m/>
    <n v="1"/>
    <s v="UltraSYR"/>
  </r>
  <r>
    <x v="21"/>
    <s v="M"/>
    <s v="P2"/>
    <m/>
    <m/>
    <m/>
    <m/>
    <m/>
    <m/>
    <m/>
    <m/>
    <x v="3"/>
    <m/>
    <m/>
    <m/>
    <m/>
    <m/>
    <m/>
    <n v="1.375"/>
    <m/>
    <n v="1"/>
    <s v="All Stars"/>
  </r>
  <r>
    <x v="25"/>
    <s v="M"/>
    <s v="P2"/>
    <m/>
    <m/>
    <m/>
    <m/>
    <m/>
    <m/>
    <m/>
    <m/>
    <x v="3"/>
    <m/>
    <m/>
    <m/>
    <m/>
    <m/>
    <m/>
    <n v="2.625"/>
    <m/>
    <n v="1"/>
    <s v="All Stars"/>
  </r>
  <r>
    <x v="8"/>
    <s v="M"/>
    <s v="P2"/>
    <m/>
    <m/>
    <m/>
    <m/>
    <m/>
    <m/>
    <m/>
    <m/>
    <x v="3"/>
    <m/>
    <m/>
    <m/>
    <m/>
    <m/>
    <m/>
    <n v="3.0625"/>
    <m/>
    <n v="1"/>
    <e v="#N/A"/>
  </r>
  <r>
    <x v="6"/>
    <s v="M"/>
    <s v="P2"/>
    <m/>
    <m/>
    <m/>
    <m/>
    <m/>
    <m/>
    <m/>
    <m/>
    <x v="3"/>
    <m/>
    <m/>
    <m/>
    <m/>
    <m/>
    <m/>
    <n v="0.8125"/>
    <m/>
    <n v="1"/>
    <s v="All Stars"/>
  </r>
  <r>
    <x v="16"/>
    <s v="M"/>
    <s v="P2"/>
    <m/>
    <m/>
    <m/>
    <m/>
    <m/>
    <m/>
    <m/>
    <m/>
    <x v="3"/>
    <m/>
    <m/>
    <m/>
    <m/>
    <m/>
    <m/>
    <n v="1.625"/>
    <m/>
    <n v="1"/>
    <s v="All Stars"/>
  </r>
  <r>
    <x v="0"/>
    <s v="M"/>
    <s v="P2"/>
    <m/>
    <m/>
    <m/>
    <m/>
    <m/>
    <m/>
    <m/>
    <m/>
    <x v="3"/>
    <m/>
    <m/>
    <m/>
    <m/>
    <m/>
    <m/>
    <n v="4"/>
    <m/>
    <n v="1"/>
    <s v="All Stars"/>
  </r>
  <r>
    <x v="22"/>
    <s v="M"/>
    <s v="P2"/>
    <m/>
    <m/>
    <m/>
    <m/>
    <m/>
    <m/>
    <m/>
    <m/>
    <x v="3"/>
    <m/>
    <m/>
    <m/>
    <m/>
    <m/>
    <m/>
    <n v="0.75"/>
    <m/>
    <n v="1"/>
    <e v="#N/A"/>
  </r>
  <r>
    <x v="11"/>
    <s v="M"/>
    <s v="P2"/>
    <m/>
    <m/>
    <m/>
    <m/>
    <m/>
    <m/>
    <m/>
    <m/>
    <x v="3"/>
    <m/>
    <m/>
    <m/>
    <m/>
    <m/>
    <m/>
    <n v="3.5625"/>
    <m/>
    <n v="1"/>
    <s v="UltraSYR"/>
  </r>
  <r>
    <x v="13"/>
    <s v="F"/>
    <s v="P2"/>
    <m/>
    <m/>
    <m/>
    <m/>
    <m/>
    <m/>
    <m/>
    <m/>
    <x v="3"/>
    <m/>
    <m/>
    <m/>
    <m/>
    <m/>
    <m/>
    <n v="2.6875"/>
    <m/>
    <n v="1"/>
    <s v="All Stars"/>
  </r>
  <r>
    <x v="15"/>
    <s v="M"/>
    <s v="P2"/>
    <m/>
    <m/>
    <m/>
    <m/>
    <m/>
    <m/>
    <m/>
    <m/>
    <x v="3"/>
    <m/>
    <m/>
    <m/>
    <m/>
    <m/>
    <m/>
    <n v="0.3125"/>
    <m/>
    <n v="1"/>
    <e v="#N/A"/>
  </r>
  <r>
    <x v="20"/>
    <s v="M"/>
    <s v="P2"/>
    <m/>
    <m/>
    <m/>
    <m/>
    <m/>
    <m/>
    <m/>
    <m/>
    <x v="3"/>
    <m/>
    <m/>
    <m/>
    <m/>
    <m/>
    <m/>
    <n v="1.375"/>
    <m/>
    <n v="1"/>
    <s v="All Stars"/>
  </r>
  <r>
    <x v="10"/>
    <s v="F"/>
    <s v="P2"/>
    <m/>
    <m/>
    <m/>
    <m/>
    <m/>
    <m/>
    <m/>
    <m/>
    <x v="3"/>
    <m/>
    <m/>
    <m/>
    <m/>
    <m/>
    <m/>
    <n v="1.5625"/>
    <m/>
    <n v="1"/>
    <s v="UltraSYR"/>
  </r>
  <r>
    <x v="5"/>
    <s v="F"/>
    <s v="P2"/>
    <m/>
    <m/>
    <m/>
    <m/>
    <m/>
    <m/>
    <m/>
    <m/>
    <x v="3"/>
    <m/>
    <m/>
    <m/>
    <m/>
    <m/>
    <m/>
    <n v="3.5"/>
    <m/>
    <n v="1"/>
    <s v="UltraSYR"/>
  </r>
  <r>
    <x v="27"/>
    <s v="M"/>
    <s v="P2"/>
    <m/>
    <m/>
    <m/>
    <m/>
    <m/>
    <m/>
    <m/>
    <m/>
    <x v="3"/>
    <m/>
    <m/>
    <m/>
    <m/>
    <m/>
    <m/>
    <n v="1.875"/>
    <m/>
    <n v="1"/>
    <s v="All Stars"/>
  </r>
  <r>
    <x v="7"/>
    <s v="F"/>
    <s v="P2"/>
    <m/>
    <m/>
    <m/>
    <m/>
    <m/>
    <m/>
    <m/>
    <m/>
    <x v="3"/>
    <m/>
    <m/>
    <m/>
    <m/>
    <m/>
    <m/>
    <n v="2.625"/>
    <m/>
    <n v="1"/>
    <e v="#N/A"/>
  </r>
  <r>
    <x v="33"/>
    <s v="F"/>
    <s v="P2"/>
    <m/>
    <m/>
    <m/>
    <m/>
    <m/>
    <m/>
    <m/>
    <m/>
    <x v="3"/>
    <m/>
    <m/>
    <m/>
    <m/>
    <m/>
    <m/>
    <n v="3.0625"/>
    <m/>
    <n v="1"/>
    <e v="#N/A"/>
  </r>
  <r>
    <x v="12"/>
    <s v="M"/>
    <s v="P2"/>
    <m/>
    <m/>
    <m/>
    <m/>
    <m/>
    <m/>
    <m/>
    <m/>
    <x v="3"/>
    <m/>
    <m/>
    <m/>
    <m/>
    <m/>
    <m/>
    <n v="3.0625"/>
    <m/>
    <n v="1"/>
    <s v="UltraSYR"/>
  </r>
  <r>
    <x v="30"/>
    <s v="M"/>
    <s v="P2"/>
    <m/>
    <m/>
    <m/>
    <m/>
    <m/>
    <m/>
    <m/>
    <m/>
    <x v="3"/>
    <m/>
    <m/>
    <m/>
    <m/>
    <m/>
    <m/>
    <n v="1.0625"/>
    <m/>
    <n v="1"/>
    <e v="#N/A"/>
  </r>
  <r>
    <x v="35"/>
    <s v="M"/>
    <s v="P2"/>
    <m/>
    <m/>
    <m/>
    <m/>
    <m/>
    <m/>
    <m/>
    <m/>
    <x v="3"/>
    <m/>
    <m/>
    <m/>
    <m/>
    <m/>
    <m/>
    <n v="2"/>
    <m/>
    <n v="1"/>
    <e v="#N/A"/>
  </r>
  <r>
    <x v="19"/>
    <s v="F"/>
    <s v="P2"/>
    <m/>
    <m/>
    <m/>
    <m/>
    <m/>
    <m/>
    <m/>
    <m/>
    <x v="3"/>
    <m/>
    <m/>
    <m/>
    <m/>
    <m/>
    <m/>
    <n v="0.125"/>
    <m/>
    <n v="1"/>
    <s v="All Stars"/>
  </r>
  <r>
    <x v="18"/>
    <s v="M"/>
    <s v="P2"/>
    <m/>
    <m/>
    <m/>
    <m/>
    <m/>
    <m/>
    <m/>
    <m/>
    <x v="3"/>
    <m/>
    <m/>
    <m/>
    <m/>
    <m/>
    <m/>
    <n v="1.1875"/>
    <m/>
    <n v="1"/>
    <s v="UltraSYR"/>
  </r>
  <r>
    <x v="31"/>
    <s v="M"/>
    <s v="P2"/>
    <m/>
    <m/>
    <m/>
    <m/>
    <m/>
    <m/>
    <m/>
    <m/>
    <x v="3"/>
    <m/>
    <m/>
    <m/>
    <m/>
    <m/>
    <m/>
    <n v="1.75"/>
    <m/>
    <n v="1"/>
    <e v="#N/A"/>
  </r>
  <r>
    <x v="23"/>
    <s v="M"/>
    <n v="11"/>
    <n v="28.2"/>
    <d v="1899-12-30T02:02:03"/>
    <d v="1899-12-30T02:02:34"/>
    <d v="1899-12-30T02:02:18"/>
    <n v="266"/>
    <d v="1899-12-30T00:04:20"/>
    <n v="5"/>
    <n v="4"/>
    <x v="0"/>
    <n v="0.75"/>
    <n v="0.25"/>
    <n v="0.17733333333333334"/>
    <n v="0.3"/>
    <n v="0"/>
    <n v="0"/>
    <n v="5.2273333333333332"/>
    <d v="2021-11-18T00:00:00"/>
    <n v="1"/>
    <s v="All Stars"/>
  </r>
  <r>
    <x v="17"/>
    <s v="F"/>
    <n v="11"/>
    <n v="6.3"/>
    <d v="1899-12-30T00:29:03"/>
    <d v="1899-12-30T00:29:20"/>
    <d v="1899-12-30T00:29:11"/>
    <n v="0"/>
    <d v="1899-12-30T00:04:38"/>
    <n v="1.575"/>
    <n v="4.5"/>
    <x v="1"/>
    <n v="0.25"/>
    <n v="0.75"/>
    <n v="0"/>
    <n v="0"/>
    <n v="0"/>
    <n v="0"/>
    <n v="3.7687499999999998"/>
    <d v="2021-11-18T00:00:00"/>
    <n v="1"/>
    <s v="All Stars"/>
  </r>
  <r>
    <x v="2"/>
    <s v="M"/>
    <n v="11"/>
    <n v="30.01"/>
    <d v="1899-12-30T02:25:54"/>
    <d v="1899-12-30T02:29:36"/>
    <d v="1899-12-30T02:27:45"/>
    <n v="68"/>
    <d v="1899-12-30T00:04:55"/>
    <n v="5"/>
    <n v="3"/>
    <x v="1"/>
    <n v="0.25"/>
    <n v="0.75"/>
    <n v="4.5333333333333337E-2"/>
    <n v="0.4"/>
    <n v="0"/>
    <n v="0"/>
    <n v="3.9453333333333331"/>
    <d v="2021-11-21T00:00:00"/>
    <n v="1"/>
    <s v="UltraSYR"/>
  </r>
  <r>
    <x v="24"/>
    <s v="M"/>
    <n v="11"/>
    <n v="11.5"/>
    <d v="1899-12-30T00:49:28"/>
    <d v="1899-12-30T00:50:02"/>
    <d v="1899-12-30T00:49:45"/>
    <n v="51"/>
    <d v="1899-12-30T00:04:20"/>
    <n v="2.7380952380952381"/>
    <n v="4"/>
    <x v="0"/>
    <n v="0.75"/>
    <n v="0.25"/>
    <n v="3.4000000000000002E-2"/>
    <n v="0"/>
    <n v="0"/>
    <n v="0"/>
    <n v="3.0875714285714286"/>
    <d v="2021-11-16T00:00:00"/>
    <n v="1"/>
    <s v="All Stars"/>
  </r>
  <r>
    <x v="29"/>
    <s v="F"/>
    <n v="11"/>
    <n v="20.12"/>
    <d v="1899-12-30T01:40:29"/>
    <d v="1899-12-30T01:50:47"/>
    <d v="1899-12-30T01:45:38"/>
    <n v="110"/>
    <d v="1899-12-30T00:05:15"/>
    <n v="5"/>
    <n v="3.5"/>
    <x v="0"/>
    <n v="0.75"/>
    <n v="0.25"/>
    <n v="7.3333333333333334E-2"/>
    <n v="0"/>
    <n v="0"/>
    <n v="0"/>
    <n v="4.6983333333333333"/>
    <d v="2021-11-21T00:00:00"/>
    <n v="1"/>
    <s v="UltraSYR"/>
  </r>
  <r>
    <x v="26"/>
    <s v="M"/>
    <n v="11"/>
    <n v="21.1"/>
    <d v="1899-12-30T01:29:04"/>
    <d v="1899-12-30T01:36:37"/>
    <d v="1899-12-30T01:32:50"/>
    <n v="14"/>
    <d v="1899-12-30T00:04:24"/>
    <n v="5"/>
    <n v="4"/>
    <x v="0"/>
    <n v="0.75"/>
    <n v="0.25"/>
    <n v="0"/>
    <n v="0"/>
    <n v="0"/>
    <n v="0"/>
    <n v="4.75"/>
    <d v="2021-11-21T00:00:00"/>
    <n v="1"/>
    <e v="#N/A"/>
  </r>
  <r>
    <x v="9"/>
    <s v="M"/>
    <n v="11"/>
    <n v="12.6"/>
    <d v="1899-12-30T00:56:18"/>
    <d v="1899-12-30T00:56:18"/>
    <d v="1899-12-30T00:56:18"/>
    <n v="11"/>
    <d v="1899-12-30T00:04:28"/>
    <n v="3"/>
    <n v="4"/>
    <x v="1"/>
    <n v="0.25"/>
    <n v="0.75"/>
    <n v="0"/>
    <n v="0"/>
    <n v="0"/>
    <n v="0"/>
    <n v="3.75"/>
    <d v="2021-11-19T00:00:00"/>
    <n v="1"/>
    <s v="UltraSYR"/>
  </r>
  <r>
    <x v="14"/>
    <s v="M"/>
    <n v="11"/>
    <n v="15.03"/>
    <d v="1899-12-30T01:10:56"/>
    <d v="1899-12-30T01:11:00"/>
    <d v="1899-12-30T01:10:58"/>
    <n v="52"/>
    <d v="1899-12-30T00:04:43"/>
    <n v="3.5785714285714283"/>
    <n v="3.5"/>
    <x v="1"/>
    <n v="0.25"/>
    <n v="0.75"/>
    <n v="3.4666666666666665E-2"/>
    <n v="0"/>
    <n v="0"/>
    <n v="0"/>
    <n v="3.5543095238095241"/>
    <d v="2021-11-17T00:00:00"/>
    <n v="1"/>
    <s v="UltraSYR"/>
  </r>
  <r>
    <x v="21"/>
    <s v="M"/>
    <n v="11"/>
    <n v="10.52"/>
    <d v="1899-12-30T00:48:31"/>
    <d v="1899-12-30T00:48:38"/>
    <d v="1899-12-30T00:48:35"/>
    <n v="15"/>
    <d v="1899-12-30T00:04:37"/>
    <n v="2.5047619047619047"/>
    <n v="3.5"/>
    <x v="1"/>
    <n v="0.25"/>
    <n v="0.75"/>
    <n v="0"/>
    <n v="0"/>
    <n v="0"/>
    <n v="0"/>
    <n v="3.2511904761904762"/>
    <d v="2021-11-16T00:00:00"/>
    <n v="1"/>
    <s v="All Stars"/>
  </r>
  <r>
    <x v="28"/>
    <s v="M"/>
    <n v="11"/>
    <n v="3.02"/>
    <d v="1899-12-30T00:11:46"/>
    <d v="1899-12-30T00:11:46"/>
    <d v="1899-12-30T00:11:46"/>
    <n v="5"/>
    <d v="1899-12-30T00:03:54"/>
    <n v="0.71904761904761905"/>
    <n v="5"/>
    <x v="1"/>
    <n v="0.25"/>
    <n v="0.75"/>
    <n v="0"/>
    <n v="0"/>
    <n v="0.45000000000000007"/>
    <n v="0"/>
    <n v="4.3797619047619047"/>
    <d v="2021-11-20T00:00:00"/>
    <n v="1"/>
    <s v="UltraSYR"/>
  </r>
  <r>
    <x v="6"/>
    <s v="M"/>
    <n v="11"/>
    <n v="16.02"/>
    <d v="1899-12-30T01:20:21"/>
    <d v="1899-12-30T01:23:44"/>
    <d v="1899-12-30T01:22:03"/>
    <n v="47"/>
    <d v="1899-12-30T00:05:07"/>
    <n v="3.8142857142857141"/>
    <n v="2.5"/>
    <x v="0"/>
    <n v="0.75"/>
    <n v="0.25"/>
    <n v="0"/>
    <n v="0"/>
    <n v="0"/>
    <n v="0"/>
    <n v="3.4857142857142858"/>
    <d v="2021-11-21T00:00:00"/>
    <n v="1"/>
    <s v="All Stars"/>
  </r>
  <r>
    <x v="0"/>
    <s v="M"/>
    <n v="11"/>
    <n v="14"/>
    <d v="1899-12-30T01:09:54"/>
    <d v="1899-12-30T01:09:54"/>
    <d v="1899-12-30T01:09:54"/>
    <n v="18"/>
    <d v="1899-12-30T00:05:00"/>
    <n v="3.333333333333333"/>
    <n v="3"/>
    <x v="1"/>
    <n v="0.25"/>
    <n v="0.75"/>
    <n v="0"/>
    <n v="0"/>
    <n v="0"/>
    <n v="0"/>
    <n v="3.083333333333333"/>
    <d v="2021-11-18T00:00:00"/>
    <n v="1"/>
    <s v="All Stars"/>
  </r>
  <r>
    <x v="20"/>
    <s v="M"/>
    <n v="11"/>
    <n v="18.600000000000001"/>
    <d v="1899-12-30T01:50:03"/>
    <d v="1899-12-30T01:51:55"/>
    <d v="1899-12-30T01:50:59"/>
    <n v="429"/>
    <d v="1899-12-30T00:05:58"/>
    <n v="4.4285714285714288"/>
    <n v="1.5"/>
    <x v="0"/>
    <n v="0.75"/>
    <n v="0.25"/>
    <n v="0.28599999999999998"/>
    <n v="0"/>
    <n v="0"/>
    <n v="0"/>
    <n v="3.9824285714285717"/>
    <d v="2021-11-20T00:00:00"/>
    <n v="1"/>
    <s v="All Stars"/>
  </r>
  <r>
    <x v="8"/>
    <s v="M"/>
    <n v="11"/>
    <n v="20"/>
    <d v="1899-12-30T01:47:43"/>
    <d v="1899-12-30T01:49:24"/>
    <d v="1899-12-30T01:48:33"/>
    <n v="38"/>
    <d v="1899-12-30T00:05:26"/>
    <n v="4.7619047619047619"/>
    <n v="2"/>
    <x v="0"/>
    <n v="0.75"/>
    <n v="0.25"/>
    <n v="0"/>
    <n v="0"/>
    <n v="0"/>
    <n v="0"/>
    <n v="4.0714285714285712"/>
    <d v="2021-11-20T00:00:00"/>
    <n v="1"/>
    <e v="#N/A"/>
  </r>
  <r>
    <x v="11"/>
    <s v="M"/>
    <n v="11"/>
    <n v="15.01"/>
    <d v="1899-12-30T01:14:13"/>
    <d v="1899-12-30T01:16:11"/>
    <d v="1899-12-30T01:15:12"/>
    <n v="89"/>
    <d v="1899-12-30T00:05:01"/>
    <n v="3.5738095238095235"/>
    <n v="3"/>
    <x v="0"/>
    <n v="0.75"/>
    <n v="0.25"/>
    <n v="5.9333333333333335E-2"/>
    <n v="0"/>
    <n v="0"/>
    <n v="0"/>
    <n v="3.4896904761904763"/>
    <d v="2021-11-16T00:00:00"/>
    <n v="1"/>
    <s v="UltraSYR"/>
  </r>
  <r>
    <x v="27"/>
    <s v="M"/>
    <n v="11"/>
    <n v="19.21"/>
    <d v="1899-12-30T01:37:41"/>
    <d v="1899-12-30T01:37:41"/>
    <d v="1899-12-30T01:37:41"/>
    <n v="15"/>
    <d v="1899-12-30T00:05:05"/>
    <n v="4.5738095238095235"/>
    <n v="2.5"/>
    <x v="0"/>
    <n v="0.75"/>
    <n v="0.25"/>
    <n v="0"/>
    <n v="0"/>
    <n v="0"/>
    <n v="0"/>
    <n v="4.0553571428571429"/>
    <d v="2021-11-20T00:00:00"/>
    <n v="1"/>
    <s v="All Stars"/>
  </r>
  <r>
    <x v="16"/>
    <s v="M"/>
    <n v="11"/>
    <n v="21.23"/>
    <d v="1899-12-30T01:57:25"/>
    <d v="1899-12-30T02:02:32"/>
    <d v="1899-12-30T01:59:59"/>
    <n v="250"/>
    <d v="1899-12-30T00:05:39"/>
    <n v="5"/>
    <n v="1.5"/>
    <x v="0"/>
    <n v="0.75"/>
    <n v="0.25"/>
    <n v="0.16666666666666666"/>
    <n v="0"/>
    <n v="0"/>
    <n v="0"/>
    <n v="4.291666666666667"/>
    <d v="2021-11-17T00:00:00"/>
    <n v="1"/>
    <s v="All Stars"/>
  </r>
  <r>
    <x v="22"/>
    <s v="M"/>
    <n v="11"/>
    <n v="21.4"/>
    <d v="1899-12-30T01:50:49"/>
    <d v="1899-12-30T02:01:38"/>
    <d v="1899-12-30T01:56:13"/>
    <n v="25"/>
    <d v="1899-12-30T00:05:26"/>
    <n v="5"/>
    <n v="2"/>
    <x v="0"/>
    <n v="0.75"/>
    <n v="0.25"/>
    <n v="0"/>
    <n v="0"/>
    <n v="0"/>
    <n v="0"/>
    <n v="4.25"/>
    <d v="2021-11-18T00:00:00"/>
    <n v="1"/>
    <e v="#N/A"/>
  </r>
  <r>
    <x v="10"/>
    <s v="F"/>
    <n v="11"/>
    <n v="3.01"/>
    <d v="1899-12-30T00:15:09"/>
    <d v="1899-12-30T00:15:20"/>
    <d v="1899-12-30T00:15:15"/>
    <n v="0"/>
    <d v="1899-12-30T00:05:04"/>
    <n v="0.75249999999999995"/>
    <n v="3.5"/>
    <x v="1"/>
    <n v="0.25"/>
    <n v="0.75"/>
    <n v="0"/>
    <n v="0"/>
    <n v="0"/>
    <n v="0"/>
    <n v="2.8131249999999999"/>
    <d v="2021-11-21T00:00:00"/>
    <n v="1"/>
    <s v="UltraSYR"/>
  </r>
  <r>
    <x v="5"/>
    <s v="F"/>
    <n v="11"/>
    <n v="14.01"/>
    <d v="1899-12-30T01:20:44"/>
    <d v="1899-12-30T01:42:07"/>
    <d v="1899-12-30T01:31:25"/>
    <n v="32"/>
    <d v="1899-12-30T00:06:32"/>
    <n v="3.5024999999999999"/>
    <n v="1"/>
    <x v="0"/>
    <n v="0.75"/>
    <n v="0.25"/>
    <n v="0"/>
    <n v="0"/>
    <n v="0"/>
    <n v="0"/>
    <n v="2.8768750000000001"/>
    <d v="2021-11-20T00:00:00"/>
    <n v="1"/>
    <s v="UltraSYR"/>
  </r>
  <r>
    <x v="30"/>
    <s v="M"/>
    <n v="11"/>
    <n v="12.23"/>
    <d v="1899-12-30T01:08:09"/>
    <d v="1899-12-30T01:13:03"/>
    <d v="1899-12-30T01:10:36"/>
    <n v="10"/>
    <d v="1899-12-30T00:05:46"/>
    <n v="2.9119047619047618"/>
    <n v="1.5"/>
    <x v="0"/>
    <n v="0.75"/>
    <n v="0.25"/>
    <n v="0"/>
    <n v="0"/>
    <n v="0"/>
    <n v="0"/>
    <n v="2.5589285714285714"/>
    <d v="2021-11-21T00:00:00"/>
    <n v="1"/>
    <e v="#N/A"/>
  </r>
  <r>
    <x v="33"/>
    <s v="F"/>
    <n v="11"/>
    <n v="2.5099999999999998"/>
    <d v="1899-12-30T00:14:02"/>
    <d v="1899-12-30T00:14:02"/>
    <d v="1899-12-30T00:14:02"/>
    <n v="2"/>
    <d v="1899-12-30T00:05:35"/>
    <n v="0.62749999999999995"/>
    <n v="2.5"/>
    <x v="1"/>
    <n v="0.25"/>
    <n v="0.75"/>
    <n v="0"/>
    <n v="0"/>
    <n v="0"/>
    <n v="0"/>
    <n v="2.0318749999999999"/>
    <d v="2021-11-21T00:00:00"/>
    <n v="1"/>
    <e v="#N/A"/>
  </r>
  <r>
    <x v="12"/>
    <s v="M"/>
    <n v="11"/>
    <n v="12.989999999999998"/>
    <d v="1899-12-30T01:25:57"/>
    <d v="1899-12-30T01:25:57"/>
    <d v="1899-12-30T01:25:57"/>
    <n v="78"/>
    <d v="1899-12-30T00:06:37"/>
    <n v="3.0928571428571425"/>
    <n v="1"/>
    <x v="0"/>
    <n v="0.75"/>
    <n v="0.25"/>
    <n v="5.1999999999999998E-2"/>
    <n v="0"/>
    <n v="0"/>
    <n v="0.4"/>
    <n v="3.0216428571428571"/>
    <d v="2021-11-20T00:00:00"/>
    <n v="1"/>
    <s v="UltraSYR"/>
  </r>
  <r>
    <x v="18"/>
    <s v="M"/>
    <n v="11"/>
    <n v="3.03"/>
    <d v="1899-12-30T00:15:30"/>
    <d v="1899-12-30T00:15:30"/>
    <d v="1899-12-30T00:15:30"/>
    <n v="7"/>
    <d v="1899-12-30T00:05:07"/>
    <n v="0.72142857142857131"/>
    <n v="2.5"/>
    <x v="1"/>
    <n v="0.25"/>
    <n v="0.75"/>
    <n v="0"/>
    <n v="0"/>
    <n v="0"/>
    <n v="0"/>
    <n v="2.0553571428571429"/>
    <d v="2021-11-21T00:00:00"/>
    <n v="1"/>
    <s v="UltraSYR"/>
  </r>
  <r>
    <x v="7"/>
    <s v="F"/>
    <n v="11"/>
    <n v="8.1300000000000008"/>
    <d v="1899-12-30T00:55:10"/>
    <d v="1899-12-30T01:22:56"/>
    <d v="1899-12-30T01:09:03"/>
    <n v="0"/>
    <d v="1899-12-30T00:08:30"/>
    <n v="2.0325000000000002"/>
    <n v="1"/>
    <x v="0"/>
    <n v="0.75"/>
    <n v="0.25"/>
    <n v="0"/>
    <n v="0"/>
    <n v="0"/>
    <n v="0.7"/>
    <n v="2.4743750000000002"/>
    <d v="2021-11-15T00:00:00"/>
    <n v="1"/>
    <e v="#N/A"/>
  </r>
  <r>
    <x v="23"/>
    <s v="M"/>
    <n v="12"/>
    <n v="33.01"/>
    <d v="1899-12-30T02:24:17"/>
    <d v="1899-12-30T02:24:17"/>
    <d v="1899-12-30T02:24:17"/>
    <n v="306"/>
    <d v="1899-12-30T00:04:22"/>
    <n v="5"/>
    <n v="4"/>
    <x v="0"/>
    <n v="0.75"/>
    <n v="0.25"/>
    <n v="0.20399999999999999"/>
    <n v="0.6"/>
    <n v="0"/>
    <n v="0"/>
    <n v="5.5539999999999994"/>
    <d v="2021-11-23T00:00:00"/>
    <n v="1"/>
    <s v="All Stars"/>
  </r>
  <r>
    <x v="17"/>
    <s v="F"/>
    <n v="12"/>
    <n v="20.87"/>
    <d v="1899-12-30T01:39:24"/>
    <d v="1899-12-30T01:39:57"/>
    <d v="1899-12-30T01:39:41"/>
    <n v="185"/>
    <d v="1899-12-30T00:04:47"/>
    <n v="5"/>
    <n v="4"/>
    <x v="0"/>
    <n v="0.75"/>
    <n v="0.25"/>
    <n v="0.12333333333333334"/>
    <n v="0"/>
    <n v="0"/>
    <n v="0"/>
    <n v="4.8733333333333331"/>
    <d v="2021-11-26T00:00:00"/>
    <n v="1"/>
    <s v="All Stars"/>
  </r>
  <r>
    <x v="2"/>
    <s v="M"/>
    <n v="12"/>
    <n v="21.28"/>
    <d v="1899-12-30T02:23:09"/>
    <d v="1899-12-30T02:48:13"/>
    <d v="1899-12-30T02:35:41"/>
    <n v="735"/>
    <d v="1899-12-30T00:07:19"/>
    <n v="5"/>
    <n v="1"/>
    <x v="0"/>
    <n v="0.75"/>
    <n v="0.25"/>
    <n v="0.49"/>
    <n v="0"/>
    <n v="0"/>
    <n v="0"/>
    <n v="4.49"/>
    <d v="2021-11-28T00:00:00"/>
    <n v="1"/>
    <s v="UltraSYR"/>
  </r>
  <r>
    <x v="29"/>
    <s v="F"/>
    <n v="12"/>
    <n v="17.03"/>
    <d v="1899-12-30T01:20:47"/>
    <d v="1899-12-30T01:28:48"/>
    <d v="1899-12-30T01:24:48"/>
    <n v="88"/>
    <d v="1899-12-30T00:04:59"/>
    <n v="4.2575000000000003"/>
    <n v="4"/>
    <x v="1"/>
    <n v="0.25"/>
    <n v="0.75"/>
    <n v="5.8666666666666666E-2"/>
    <n v="0"/>
    <n v="0"/>
    <n v="0"/>
    <n v="4.1230416666666665"/>
    <d v="2021-11-25T00:00:00"/>
    <n v="1"/>
    <s v="UltraSYR"/>
  </r>
  <r>
    <x v="24"/>
    <s v="M"/>
    <n v="12"/>
    <n v="30.05"/>
    <d v="1899-12-30T02:05:29"/>
    <d v="1899-12-30T02:05:46"/>
    <d v="1899-12-30T02:05:38"/>
    <n v="168"/>
    <d v="1899-12-30T00:04:11"/>
    <n v="5"/>
    <n v="4.5"/>
    <x v="1"/>
    <n v="0.25"/>
    <n v="0.75"/>
    <n v="0.112"/>
    <n v="0.4"/>
    <n v="0"/>
    <n v="0"/>
    <n v="5.1370000000000005"/>
    <d v="2021-11-25T00:00:00"/>
    <n v="1"/>
    <s v="All Stars"/>
  </r>
  <r>
    <x v="26"/>
    <s v="M"/>
    <n v="12"/>
    <n v="11.01"/>
    <d v="1899-12-30T00:46:17"/>
    <d v="1899-12-30T00:47:43"/>
    <d v="1899-12-30T00:47:00"/>
    <n v="5"/>
    <d v="1899-12-30T00:04:16"/>
    <n v="2.6214285714285714"/>
    <n v="4"/>
    <x v="1"/>
    <n v="0.25"/>
    <n v="0.75"/>
    <n v="0"/>
    <n v="0"/>
    <n v="0"/>
    <n v="0"/>
    <n v="3.655357142857143"/>
    <d v="2021-11-25T00:00:00"/>
    <n v="1"/>
    <e v="#N/A"/>
  </r>
  <r>
    <x v="9"/>
    <s v="M"/>
    <n v="12"/>
    <n v="22.1"/>
    <d v="1899-12-30T01:47:42"/>
    <d v="1899-12-30T01:47:42"/>
    <d v="1899-12-30T01:47:42"/>
    <n v="28"/>
    <d v="1899-12-30T00:04:52"/>
    <n v="5"/>
    <n v="3"/>
    <x v="0"/>
    <n v="0.75"/>
    <n v="0.25"/>
    <n v="0"/>
    <n v="0"/>
    <n v="0"/>
    <n v="0"/>
    <n v="4.5"/>
    <d v="2021-11-27T00:00:00"/>
    <n v="1"/>
    <s v="UltraSYR"/>
  </r>
  <r>
    <x v="14"/>
    <s v="M"/>
    <n v="12"/>
    <n v="12.04"/>
    <d v="1899-12-30T00:55:30"/>
    <d v="1899-12-30T00:55:30"/>
    <d v="1899-12-30T00:55:30"/>
    <n v="50"/>
    <d v="1899-12-30T00:04:37"/>
    <n v="2.8666666666666663"/>
    <n v="3.5"/>
    <x v="1"/>
    <n v="0.25"/>
    <n v="0.75"/>
    <n v="3.3333333333333333E-2"/>
    <n v="0"/>
    <n v="0"/>
    <n v="0"/>
    <n v="3.375"/>
    <d v="2021-11-25T00:00:00"/>
    <n v="1"/>
    <s v="UltraSYR"/>
  </r>
  <r>
    <x v="28"/>
    <s v="M"/>
    <n v="12"/>
    <n v="11.59"/>
    <d v="1899-12-30T01:00:05"/>
    <d v="1899-12-30T01:00:49"/>
    <d v="1899-12-30T01:00:27"/>
    <n v="53"/>
    <d v="1899-12-30T00:05:13"/>
    <n v="2.7595238095238095"/>
    <n v="2.5"/>
    <x v="1"/>
    <n v="0.25"/>
    <n v="0.75"/>
    <n v="3.5333333333333335E-2"/>
    <n v="0"/>
    <n v="0"/>
    <n v="0"/>
    <n v="2.6002142857142858"/>
    <d v="2021-11-27T00:00:00"/>
    <n v="1"/>
    <s v="UltraSYR"/>
  </r>
  <r>
    <x v="21"/>
    <s v="M"/>
    <n v="12"/>
    <n v="25.29"/>
    <d v="1899-12-30T02:03:30"/>
    <d v="1899-12-30T02:08:58"/>
    <d v="1899-12-30T02:06:14"/>
    <n v="78"/>
    <d v="1899-12-30T00:04:59"/>
    <n v="5"/>
    <n v="3"/>
    <x v="0"/>
    <n v="0.75"/>
    <n v="0.25"/>
    <n v="5.1999999999999998E-2"/>
    <n v="0.2"/>
    <n v="0"/>
    <n v="0"/>
    <n v="4.7519999999999998"/>
    <d v="2021-11-27T00:00:00"/>
    <n v="1"/>
    <s v="All Stars"/>
  </r>
  <r>
    <x v="6"/>
    <s v="M"/>
    <n v="12"/>
    <n v="10.130000000000001"/>
    <d v="1899-12-30T00:44:51"/>
    <d v="1899-12-30T00:45:00"/>
    <d v="1899-12-30T00:44:55"/>
    <n v="22"/>
    <d v="1899-12-30T00:04:26"/>
    <n v="2.4119047619047618"/>
    <n v="4"/>
    <x v="1"/>
    <n v="0.25"/>
    <n v="0.75"/>
    <n v="0"/>
    <n v="0"/>
    <n v="0"/>
    <n v="0"/>
    <n v="3.6029761904761903"/>
    <d v="2021-11-23T00:00:00"/>
    <n v="1"/>
    <s v="All Stars"/>
  </r>
  <r>
    <x v="0"/>
    <s v="M"/>
    <n v="12"/>
    <n v="14.5"/>
    <d v="1899-12-30T01:08:29"/>
    <d v="1899-12-30T01:08:29"/>
    <d v="1899-12-30T01:08:29"/>
    <n v="15"/>
    <d v="1899-12-30T00:04:43"/>
    <n v="3.4523809523809521"/>
    <n v="3.5"/>
    <x v="1"/>
    <n v="0.25"/>
    <n v="0.75"/>
    <n v="0"/>
    <n v="0"/>
    <n v="0"/>
    <n v="0"/>
    <n v="3.4880952380952381"/>
    <d v="2021-11-22T00:00:00"/>
    <n v="1"/>
    <s v="All Stars"/>
  </r>
  <r>
    <x v="20"/>
    <s v="M"/>
    <n v="12"/>
    <n v="3.52"/>
    <d v="1899-12-30T00:16:21"/>
    <d v="1899-12-30T00:17:18"/>
    <d v="1899-12-30T00:16:49"/>
    <n v="56"/>
    <d v="1899-12-30T00:04:47"/>
    <n v="0.83809523809523812"/>
    <n v="3"/>
    <x v="1"/>
    <n v="0.25"/>
    <n v="0.75"/>
    <n v="3.7333333333333336E-2"/>
    <n v="0"/>
    <n v="0"/>
    <n v="0"/>
    <n v="2.4968571428571429"/>
    <d v="2021-11-23T00:00:00"/>
    <n v="1"/>
    <s v="All Stars"/>
  </r>
  <r>
    <x v="8"/>
    <s v="M"/>
    <n v="12"/>
    <n v="5"/>
    <d v="1899-12-30T00:23:15"/>
    <d v="1899-12-30T00:23:15"/>
    <d v="1899-12-30T00:23:15"/>
    <n v="21"/>
    <d v="1899-12-30T00:04:39"/>
    <n v="1.1904761904761905"/>
    <n v="3.5"/>
    <x v="1"/>
    <n v="0.25"/>
    <n v="0.75"/>
    <n v="0"/>
    <n v="0"/>
    <n v="0"/>
    <n v="0"/>
    <n v="2.9226190476190474"/>
    <d v="2021-11-22T00:00:00"/>
    <n v="1"/>
    <e v="#N/A"/>
  </r>
  <r>
    <x v="13"/>
    <s v="F"/>
    <n v="12"/>
    <n v="3.01"/>
    <d v="1899-12-30T00:14:20"/>
    <d v="1899-12-30T00:14:20"/>
    <d v="1899-12-30T00:14:20"/>
    <n v="2"/>
    <d v="1899-12-30T00:04:46"/>
    <n v="0.75249999999999995"/>
    <n v="4.5"/>
    <x v="0"/>
    <n v="0.75"/>
    <n v="0.25"/>
    <n v="0"/>
    <n v="0"/>
    <n v="0"/>
    <n v="0"/>
    <n v="1.6893750000000001"/>
    <d v="2021-11-25T00:00:00"/>
    <n v="1"/>
    <s v="All Stars"/>
  </r>
  <r>
    <x v="11"/>
    <s v="M"/>
    <n v="12"/>
    <n v="10.16"/>
    <d v="1899-12-30T00:49:25"/>
    <d v="1899-12-30T00:49:25"/>
    <d v="1899-12-30T00:49:25"/>
    <n v="0"/>
    <d v="1899-12-30T00:04:52"/>
    <n v="2.4190476190476189"/>
    <n v="3"/>
    <x v="1"/>
    <n v="0.25"/>
    <n v="0.75"/>
    <n v="0"/>
    <n v="0"/>
    <n v="0"/>
    <n v="0"/>
    <n v="2.8547619047619048"/>
    <d v="2021-11-25T00:00:00"/>
    <n v="1"/>
    <s v="UltraSYR"/>
  </r>
  <r>
    <x v="16"/>
    <s v="M"/>
    <n v="12"/>
    <n v="14.01"/>
    <d v="1899-12-30T01:10:24"/>
    <d v="1899-12-30T01:14:26"/>
    <d v="1899-12-30T01:12:25"/>
    <n v="53"/>
    <d v="1899-12-30T00:05:10"/>
    <n v="3.3357142857142854"/>
    <n v="2.5"/>
    <x v="1"/>
    <n v="0.25"/>
    <n v="0.75"/>
    <n v="3.5333333333333335E-2"/>
    <n v="0"/>
    <n v="0"/>
    <n v="0"/>
    <n v="2.7442619047619048"/>
    <d v="2021-11-23T00:00:00"/>
    <n v="1"/>
    <s v="All Stars"/>
  </r>
  <r>
    <x v="27"/>
    <s v="M"/>
    <n v="12"/>
    <n v="19"/>
    <d v="1899-12-30T01:38:44"/>
    <d v="1899-12-30T01:38:44"/>
    <d v="1899-12-30T01:38:44"/>
    <n v="36"/>
    <d v="1899-12-30T00:05:12"/>
    <n v="4.5238095238095237"/>
    <n v="2.5"/>
    <x v="0"/>
    <n v="0.75"/>
    <n v="0.25"/>
    <n v="0"/>
    <n v="0"/>
    <n v="0"/>
    <n v="0"/>
    <n v="4.0178571428571423"/>
    <d v="2021-11-28T00:00:00"/>
    <n v="1"/>
    <s v="All Stars"/>
  </r>
  <r>
    <x v="22"/>
    <s v="M"/>
    <n v="12"/>
    <n v="17.010000000000002"/>
    <d v="1899-12-30T01:28:45"/>
    <d v="1899-12-30T01:28:57"/>
    <d v="1899-12-30T01:28:51"/>
    <n v="6"/>
    <d v="1899-12-30T00:05:13"/>
    <n v="4.05"/>
    <n v="2.5"/>
    <x v="1"/>
    <n v="0.25"/>
    <n v="0.75"/>
    <n v="0"/>
    <n v="0"/>
    <n v="0"/>
    <n v="0"/>
    <n v="2.8875000000000002"/>
    <d v="2021-11-26T00:00:00"/>
    <n v="1"/>
    <e v="#N/A"/>
  </r>
  <r>
    <x v="10"/>
    <s v="F"/>
    <n v="12"/>
    <n v="15.01"/>
    <d v="1899-12-30T01:24:56"/>
    <d v="1899-12-30T01:27:11"/>
    <d v="1899-12-30T01:26:04"/>
    <n v="72"/>
    <d v="1899-12-30T00:05:44"/>
    <n v="3.7524999999999999"/>
    <n v="2.5"/>
    <x v="0"/>
    <n v="0.75"/>
    <n v="0.25"/>
    <n v="4.8000000000000001E-2"/>
    <n v="0"/>
    <n v="0"/>
    <n v="0"/>
    <n v="3.4873750000000001"/>
    <d v="2021-11-28T00:00:00"/>
    <n v="1"/>
    <s v="UltraSYR"/>
  </r>
  <r>
    <x v="5"/>
    <s v="F"/>
    <n v="12"/>
    <n v="11.65"/>
    <d v="1899-12-30T01:07:42"/>
    <d v="1899-12-30T01:38:11"/>
    <d v="1899-12-30T01:22:57"/>
    <n v="29"/>
    <d v="1899-12-30T00:07:07"/>
    <n v="2.9125000000000001"/>
    <n v="1"/>
    <x v="1"/>
    <n v="0.25"/>
    <n v="0.75"/>
    <n v="0"/>
    <n v="0"/>
    <n v="0"/>
    <n v="0"/>
    <n v="1.4781249999999999"/>
    <d v="2021-11-26T00:00:00"/>
    <n v="1"/>
    <s v="UltraSYR"/>
  </r>
  <r>
    <x v="30"/>
    <s v="M"/>
    <n v="12"/>
    <n v="15.22"/>
    <d v="1899-12-30T01:28:48"/>
    <d v="1899-12-30T01:32:10"/>
    <d v="1899-12-30T01:30:29"/>
    <n v="19"/>
    <d v="1899-12-30T00:05:57"/>
    <n v="3.6238095238095238"/>
    <n v="1.5"/>
    <x v="1"/>
    <n v="0.25"/>
    <n v="0.75"/>
    <n v="0"/>
    <n v="0"/>
    <n v="0"/>
    <n v="0"/>
    <n v="2.0309523809523808"/>
    <d v="2021-11-27T00:00:00"/>
    <n v="1"/>
    <e v="#N/A"/>
  </r>
  <r>
    <x v="12"/>
    <s v="M"/>
    <n v="12"/>
    <n v="13.39"/>
    <d v="1899-12-30T01:40:37"/>
    <d v="1899-12-30T02:09:06"/>
    <d v="1899-12-30T01:54:52"/>
    <n v="134"/>
    <d v="1899-12-30T00:08:35"/>
    <n v="3.1880952380952383"/>
    <n v="0"/>
    <x v="1"/>
    <n v="0.25"/>
    <n v="0.75"/>
    <n v="8.9333333333333334E-2"/>
    <n v="0"/>
    <n v="0"/>
    <n v="0.4"/>
    <n v="1.286357142857143"/>
    <d v="2021-11-27T00:00:00"/>
    <n v="1"/>
    <s v="UltraSYR"/>
  </r>
  <r>
    <x v="33"/>
    <s v="F"/>
    <n v="12"/>
    <n v="6.86"/>
    <d v="1899-12-30T00:42:01"/>
    <d v="1899-12-30T00:45:04"/>
    <d v="1899-12-30T00:43:32"/>
    <n v="50"/>
    <d v="1899-12-30T00:06:21"/>
    <n v="1.7150000000000001"/>
    <n v="1.5"/>
    <x v="0"/>
    <n v="0.75"/>
    <n v="0.25"/>
    <n v="3.3333333333333333E-2"/>
    <n v="0"/>
    <n v="0"/>
    <n v="0"/>
    <n v="1.6945833333333336"/>
    <d v="2021-11-28T00:00:00"/>
    <n v="1"/>
    <e v="#N/A"/>
  </r>
  <r>
    <x v="18"/>
    <s v="M"/>
    <n v="12"/>
    <n v="10.83"/>
    <d v="1899-12-30T01:07:25"/>
    <d v="1899-12-30T01:07:25"/>
    <d v="1899-12-30T01:07:25"/>
    <n v="31"/>
    <d v="1899-12-30T00:06:13"/>
    <n v="2.5785714285714283"/>
    <n v="1"/>
    <x v="0"/>
    <n v="0.75"/>
    <n v="0.25"/>
    <n v="0"/>
    <n v="0"/>
    <n v="0"/>
    <n v="0"/>
    <n v="2.183928571428571"/>
    <d v="2021-11-27T00:00:00"/>
    <n v="1"/>
    <s v="UltraSYR"/>
  </r>
  <r>
    <x v="36"/>
    <s v="M"/>
    <n v="12"/>
    <n v="4"/>
    <d v="1899-12-30T00:16:32"/>
    <d v="1899-12-30T00:16:32"/>
    <d v="1899-12-30T00:16:32"/>
    <n v="7"/>
    <d v="1899-12-30T00:04:08"/>
    <n v="0.95238095238095233"/>
    <n v="4.5"/>
    <x v="1"/>
    <n v="0.25"/>
    <n v="0.75"/>
    <n v="0"/>
    <n v="0"/>
    <n v="0"/>
    <n v="0"/>
    <n v="3.6130952380952381"/>
    <d v="2021-11-22T00:00:00"/>
    <n v="1"/>
    <e v="#N/A"/>
  </r>
  <r>
    <x v="23"/>
    <s v="M"/>
    <n v="13"/>
    <n v="10.01"/>
    <d v="1899-12-30T00:37:22"/>
    <d v="1899-12-30T00:37:22"/>
    <d v="1899-12-30T00:37:22"/>
    <n v="54"/>
    <d v="1899-12-30T00:03:44"/>
    <n v="2.3833333333333333"/>
    <n v="5"/>
    <x v="1"/>
    <n v="0.25"/>
    <n v="0.75"/>
    <n v="3.5999999999999997E-2"/>
    <n v="0"/>
    <n v="1.4999999999999998"/>
    <n v="0"/>
    <n v="5.8818333333333328"/>
    <d v="2021-11-30T00:00:00"/>
    <n v="1"/>
    <s v="All Stars"/>
  </r>
  <r>
    <x v="17"/>
    <s v="F"/>
    <n v="13"/>
    <n v="13.57"/>
    <d v="1899-12-30T01:15:19"/>
    <d v="1899-12-30T01:15:19"/>
    <d v="1899-12-30T01:15:19"/>
    <n v="460"/>
    <d v="1899-12-30T00:05:33"/>
    <n v="3.3925000000000001"/>
    <n v="2.5"/>
    <x v="0"/>
    <n v="0.75"/>
    <n v="0.25"/>
    <n v="0.30666666666666664"/>
    <n v="0"/>
    <n v="0"/>
    <n v="0"/>
    <n v="3.4760416666666667"/>
    <d v="2021-12-01T00:00:00"/>
    <n v="1"/>
    <s v="All Stars"/>
  </r>
  <r>
    <x v="2"/>
    <s v="M"/>
    <n v="13"/>
    <n v="22.98"/>
    <d v="1899-12-30T01:47:40"/>
    <d v="1899-12-30T01:48:15"/>
    <d v="1899-12-30T01:47:57"/>
    <n v="68"/>
    <d v="1899-12-30T00:04:42"/>
    <n v="5"/>
    <n v="3.5"/>
    <x v="1"/>
    <n v="0.25"/>
    <n v="0.75"/>
    <n v="4.5333333333333337E-2"/>
    <n v="0"/>
    <n v="0"/>
    <n v="0"/>
    <n v="3.9203333333333332"/>
    <d v="2021-12-04T00:00:00"/>
    <n v="1"/>
    <s v="UltraSYR"/>
  </r>
  <r>
    <x v="29"/>
    <s v="F"/>
    <n v="13"/>
    <n v="3.01"/>
    <d v="1899-12-30T00:13:28"/>
    <d v="1899-12-30T00:13:52"/>
    <d v="1899-12-30T00:13:40"/>
    <n v="2"/>
    <d v="1899-12-30T00:04:32"/>
    <n v="0.75249999999999995"/>
    <n v="4.5"/>
    <x v="1"/>
    <n v="0.25"/>
    <n v="0.75"/>
    <n v="0"/>
    <n v="0"/>
    <n v="0"/>
    <n v="0"/>
    <n v="3.5631249999999999"/>
    <d v="2021-12-04T00:00:00"/>
    <n v="1"/>
    <s v="UltraSYR"/>
  </r>
  <r>
    <x v="24"/>
    <s v="M"/>
    <n v="13"/>
    <n v="51.93"/>
    <d v="1899-12-30T05:02:06"/>
    <d v="1899-12-30T05:05:44"/>
    <d v="1899-12-30T05:03:55"/>
    <n v="1761"/>
    <d v="1899-12-30T00:05:51"/>
    <n v="5"/>
    <n v="1.5"/>
    <x v="0"/>
    <n v="0.75"/>
    <n v="0.25"/>
    <n v="1.1739999999999999"/>
    <n v="1.5"/>
    <n v="0"/>
    <n v="0"/>
    <n v="6.7989999999999995"/>
    <d v="2021-12-01T00:00:00"/>
    <n v="1"/>
    <s v="All Stars"/>
  </r>
  <r>
    <x v="14"/>
    <s v="M"/>
    <n v="13"/>
    <n v="30.44"/>
    <d v="1899-12-30T02:41:24"/>
    <d v="1899-12-30T02:53:47"/>
    <d v="1899-12-30T02:47:35"/>
    <n v="838"/>
    <d v="1899-12-30T00:05:30"/>
    <n v="5"/>
    <n v="2"/>
    <x v="0"/>
    <n v="0.75"/>
    <n v="0.25"/>
    <n v="0.55866666666666664"/>
    <n v="0.4"/>
    <n v="0"/>
    <n v="0"/>
    <n v="5.2086666666666668"/>
    <d v="2021-12-05T00:00:00"/>
    <n v="1"/>
    <s v="UltraSYR"/>
  </r>
  <r>
    <x v="26"/>
    <s v="M"/>
    <n v="13"/>
    <n v="20.76"/>
    <d v="1899-12-30T01:27:04"/>
    <d v="1899-12-30T01:27:06"/>
    <d v="1899-12-30T01:27:05"/>
    <n v="56"/>
    <d v="1899-12-30T00:04:12"/>
    <n v="4.9428571428571431"/>
    <n v="4.5"/>
    <x v="0"/>
    <n v="0.75"/>
    <n v="0.25"/>
    <n v="3.7333333333333336E-2"/>
    <n v="0"/>
    <n v="0"/>
    <n v="0"/>
    <n v="4.869476190476191"/>
    <d v="2021-12-01T00:00:00"/>
    <n v="1"/>
    <e v="#N/A"/>
  </r>
  <r>
    <x v="21"/>
    <s v="M"/>
    <n v="13"/>
    <n v="21.1"/>
    <d v="1899-12-30T01:31:35"/>
    <d v="1899-12-30T01:32:11"/>
    <d v="1899-12-30T01:31:53"/>
    <n v="61"/>
    <d v="1899-12-30T00:04:21"/>
    <n v="5"/>
    <n v="4"/>
    <x v="1"/>
    <n v="0.25"/>
    <n v="0.75"/>
    <n v="4.0666666666666663E-2"/>
    <n v="0"/>
    <n v="0"/>
    <n v="0"/>
    <n v="4.2906666666666666"/>
    <d v="2021-12-01T00:00:00"/>
    <n v="1"/>
    <s v="All Stars"/>
  </r>
  <r>
    <x v="28"/>
    <s v="M"/>
    <n v="13"/>
    <n v="20.86"/>
    <d v="1899-12-30T01:32:45"/>
    <d v="1899-12-30T01:32:45"/>
    <d v="1899-12-30T01:32:45"/>
    <n v="84"/>
    <d v="1899-12-30T00:04:27"/>
    <n v="4.9666666666666659"/>
    <n v="4"/>
    <x v="0"/>
    <n v="0.75"/>
    <n v="0.25"/>
    <n v="5.6000000000000001E-2"/>
    <n v="0"/>
    <n v="0"/>
    <n v="0"/>
    <n v="4.7809999999999997"/>
    <d v="2021-12-01T00:00:00"/>
    <n v="1"/>
    <s v="UltraSYR"/>
  </r>
  <r>
    <x v="0"/>
    <s v="M"/>
    <n v="13"/>
    <n v="15.63"/>
    <d v="1899-12-30T01:19:41"/>
    <d v="1899-12-30T01:20:12"/>
    <d v="1899-12-30T01:19:57"/>
    <n v="16"/>
    <d v="1899-12-30T00:05:07"/>
    <n v="3.7214285714285715"/>
    <n v="2.5"/>
    <x v="0"/>
    <n v="0.75"/>
    <n v="0.25"/>
    <n v="0"/>
    <n v="0"/>
    <n v="0"/>
    <n v="0"/>
    <n v="3.4160714285714286"/>
    <d v="2021-12-04T00:00:00"/>
    <n v="1"/>
    <s v="All Stars"/>
  </r>
  <r>
    <x v="6"/>
    <s v="M"/>
    <n v="13"/>
    <n v="20.66"/>
    <d v="1899-12-30T01:27:10"/>
    <d v="1899-12-30T01:27:10"/>
    <d v="1899-12-30T01:27:10"/>
    <n v="94"/>
    <d v="1899-12-30T00:04:13"/>
    <n v="4.9190476190476184"/>
    <n v="4.5"/>
    <x v="0"/>
    <n v="0.75"/>
    <n v="0.25"/>
    <n v="6.2666666666666662E-2"/>
    <n v="0"/>
    <n v="0"/>
    <n v="0"/>
    <n v="4.8769523809523809"/>
    <d v="2021-12-01T00:00:00"/>
    <n v="1"/>
    <s v="All Stars"/>
  </r>
  <r>
    <x v="8"/>
    <s v="M"/>
    <n v="13"/>
    <n v="21.19"/>
    <d v="1899-12-30T01:49:12"/>
    <d v="1899-12-30T01:54:40"/>
    <d v="1899-12-30T01:51:56"/>
    <n v="45"/>
    <d v="1899-12-30T00:05:17"/>
    <n v="5"/>
    <n v="2"/>
    <x v="0"/>
    <n v="0.75"/>
    <n v="0.25"/>
    <n v="0"/>
    <n v="0"/>
    <n v="0"/>
    <n v="0"/>
    <n v="4.25"/>
    <d v="2021-12-04T00:00:00"/>
    <n v="1"/>
    <e v="#N/A"/>
  </r>
  <r>
    <x v="11"/>
    <s v="M"/>
    <n v="13"/>
    <n v="7.08"/>
    <d v="1899-12-30T00:31:31"/>
    <d v="1899-12-30T00:31:31"/>
    <d v="1899-12-30T00:31:31"/>
    <n v="2"/>
    <d v="1899-12-30T00:04:27"/>
    <n v="1.6857142857142857"/>
    <n v="4"/>
    <x v="1"/>
    <n v="0.25"/>
    <n v="0.75"/>
    <n v="0"/>
    <n v="0"/>
    <n v="0"/>
    <n v="0"/>
    <n v="3.4214285714285713"/>
    <d v="2021-12-01T00:00:00"/>
    <n v="1"/>
    <s v="UltraSYR"/>
  </r>
  <r>
    <x v="20"/>
    <s v="M"/>
    <n v="13"/>
    <n v="13.64"/>
    <d v="1899-12-30T01:14:12"/>
    <d v="1899-12-30T01:14:16"/>
    <d v="1899-12-30T01:14:14"/>
    <n v="445"/>
    <d v="1899-12-30T00:05:27"/>
    <n v="3.2476190476190476"/>
    <n v="2"/>
    <x v="0"/>
    <n v="0.75"/>
    <n v="0.25"/>
    <n v="0.29666666666666669"/>
    <n v="0"/>
    <n v="0"/>
    <n v="0"/>
    <n v="3.2323809523809528"/>
    <d v="2021-12-01T00:00:00"/>
    <n v="1"/>
    <s v="All Stars"/>
  </r>
  <r>
    <x v="13"/>
    <s v="F"/>
    <n v="13"/>
    <n v="11.01"/>
    <d v="1899-12-30T00:58:37"/>
    <d v="1899-12-30T00:58:40"/>
    <d v="1899-12-30T00:58:39"/>
    <n v="71"/>
    <d v="1899-12-30T00:05:20"/>
    <n v="2.7524999999999999"/>
    <n v="3"/>
    <x v="0"/>
    <n v="0.75"/>
    <n v="0.25"/>
    <n v="4.7333333333333331E-2"/>
    <n v="0"/>
    <n v="0"/>
    <n v="0"/>
    <n v="2.8617083333333335"/>
    <d v="2021-12-02T00:00:00"/>
    <n v="1"/>
    <s v="All Stars"/>
  </r>
  <r>
    <x v="27"/>
    <s v="M"/>
    <n v="13"/>
    <n v="11.24"/>
    <d v="1899-12-30T00:50:28"/>
    <d v="1899-12-30T00:50:28"/>
    <d v="1899-12-30T00:50:28"/>
    <n v="66"/>
    <d v="1899-12-30T00:04:29"/>
    <n v="2.676190476190476"/>
    <n v="4"/>
    <x v="1"/>
    <n v="0.25"/>
    <n v="0.75"/>
    <n v="4.3999999999999997E-2"/>
    <n v="0"/>
    <n v="0"/>
    <n v="0"/>
    <n v="3.7130476190476189"/>
    <d v="2021-12-01T00:00:00"/>
    <n v="1"/>
    <s v="All Stars"/>
  </r>
  <r>
    <x v="16"/>
    <s v="M"/>
    <n v="13"/>
    <n v="22.03"/>
    <d v="1899-12-30T02:01:43"/>
    <d v="1899-12-30T02:03:25"/>
    <d v="1899-12-30T02:02:34"/>
    <n v="82"/>
    <d v="1899-12-30T00:05:34"/>
    <n v="5"/>
    <n v="1.5"/>
    <x v="0"/>
    <n v="0.75"/>
    <n v="0.25"/>
    <n v="5.4666666666666669E-2"/>
    <n v="0"/>
    <n v="0"/>
    <n v="0"/>
    <n v="4.1796666666666669"/>
    <d v="2021-11-30T00:00:00"/>
    <n v="1"/>
    <s v="All Stars"/>
  </r>
  <r>
    <x v="10"/>
    <s v="F"/>
    <n v="13"/>
    <n v="3.01"/>
    <d v="1899-12-30T00:14:58"/>
    <d v="1899-12-30T00:15:29"/>
    <d v="1899-12-30T00:15:13"/>
    <n v="0"/>
    <d v="1899-12-30T00:05:03"/>
    <n v="0.75249999999999995"/>
    <n v="3.5"/>
    <x v="1"/>
    <n v="0.25"/>
    <n v="0.75"/>
    <n v="0"/>
    <n v="0"/>
    <n v="0"/>
    <n v="0"/>
    <n v="2.8131249999999999"/>
    <d v="2021-12-05T00:00:00"/>
    <n v="1"/>
    <s v="UltraSYR"/>
  </r>
  <r>
    <x v="5"/>
    <s v="F"/>
    <n v="13"/>
    <n v="3"/>
    <d v="1899-12-30T00:14:22"/>
    <d v="1899-12-30T00:14:22"/>
    <d v="1899-12-30T00:14:22"/>
    <n v="0"/>
    <d v="1899-12-30T00:04:47"/>
    <n v="0.75"/>
    <n v="4"/>
    <x v="1"/>
    <n v="0.25"/>
    <n v="0.75"/>
    <n v="0"/>
    <n v="0"/>
    <n v="0"/>
    <n v="0"/>
    <n v="3.1875"/>
    <d v="2021-12-05T00:00:00"/>
    <n v="1"/>
    <s v="UltraSYR"/>
  </r>
  <r>
    <x v="25"/>
    <s v="M"/>
    <n v="13"/>
    <n v="20.77"/>
    <d v="1899-12-30T06:07:49"/>
    <d v="1899-12-30T07:30:24"/>
    <d v="1899-12-30T06:49:06"/>
    <n v="1819"/>
    <d v="1899-12-30T00:19:42"/>
    <n v="4.9452380952380945"/>
    <n v="0"/>
    <x v="0"/>
    <n v="0.75"/>
    <n v="0.25"/>
    <n v="1.2126666666666666"/>
    <n v="0"/>
    <n v="0"/>
    <n v="0"/>
    <n v="4.9215952380952377"/>
    <d v="2021-12-01T00:00:00"/>
    <n v="1"/>
    <s v="All Stars"/>
  </r>
  <r>
    <x v="12"/>
    <s v="M"/>
    <n v="13"/>
    <n v="12.24"/>
    <d v="1899-12-30T01:17:59"/>
    <d v="1899-12-30T01:29:31"/>
    <d v="1899-12-30T01:23:45"/>
    <n v="143"/>
    <d v="1899-12-30T00:06:51"/>
    <n v="2.9142857142857141"/>
    <n v="1"/>
    <x v="0"/>
    <n v="0.75"/>
    <n v="0.25"/>
    <n v="9.5333333333333339E-2"/>
    <n v="0"/>
    <n v="0"/>
    <n v="0.4"/>
    <n v="2.9310476190476189"/>
    <d v="2021-12-01T00:00:00"/>
    <n v="1"/>
    <s v="UltraSYR"/>
  </r>
  <r>
    <x v="33"/>
    <s v="F"/>
    <n v="13"/>
    <n v="6.28"/>
    <d v="1899-12-30T00:40:24"/>
    <d v="1899-12-30T00:57:09"/>
    <d v="1899-12-30T00:48:47"/>
    <n v="6"/>
    <d v="1899-12-30T00:07:46"/>
    <n v="1.57"/>
    <n v="1"/>
    <x v="0"/>
    <n v="0.75"/>
    <n v="0.25"/>
    <n v="0"/>
    <n v="0"/>
    <n v="0"/>
    <n v="0"/>
    <n v="1.4275"/>
    <d v="2021-12-05T00:00:00"/>
    <n v="1"/>
    <e v="#N/A"/>
  </r>
  <r>
    <x v="7"/>
    <s v="F"/>
    <n v="13"/>
    <n v="8.06"/>
    <d v="1899-12-30T00:54:15"/>
    <d v="1899-12-30T01:07:04"/>
    <d v="1899-12-30T01:00:40"/>
    <n v="0"/>
    <d v="1899-12-30T00:07:32"/>
    <n v="2.0150000000000001"/>
    <n v="1"/>
    <x v="0"/>
    <n v="0.75"/>
    <n v="0.25"/>
    <n v="0"/>
    <n v="0"/>
    <n v="0"/>
    <n v="0.7"/>
    <n v="2.4612499999999997"/>
    <d v="2021-12-04T00:00:00"/>
    <n v="1"/>
    <e v="#N/A"/>
  </r>
  <r>
    <x v="1"/>
    <s v="M"/>
    <n v="13"/>
    <n v="31.16"/>
    <d v="1899-12-30T04:23:37"/>
    <d v="1899-12-30T04:47:40"/>
    <d v="1899-12-30T04:35:39"/>
    <n v="1479"/>
    <d v="1899-12-30T00:08:51"/>
    <n v="5"/>
    <n v="0"/>
    <x v="0"/>
    <n v="0.75"/>
    <n v="0.25"/>
    <n v="0.98599999999999999"/>
    <n v="0.5"/>
    <n v="0"/>
    <n v="0"/>
    <n v="5.2359999999999998"/>
    <d v="2021-12-01T00:00:00"/>
    <n v="1"/>
    <s v="UltraSYR"/>
  </r>
  <r>
    <x v="23"/>
    <s v="M"/>
    <n v="14"/>
    <n v="5.01"/>
    <d v="1899-12-30T00:17:23"/>
    <d v="1899-12-30T00:17:23"/>
    <d v="1899-12-30T00:17:23"/>
    <n v="21"/>
    <d v="1899-12-30T00:03:28"/>
    <n v="1.1928571428571428"/>
    <n v="5"/>
    <x v="1"/>
    <n v="0.25"/>
    <n v="0.75"/>
    <n v="0"/>
    <n v="0"/>
    <n v="4.1999999999999993"/>
    <n v="0"/>
    <n v="8.2482142857142851"/>
    <d v="2021-12-06T00:00:00"/>
    <n v="1"/>
    <s v="All Stars"/>
  </r>
  <r>
    <x v="17"/>
    <s v="F"/>
    <n v="14"/>
    <n v="2.5299999999999998"/>
    <d v="1899-12-30T00:10:25"/>
    <d v="1899-12-30T00:10:25"/>
    <d v="1899-12-30T00:10:25"/>
    <n v="26"/>
    <d v="1899-12-30T00:04:07"/>
    <n v="0.63249999999999995"/>
    <n v="5"/>
    <x v="1"/>
    <n v="0.25"/>
    <n v="0.75"/>
    <n v="0"/>
    <n v="0"/>
    <n v="2.25"/>
    <n v="0"/>
    <n v="6.1581250000000001"/>
    <d v="2021-12-11T00:00:00"/>
    <n v="1"/>
    <s v="All Stars"/>
  </r>
  <r>
    <x v="2"/>
    <s v="M"/>
    <n v="14"/>
    <n v="21.02"/>
    <d v="1899-12-30T01:38:36"/>
    <d v="1899-12-30T01:39:22"/>
    <d v="1899-12-30T01:38:59"/>
    <n v="43"/>
    <d v="1899-12-30T00:04:43"/>
    <n v="5"/>
    <n v="3.5"/>
    <x v="1"/>
    <n v="0.25"/>
    <n v="0.75"/>
    <n v="0"/>
    <n v="0"/>
    <n v="0"/>
    <n v="0"/>
    <n v="3.875"/>
    <d v="2021-12-12T00:00:00"/>
    <n v="1"/>
    <s v="UltraSYR"/>
  </r>
  <r>
    <x v="24"/>
    <s v="M"/>
    <n v="14"/>
    <n v="5.04"/>
    <d v="1899-12-30T00:19:10"/>
    <d v="1899-12-30T00:19:10"/>
    <d v="1899-12-30T00:19:10"/>
    <n v="13"/>
    <d v="1899-12-30T00:03:48"/>
    <n v="1.2"/>
    <n v="5"/>
    <x v="1"/>
    <n v="0.25"/>
    <n v="0.75"/>
    <n v="0"/>
    <n v="0"/>
    <n v="0.89999999999999991"/>
    <n v="0"/>
    <n v="4.9499999999999993"/>
    <d v="2021-12-12T00:00:00"/>
    <n v="1"/>
    <s v="All Stars"/>
  </r>
  <r>
    <x v="29"/>
    <s v="F"/>
    <n v="14"/>
    <n v="3.22"/>
    <d v="1899-12-30T00:14:50"/>
    <d v="1899-12-30T00:15:01"/>
    <d v="1899-12-30T00:14:56"/>
    <n v="4"/>
    <d v="1899-12-30T00:04:38"/>
    <n v="0.80500000000000005"/>
    <n v="4.5"/>
    <x v="1"/>
    <n v="0.25"/>
    <n v="0.75"/>
    <n v="0"/>
    <n v="0"/>
    <n v="0"/>
    <n v="0"/>
    <n v="3.5762499999999999"/>
    <d v="2021-12-12T00:00:00"/>
    <n v="1"/>
    <s v="UltraSYR"/>
  </r>
  <r>
    <x v="14"/>
    <s v="M"/>
    <n v="14"/>
    <n v="16.46"/>
    <d v="1899-12-30T01:31:11"/>
    <d v="1899-12-30T01:38:23"/>
    <d v="1899-12-30T01:34:47"/>
    <n v="613"/>
    <d v="1899-12-30T00:05:46"/>
    <n v="3.9190476190476189"/>
    <n v="1.5"/>
    <x v="0"/>
    <n v="0.75"/>
    <n v="0.25"/>
    <n v="0.40866666666666668"/>
    <n v="0"/>
    <n v="0"/>
    <n v="0"/>
    <n v="3.7229523809523806"/>
    <d v="2021-12-11T00:00:00"/>
    <n v="1"/>
    <s v="UltraSYR"/>
  </r>
  <r>
    <x v="26"/>
    <s v="M"/>
    <n v="14"/>
    <n v="22.6"/>
    <d v="1899-12-30T01:44:40"/>
    <d v="1899-12-30T01:51:10"/>
    <d v="1899-12-30T01:47:55"/>
    <n v="38"/>
    <d v="1899-12-30T00:04:47"/>
    <n v="5"/>
    <n v="3"/>
    <x v="0"/>
    <n v="0.75"/>
    <n v="0.25"/>
    <n v="0"/>
    <n v="0"/>
    <n v="0"/>
    <n v="0"/>
    <n v="4.5"/>
    <d v="2021-12-12T00:00:00"/>
    <n v="1"/>
    <e v="#N/A"/>
  </r>
  <r>
    <x v="28"/>
    <s v="M"/>
    <n v="14"/>
    <n v="21.2"/>
    <d v="1899-12-30T02:03:27"/>
    <d v="1899-12-30T02:21:14"/>
    <d v="1899-12-30T02:12:21"/>
    <n v="51"/>
    <d v="1899-12-30T00:06:15"/>
    <n v="5"/>
    <n v="1"/>
    <x v="0"/>
    <n v="0.75"/>
    <n v="0.25"/>
    <n v="3.4000000000000002E-2"/>
    <n v="0"/>
    <n v="0"/>
    <n v="0"/>
    <n v="4.0339999999999998"/>
    <d v="2021-12-10T00:00:00"/>
    <n v="1"/>
    <s v="UltraSYR"/>
  </r>
  <r>
    <x v="21"/>
    <s v="M"/>
    <n v="14"/>
    <n v="3"/>
    <d v="1899-12-30T00:12:43"/>
    <d v="1899-12-30T00:12:51"/>
    <d v="1899-12-30T00:12:47"/>
    <n v="6"/>
    <d v="1899-12-30T00:04:16"/>
    <n v="0.7142857142857143"/>
    <n v="4.5"/>
    <x v="1"/>
    <n v="0.25"/>
    <n v="0.75"/>
    <n v="0"/>
    <n v="0"/>
    <n v="0"/>
    <n v="0"/>
    <n v="3.5535714285714284"/>
    <d v="2021-12-09T00:00:00"/>
    <n v="1"/>
    <s v="All Stars"/>
  </r>
  <r>
    <x v="9"/>
    <s v="M"/>
    <n v="14"/>
    <n v="22.1"/>
    <d v="1899-12-30T02:20:54"/>
    <d v="1899-12-30T02:26:06"/>
    <d v="1899-12-30T02:23:30"/>
    <n v="586"/>
    <d v="1899-12-30T00:06:30"/>
    <n v="5"/>
    <n v="1"/>
    <x v="0"/>
    <n v="0.75"/>
    <n v="0.25"/>
    <n v="0.39066666666666666"/>
    <n v="0"/>
    <n v="0"/>
    <n v="0"/>
    <n v="4.3906666666666663"/>
    <d v="2021-12-11T00:00:00"/>
    <n v="1"/>
    <s v="UltraSYR"/>
  </r>
  <r>
    <x v="6"/>
    <s v="M"/>
    <n v="14"/>
    <n v="10.08"/>
    <d v="1899-12-30T00:45:47"/>
    <d v="1899-12-30T00:45:47"/>
    <d v="1899-12-30T00:45:47"/>
    <n v="15"/>
    <d v="1899-12-30T00:04:33"/>
    <n v="2.4"/>
    <n v="3.5"/>
    <x v="0"/>
    <n v="0.75"/>
    <n v="0.25"/>
    <n v="0"/>
    <n v="0"/>
    <n v="0"/>
    <n v="0"/>
    <n v="2.6749999999999998"/>
    <d v="2021-12-07T00:00:00"/>
    <n v="1"/>
    <s v="All Stars"/>
  </r>
  <r>
    <x v="0"/>
    <s v="M"/>
    <n v="14"/>
    <n v="14.07"/>
    <d v="1899-12-30T01:14:10"/>
    <d v="1899-12-30T01:14:10"/>
    <d v="1899-12-30T01:14:10"/>
    <n v="16"/>
    <d v="1899-12-30T00:05:16"/>
    <n v="3.35"/>
    <n v="2"/>
    <x v="1"/>
    <n v="0.25"/>
    <n v="0.75"/>
    <n v="0"/>
    <n v="0"/>
    <n v="0"/>
    <n v="0"/>
    <n v="2.3374999999999999"/>
    <d v="2021-12-09T00:00:00"/>
    <n v="1"/>
    <s v="All Stars"/>
  </r>
  <r>
    <x v="8"/>
    <s v="M"/>
    <n v="14"/>
    <n v="13.13"/>
    <d v="1899-12-30T01:11:36"/>
    <d v="1899-12-30T01:13:51"/>
    <d v="1899-12-30T01:12:44"/>
    <n v="39"/>
    <d v="1899-12-30T00:05:32"/>
    <n v="3.1261904761904762"/>
    <n v="1.5"/>
    <x v="1"/>
    <n v="0.25"/>
    <n v="0.75"/>
    <n v="0"/>
    <n v="0"/>
    <n v="0"/>
    <n v="0"/>
    <n v="1.9065476190476192"/>
    <d v="2021-12-12T00:00:00"/>
    <n v="1"/>
    <e v="#N/A"/>
  </r>
  <r>
    <x v="11"/>
    <s v="M"/>
    <n v="14"/>
    <n v="7.02"/>
    <d v="1899-12-30T00:31:54"/>
    <d v="1899-12-30T00:32:03"/>
    <d v="1899-12-30T00:31:58"/>
    <n v="20"/>
    <d v="1899-12-30T00:04:33"/>
    <n v="1.6714285714285713"/>
    <n v="3.5"/>
    <x v="0"/>
    <n v="0.75"/>
    <n v="0.25"/>
    <n v="0"/>
    <n v="0"/>
    <n v="0"/>
    <n v="0"/>
    <n v="2.1285714285714286"/>
    <d v="2021-12-09T00:00:00"/>
    <n v="1"/>
    <s v="UltraSYR"/>
  </r>
  <r>
    <x v="20"/>
    <s v="M"/>
    <n v="14"/>
    <n v="3.01"/>
    <d v="1899-12-30T00:12:13"/>
    <d v="1899-12-30T00:12:13"/>
    <d v="1899-12-30T00:12:13"/>
    <n v="9"/>
    <d v="1899-12-30T00:04:04"/>
    <n v="0.71666666666666656"/>
    <n v="4.5"/>
    <x v="1"/>
    <n v="0.25"/>
    <n v="0.75"/>
    <n v="0"/>
    <n v="0"/>
    <n v="0"/>
    <n v="0"/>
    <n v="3.5541666666666667"/>
    <d v="2021-12-11T00:00:00"/>
    <n v="1"/>
    <s v="All Stars"/>
  </r>
  <r>
    <x v="13"/>
    <s v="F"/>
    <n v="14"/>
    <n v="10.01"/>
    <d v="1899-12-30T00:51:40"/>
    <d v="1899-12-30T00:51:40"/>
    <d v="1899-12-30T00:51:40"/>
    <n v="58"/>
    <d v="1899-12-30T00:05:10"/>
    <n v="2.5024999999999999"/>
    <n v="3.5"/>
    <x v="0"/>
    <n v="0.75"/>
    <n v="0.25"/>
    <n v="3.8666666666666669E-2"/>
    <n v="0"/>
    <n v="0"/>
    <n v="0"/>
    <n v="2.7905416666666669"/>
    <d v="2021-12-10T00:00:00"/>
    <n v="1"/>
    <s v="All Stars"/>
  </r>
  <r>
    <x v="27"/>
    <s v="M"/>
    <n v="14"/>
    <n v="19.12"/>
    <d v="1899-12-30T01:38:20"/>
    <d v="1899-12-30T01:38:20"/>
    <d v="1899-12-30T01:38:20"/>
    <n v="31"/>
    <d v="1899-12-30T00:05:09"/>
    <n v="4.5523809523809522"/>
    <n v="2.5"/>
    <x v="1"/>
    <n v="0.25"/>
    <n v="0.75"/>
    <n v="0"/>
    <n v="0"/>
    <n v="0"/>
    <n v="0"/>
    <n v="3.013095238095238"/>
    <d v="2021-12-12T00:00:00"/>
    <n v="1"/>
    <s v="All Stars"/>
  </r>
  <r>
    <x v="16"/>
    <s v="M"/>
    <n v="14"/>
    <n v="5.54"/>
    <d v="1899-12-30T00:28:18"/>
    <d v="1899-12-30T00:41:31"/>
    <d v="1899-12-30T00:34:55"/>
    <n v="0"/>
    <d v="1899-12-30T00:06:18"/>
    <n v="1.319047619047619"/>
    <n v="1"/>
    <x v="1"/>
    <n v="0.25"/>
    <n v="0.75"/>
    <n v="0"/>
    <n v="0"/>
    <n v="0"/>
    <n v="0"/>
    <n v="1.0797619047619047"/>
    <d v="2021-12-10T00:00:00"/>
    <n v="1"/>
    <s v="All Stars"/>
  </r>
  <r>
    <x v="5"/>
    <s v="F"/>
    <n v="14"/>
    <n v="8"/>
    <d v="1899-12-30T00:48:26"/>
    <d v="1899-12-30T01:00:40"/>
    <d v="1899-12-30T00:54:33"/>
    <n v="30"/>
    <d v="1899-12-30T00:06:49"/>
    <n v="2"/>
    <n v="1"/>
    <x v="0"/>
    <n v="0.75"/>
    <n v="0.25"/>
    <n v="0"/>
    <n v="0"/>
    <n v="0"/>
    <n v="0"/>
    <n v="1.75"/>
    <d v="2021-12-12T00:00:00"/>
    <n v="1"/>
    <s v="UltraSYR"/>
  </r>
  <r>
    <x v="10"/>
    <s v="F"/>
    <n v="14"/>
    <n v="6.01"/>
    <d v="1899-12-30T00:33:33"/>
    <d v="1899-12-30T00:34:36"/>
    <d v="1899-12-30T00:34:04"/>
    <n v="8"/>
    <d v="1899-12-30T00:05:40"/>
    <n v="1.5024999999999999"/>
    <n v="2.5"/>
    <x v="1"/>
    <n v="0.25"/>
    <n v="0.75"/>
    <n v="0"/>
    <n v="0"/>
    <n v="0"/>
    <n v="0"/>
    <n v="2.2506249999999999"/>
    <d v="2021-12-12T00:00:00"/>
    <n v="1"/>
    <s v="UltraSYR"/>
  </r>
  <r>
    <x v="25"/>
    <s v="M"/>
    <n v="14"/>
    <n v="24.62"/>
    <d v="1899-12-30T03:42:49"/>
    <d v="1899-12-30T04:32:51"/>
    <d v="1899-12-30T04:07:50"/>
    <n v="1232"/>
    <d v="1899-12-30T00:10:04"/>
    <n v="5"/>
    <n v="0"/>
    <x v="0"/>
    <n v="0.75"/>
    <n v="0.25"/>
    <n v="0.82133333333333336"/>
    <n v="0.1"/>
    <n v="0"/>
    <n v="0"/>
    <n v="4.6713333333333331"/>
    <d v="2021-12-12T00:00:00"/>
    <n v="1"/>
    <s v="All Stars"/>
  </r>
  <r>
    <x v="12"/>
    <s v="M"/>
    <n v="14"/>
    <n v="12.5"/>
    <d v="1899-12-30T01:15:06"/>
    <d v="1899-12-30T01:27:58"/>
    <d v="1899-12-30T01:21:32"/>
    <n v="54"/>
    <d v="1899-12-30T00:06:31"/>
    <n v="2.9761904761904763"/>
    <n v="1"/>
    <x v="1"/>
    <n v="0.25"/>
    <n v="0.75"/>
    <n v="3.5999999999999997E-2"/>
    <n v="0"/>
    <n v="0"/>
    <n v="0.4"/>
    <n v="1.930047619047619"/>
    <d v="2021-12-12T00:00:00"/>
    <n v="1"/>
    <s v="UltraSYR"/>
  </r>
  <r>
    <x v="33"/>
    <s v="F"/>
    <n v="14"/>
    <n v="2.5099999999999998"/>
    <d v="1899-12-30T00:13:49"/>
    <d v="1899-12-30T00:16:51"/>
    <d v="1899-12-30T00:15:20"/>
    <n v="4"/>
    <d v="1899-12-30T00:06:07"/>
    <n v="0.62749999999999995"/>
    <n v="1.5"/>
    <x v="1"/>
    <n v="0.25"/>
    <n v="0.75"/>
    <n v="0"/>
    <n v="0"/>
    <n v="0"/>
    <n v="0"/>
    <n v="1.2818749999999999"/>
    <d v="2021-12-11T00:00:00"/>
    <n v="1"/>
    <e v="#N/A"/>
  </r>
  <r>
    <x v="7"/>
    <s v="F"/>
    <n v="14"/>
    <n v="8.3000000000000007"/>
    <d v="1899-12-30T00:57:38"/>
    <d v="1899-12-30T01:26:11"/>
    <d v="1899-12-30T01:11:55"/>
    <n v="0"/>
    <d v="1899-12-30T00:08:40"/>
    <n v="2.0750000000000002"/>
    <n v="1"/>
    <x v="1"/>
    <n v="0.25"/>
    <n v="0.75"/>
    <n v="0"/>
    <n v="0"/>
    <n v="0"/>
    <n v="0.7"/>
    <n v="1.96875"/>
    <d v="2021-12-08T00:00:00"/>
    <n v="1"/>
    <e v="#N/A"/>
  </r>
  <r>
    <x v="18"/>
    <s v="M"/>
    <n v="14"/>
    <n v="7.08"/>
    <d v="1899-12-30T00:39:33"/>
    <d v="1899-12-30T00:39:33"/>
    <d v="1899-12-30T00:39:33"/>
    <n v="9"/>
    <d v="1899-12-30T00:05:35"/>
    <n v="1.6857142857142857"/>
    <n v="1.5"/>
    <x v="1"/>
    <n v="0.25"/>
    <n v="0.75"/>
    <n v="0"/>
    <n v="0"/>
    <n v="0"/>
    <n v="0"/>
    <n v="1.5464285714285715"/>
    <d v="2021-12-11T00:00:00"/>
    <n v="1"/>
    <s v="UltraSYR"/>
  </r>
  <r>
    <x v="1"/>
    <s v="M"/>
    <n v="14"/>
    <n v="15.02"/>
    <d v="1899-12-30T01:25:06"/>
    <d v="1899-12-30T01:25:10"/>
    <d v="1899-12-30T01:25:08"/>
    <n v="16"/>
    <d v="1899-12-30T00:05:40"/>
    <n v="3.5761904761904759"/>
    <n v="1.5"/>
    <x v="0"/>
    <n v="0.75"/>
    <n v="0.25"/>
    <n v="0"/>
    <n v="0"/>
    <n v="0"/>
    <n v="0"/>
    <n v="3.0571428571428569"/>
    <d v="2021-12-12T00:00:00"/>
    <n v="1"/>
    <s v="UltraSYR"/>
  </r>
  <r>
    <x v="31"/>
    <s v="M"/>
    <n v="14"/>
    <n v="10.07"/>
    <d v="1899-12-30T01:04:50"/>
    <d v="1899-12-30T01:04:58"/>
    <d v="1899-12-30T01:04:54"/>
    <n v="2"/>
    <d v="1899-12-30T00:06:27"/>
    <n v="2.3976190476190475"/>
    <n v="1"/>
    <x v="1"/>
    <n v="0.25"/>
    <n v="0.75"/>
    <n v="0"/>
    <n v="0"/>
    <n v="0"/>
    <n v="0"/>
    <n v="1.3494047619047618"/>
    <d v="2021-12-11T00:00:00"/>
    <n v="1"/>
    <e v="#N/A"/>
  </r>
  <r>
    <x v="37"/>
    <s v="F"/>
    <n v="14"/>
    <n v="6.02"/>
    <d v="1899-12-30T00:31:11"/>
    <d v="1899-12-30T00:31:11"/>
    <d v="1899-12-30T00:31:11"/>
    <n v="0"/>
    <d v="1899-12-30T00:05:11"/>
    <n v="1.5049999999999999"/>
    <n v="3.5"/>
    <x v="1"/>
    <n v="0.25"/>
    <n v="0.75"/>
    <n v="0"/>
    <n v="0"/>
    <n v="0"/>
    <n v="0"/>
    <n v="3.0012499999999998"/>
    <d v="2021-12-11T00:00:00"/>
    <n v="1"/>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grandTotalCaption="Total prezente" updatedVersion="5" minRefreshableVersion="3" showCalcMbrs="0" useAutoFormatting="1" itemPrintTitles="1" createdVersion="3" indent="0" outline="1" outlineData="1" multipleFieldFilters="0" colHeaderCaption="D/V">
  <location ref="A1:D41" firstHeaderRow="1" firstDataRow="2" firstDataCol="1"/>
  <pivotFields count="22">
    <pivotField axis="axisRow" numFmtId="169" showAll="0" defaultSubtotal="0">
      <items count="38">
        <item x="30"/>
        <item x="14"/>
        <item x="4"/>
        <item x="15"/>
        <item x="1"/>
        <item x="0"/>
        <item x="8"/>
        <item x="13"/>
        <item x="12"/>
        <item x="10"/>
        <item x="7"/>
        <item x="11"/>
        <item x="9"/>
        <item x="2"/>
        <item x="3"/>
        <item x="5"/>
        <item x="6"/>
        <item x="26"/>
        <item x="33"/>
        <item x="28"/>
        <item x="24"/>
        <item x="29"/>
        <item x="16"/>
        <item x="17"/>
        <item x="18"/>
        <item x="19"/>
        <item x="20"/>
        <item x="21"/>
        <item x="22"/>
        <item x="23"/>
        <item x="25"/>
        <item x="27"/>
        <item x="31"/>
        <item x="32"/>
        <item x="34"/>
        <item x="35"/>
        <item x="36"/>
        <item x="37"/>
      </items>
    </pivotField>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axis="axisCol" dataField="1" numFmtId="169" showAll="0">
      <items count="5">
        <item x="0"/>
        <item x="1"/>
        <item h="1" x="2"/>
        <item h="1" x="3"/>
        <item t="default"/>
      </items>
    </pivotField>
    <pivotField numFmtId="9" showAll="0"/>
    <pivotField numFmtId="9" showAll="0"/>
    <pivotField numFmtId="43" showAll="0"/>
    <pivotField numFmtId="166" showAll="0"/>
    <pivotField numFmtId="169" showAll="0"/>
    <pivotField numFmtId="166" showAll="0"/>
    <pivotField numFmtId="169" showAll="0"/>
    <pivotField numFmtId="169" showAll="0"/>
    <pivotField numFmtId="169" showAll="0"/>
    <pivotField numFmtId="169" showAll="0"/>
  </pivotFields>
  <rowFields count="1">
    <field x="0"/>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11"/>
  </colFields>
  <colItems count="3">
    <i>
      <x/>
    </i>
    <i>
      <x v="1"/>
    </i>
    <i t="grand">
      <x/>
    </i>
  </colItems>
  <dataFields count="1">
    <dataField name="Count of Tip" fld="11" subtotal="count" baseField="0" baseItem="0" numFmtId="169"/>
  </dataFields>
  <formats count="67">
    <format dxfId="66">
      <pivotArea dataOnly="0" labelOnly="1" fieldPosition="0">
        <references count="1">
          <reference field="11" count="0"/>
        </references>
      </pivotArea>
    </format>
    <format dxfId="65">
      <pivotArea dataOnly="0" labelOnly="1" grandCol="1" outline="0" fieldPosition="0"/>
    </format>
    <format dxfId="64">
      <pivotArea type="all" dataOnly="0" outline="0" fieldPosition="0"/>
    </format>
    <format dxfId="63">
      <pivotArea type="all" dataOnly="0" outline="0" fieldPosition="0"/>
    </format>
    <format dxfId="62">
      <pivotArea type="all" dataOnly="0" outline="0" fieldPosition="0"/>
    </format>
    <format dxfId="61">
      <pivotArea type="all" dataOnly="0" outline="0" fieldPosition="0"/>
    </format>
    <format dxfId="60">
      <pivotArea grandCol="1" outline="0" collapsedLevelsAreSubtotals="1" fieldPosition="0"/>
    </format>
    <format dxfId="59">
      <pivotArea type="topRight" dataOnly="0" labelOnly="1" outline="0" offset="D1" fieldPosition="0"/>
    </format>
    <format dxfId="58">
      <pivotArea dataOnly="0" labelOnly="1" grandCol="1" outline="0" fieldPosition="0"/>
    </format>
    <format dxfId="57">
      <pivotArea outline="0" collapsedLevelsAreSubtotals="1" fieldPosition="0">
        <references count="1">
          <reference field="11" count="1" selected="0">
            <x v="1"/>
          </reference>
        </references>
      </pivotArea>
    </format>
    <format dxfId="56">
      <pivotArea type="topRight" dataOnly="0" labelOnly="1" outline="0" fieldPosition="0"/>
    </format>
    <format dxfId="55">
      <pivotArea dataOnly="0" labelOnly="1" fieldPosition="0">
        <references count="1">
          <reference field="11" count="1">
            <x v="1"/>
          </reference>
        </references>
      </pivotArea>
    </format>
    <format dxfId="54">
      <pivotArea outline="0" collapsedLevelsAreSubtotals="1" fieldPosition="0">
        <references count="1">
          <reference field="11" count="1" selected="0">
            <x v="0"/>
          </reference>
        </references>
      </pivotArea>
    </format>
    <format dxfId="53">
      <pivotArea dataOnly="0" labelOnly="1" fieldPosition="0">
        <references count="1">
          <reference field="11" count="1">
            <x v="0"/>
          </reference>
        </references>
      </pivotArea>
    </format>
    <format dxfId="52">
      <pivotArea field="11" type="button" dataOnly="0" labelOnly="1" outline="0" axis="axisCol" fieldPosition="0"/>
    </format>
    <format dxfId="51">
      <pivotArea field="11" type="button" dataOnly="0" labelOnly="1" outline="0" axis="axisCol" fieldPosition="0"/>
    </format>
    <format dxfId="50">
      <pivotArea collapsedLevelsAreSubtotals="1" fieldPosition="0">
        <references count="2">
          <reference field="0" count="1">
            <x v="15"/>
          </reference>
          <reference field="11" count="1" selected="0">
            <x v="0"/>
          </reference>
        </references>
      </pivotArea>
    </format>
    <format dxfId="49">
      <pivotArea collapsedLevelsAreSubtotals="1" fieldPosition="0">
        <references count="2">
          <reference field="0" count="1">
            <x v="15"/>
          </reference>
          <reference field="11" count="1" selected="0">
            <x v="0"/>
          </reference>
        </references>
      </pivotArea>
    </format>
    <format dxfId="48">
      <pivotArea collapsedLevelsAreSubtotals="1" fieldPosition="0">
        <references count="2">
          <reference field="0" count="1">
            <x v="15"/>
          </reference>
          <reference field="11" count="1" selected="0">
            <x v="0"/>
          </reference>
        </references>
      </pivotArea>
    </format>
    <format dxfId="47">
      <pivotArea collapsedLevelsAreSubtotals="1" fieldPosition="0">
        <references count="2">
          <reference field="0" count="1">
            <x v="1"/>
          </reference>
          <reference field="11" count="1" selected="0">
            <x v="0"/>
          </reference>
        </references>
      </pivotArea>
    </format>
    <format dxfId="46">
      <pivotArea collapsedLevelsAreSubtotals="1" fieldPosition="0">
        <references count="2">
          <reference field="0" count="1">
            <x v="9"/>
          </reference>
          <reference field="11" count="1" selected="0">
            <x v="0"/>
          </reference>
        </references>
      </pivotArea>
    </format>
    <format dxfId="45">
      <pivotArea collapsedLevelsAreSubtotals="1" fieldPosition="0">
        <references count="2">
          <reference field="0" count="1">
            <x v="7"/>
          </reference>
          <reference field="11" count="1" selected="0">
            <x v="1"/>
          </reference>
        </references>
      </pivotArea>
    </format>
    <format dxfId="44">
      <pivotArea collapsedLevelsAreSubtotals="1" fieldPosition="0">
        <references count="2">
          <reference field="0" count="1">
            <x v="2"/>
          </reference>
          <reference field="11" count="1" selected="0">
            <x v="0"/>
          </reference>
        </references>
      </pivotArea>
    </format>
    <format dxfId="43">
      <pivotArea collapsedLevelsAreSubtotals="1" fieldPosition="0">
        <references count="2">
          <reference field="0" count="1">
            <x v="12"/>
          </reference>
          <reference field="11" count="1" selected="0">
            <x v="0"/>
          </reference>
        </references>
      </pivotArea>
    </format>
    <format dxfId="42">
      <pivotArea collapsedLevelsAreSubtotals="1" fieldPosition="0">
        <references count="2">
          <reference field="0" count="1">
            <x v="17"/>
          </reference>
          <reference field="11" count="1" selected="0">
            <x v="0"/>
          </reference>
        </references>
      </pivotArea>
    </format>
    <format dxfId="41">
      <pivotArea collapsedLevelsAreSubtotals="1" fieldPosition="0">
        <references count="2">
          <reference field="0" count="1">
            <x v="2"/>
          </reference>
          <reference field="11" count="1" selected="0">
            <x v="1"/>
          </reference>
        </references>
      </pivotArea>
    </format>
    <format dxfId="40">
      <pivotArea collapsedLevelsAreSubtotals="1" fieldPosition="0">
        <references count="2">
          <reference field="0" count="1">
            <x v="7"/>
          </reference>
          <reference field="11" count="1" selected="0">
            <x v="0"/>
          </reference>
        </references>
      </pivotArea>
    </format>
    <format dxfId="39">
      <pivotArea collapsedLevelsAreSubtotals="1" fieldPosition="0">
        <references count="2">
          <reference field="0" count="1">
            <x v="9"/>
          </reference>
          <reference field="11" count="1" selected="0">
            <x v="1"/>
          </reference>
        </references>
      </pivotArea>
    </format>
    <format dxfId="38">
      <pivotArea collapsedLevelsAreSubtotals="1" fieldPosition="0">
        <references count="2">
          <reference field="0" count="1">
            <x v="10"/>
          </reference>
          <reference field="11" count="1" selected="0">
            <x v="1"/>
          </reference>
        </references>
      </pivotArea>
    </format>
    <format dxfId="37">
      <pivotArea collapsedLevelsAreSubtotals="1" fieldPosition="0">
        <references count="2">
          <reference field="0" count="1">
            <x v="12"/>
          </reference>
          <reference field="11" count="1" selected="0">
            <x v="1"/>
          </reference>
        </references>
      </pivotArea>
    </format>
    <format dxfId="36">
      <pivotArea collapsedLevelsAreSubtotals="1" fieldPosition="0">
        <references count="2">
          <reference field="0" count="1">
            <x v="18"/>
          </reference>
          <reference field="11" count="1" selected="0">
            <x v="1"/>
          </reference>
        </references>
      </pivotArea>
    </format>
    <format dxfId="35">
      <pivotArea collapsedLevelsAreSubtotals="1" fieldPosition="0">
        <references count="2">
          <reference field="0" count="1">
            <x v="14"/>
          </reference>
          <reference field="11" count="1" selected="0">
            <x v="1"/>
          </reference>
        </references>
      </pivotArea>
    </format>
    <format dxfId="34">
      <pivotArea collapsedLevelsAreSubtotals="1" fieldPosition="0">
        <references count="2">
          <reference field="0" count="1">
            <x v="7"/>
          </reference>
          <reference field="11" count="1" selected="0">
            <x v="0"/>
          </reference>
        </references>
      </pivotArea>
    </format>
    <format dxfId="33">
      <pivotArea collapsedLevelsAreSubtotals="1" fieldPosition="0">
        <references count="2">
          <reference field="0" count="1">
            <x v="7"/>
          </reference>
          <reference field="11" count="1" selected="0">
            <x v="0"/>
          </reference>
        </references>
      </pivotArea>
    </format>
    <format dxfId="32">
      <pivotArea collapsedLevelsAreSubtotals="1" fieldPosition="0">
        <references count="2">
          <reference field="0" count="1">
            <x v="1"/>
          </reference>
          <reference field="11" count="1" selected="0">
            <x v="0"/>
          </reference>
        </references>
      </pivotArea>
    </format>
    <format dxfId="31">
      <pivotArea collapsedLevelsAreSubtotals="1" fieldPosition="0">
        <references count="2">
          <reference field="0" count="1">
            <x v="4"/>
          </reference>
          <reference field="11" count="1" selected="0">
            <x v="0"/>
          </reference>
        </references>
      </pivotArea>
    </format>
    <format dxfId="30">
      <pivotArea collapsedLevelsAreSubtotals="1" fieldPosition="0">
        <references count="1">
          <reference field="0" count="0"/>
        </references>
      </pivotArea>
    </format>
    <format dxfId="29">
      <pivotArea collapsedLevelsAreSubtotals="1" fieldPosition="0">
        <references count="1">
          <reference field="0" count="0"/>
        </references>
      </pivotArea>
    </format>
    <format dxfId="28">
      <pivotArea collapsedLevelsAreSubtotals="1" fieldPosition="0">
        <references count="2">
          <reference field="0" count="1">
            <x v="4"/>
          </reference>
          <reference field="11" count="1" selected="0">
            <x v="0"/>
          </reference>
        </references>
      </pivotArea>
    </format>
    <format dxfId="27">
      <pivotArea collapsedLevelsAreSubtotals="1" fieldPosition="0">
        <references count="2">
          <reference field="0" count="1">
            <x v="1"/>
          </reference>
          <reference field="11" count="1" selected="0">
            <x v="0"/>
          </reference>
        </references>
      </pivotArea>
    </format>
    <format dxfId="26">
      <pivotArea collapsedLevelsAreSubtotals="1" fieldPosition="0">
        <references count="2">
          <reference field="0" count="1">
            <x v="9"/>
          </reference>
          <reference field="11" count="1" selected="0">
            <x v="1"/>
          </reference>
        </references>
      </pivotArea>
    </format>
    <format dxfId="25">
      <pivotArea collapsedLevelsAreSubtotals="1" fieldPosition="0">
        <references count="2">
          <reference field="0" count="1">
            <x v="12"/>
          </reference>
          <reference field="11" count="1" selected="0">
            <x v="0"/>
          </reference>
        </references>
      </pivotArea>
    </format>
    <format dxfId="24">
      <pivotArea collapsedLevelsAreSubtotals="1" fieldPosition="0">
        <references count="2">
          <reference field="0" count="1">
            <x v="17"/>
          </reference>
          <reference field="11" count="1" selected="0">
            <x v="0"/>
          </reference>
        </references>
      </pivotArea>
    </format>
    <format dxfId="23">
      <pivotArea collapsedLevelsAreSubtotals="1" fieldPosition="0">
        <references count="2">
          <reference field="0" count="1">
            <x v="15"/>
          </reference>
          <reference field="11" count="1" selected="0">
            <x v="0"/>
          </reference>
        </references>
      </pivotArea>
    </format>
    <format dxfId="22">
      <pivotArea collapsedLevelsAreSubtotals="1" fieldPosition="0">
        <references count="1">
          <reference field="0" count="0"/>
        </references>
      </pivotArea>
    </format>
    <format dxfId="21">
      <pivotArea collapsedLevelsAreSubtotals="1" fieldPosition="0">
        <references count="1">
          <reference field="0" count="0"/>
        </references>
      </pivotArea>
    </format>
    <format dxfId="20">
      <pivotArea grandRow="1" outline="0" collapsedLevelsAreSubtotals="1" fieldPosition="0"/>
    </format>
    <format dxfId="19">
      <pivotArea collapsedLevelsAreSubtotals="1" fieldPosition="0">
        <references count="1">
          <reference field="0" count="0"/>
        </references>
      </pivotArea>
    </format>
    <format dxfId="18">
      <pivotArea collapsedLevelsAreSubtotals="1" fieldPosition="0">
        <references count="1">
          <reference field="0" count="0"/>
        </references>
      </pivotArea>
    </format>
    <format dxfId="17">
      <pivotArea collapsedLevelsAreSubtotals="1" fieldPosition="0">
        <references count="2">
          <reference field="0" count="1">
            <x v="7"/>
          </reference>
          <reference field="11" count="1" selected="0">
            <x v="1"/>
          </reference>
        </references>
      </pivotArea>
    </format>
    <format dxfId="16">
      <pivotArea collapsedLevelsAreSubtotals="1" fieldPosition="0">
        <references count="2">
          <reference field="0" count="1">
            <x v="7"/>
          </reference>
          <reference field="11" count="1" selected="0">
            <x v="1"/>
          </reference>
        </references>
      </pivotArea>
    </format>
    <format dxfId="15">
      <pivotArea collapsedLevelsAreSubtotals="1" fieldPosition="0">
        <references count="2">
          <reference field="0" count="1">
            <x v="1"/>
          </reference>
          <reference field="11" count="1" selected="0">
            <x v="1"/>
          </reference>
        </references>
      </pivotArea>
    </format>
    <format dxfId="14">
      <pivotArea collapsedLevelsAreSubtotals="1" fieldPosition="0">
        <references count="2">
          <reference field="0" count="1">
            <x v="13"/>
          </reference>
          <reference field="11" count="1" selected="0">
            <x v="0"/>
          </reference>
        </references>
      </pivotArea>
    </format>
    <format dxfId="13">
      <pivotArea collapsedLevelsAreSubtotals="1" fieldPosition="0">
        <references count="2">
          <reference field="0" count="1">
            <x v="16"/>
          </reference>
          <reference field="11" count="1" selected="0">
            <x v="1"/>
          </reference>
        </references>
      </pivotArea>
    </format>
    <format dxfId="12">
      <pivotArea collapsedLevelsAreSubtotals="1" fieldPosition="0">
        <references count="2">
          <reference field="0" count="1">
            <x v="17"/>
          </reference>
          <reference field="11" count="1" selected="0">
            <x v="1"/>
          </reference>
        </references>
      </pivotArea>
    </format>
    <format dxfId="11">
      <pivotArea collapsedLevelsAreSubtotals="1" fieldPosition="0">
        <references count="2">
          <reference field="0" count="1">
            <x v="24"/>
          </reference>
          <reference field="11" count="1" selected="0">
            <x v="0"/>
          </reference>
        </references>
      </pivotArea>
    </format>
    <format dxfId="10">
      <pivotArea collapsedLevelsAreSubtotals="1" fieldPosition="0">
        <references count="2">
          <reference field="0" count="1">
            <x v="31"/>
          </reference>
          <reference field="11" count="1" selected="0">
            <x v="0"/>
          </reference>
        </references>
      </pivotArea>
    </format>
    <format dxfId="9">
      <pivotArea collapsedLevelsAreSubtotals="1" fieldPosition="0">
        <references count="2">
          <reference field="0" count="1">
            <x v="27"/>
          </reference>
          <reference field="11" count="1" selected="0">
            <x v="0"/>
          </reference>
        </references>
      </pivotArea>
    </format>
    <format dxfId="8">
      <pivotArea collapsedLevelsAreSubtotals="1" fieldPosition="0">
        <references count="2">
          <reference field="0" count="1">
            <x v="21"/>
          </reference>
          <reference field="11" count="1" selected="0">
            <x v="0"/>
          </reference>
        </references>
      </pivotArea>
    </format>
    <format dxfId="7">
      <pivotArea collapsedLevelsAreSubtotals="1" fieldPosition="0">
        <references count="2">
          <reference field="0" count="1">
            <x v="29"/>
          </reference>
          <reference field="11" count="1" selected="0">
            <x v="0"/>
          </reference>
        </references>
      </pivotArea>
    </format>
    <format dxfId="6">
      <pivotArea collapsedLevelsAreSubtotals="1" fieldPosition="0">
        <references count="2">
          <reference field="0" count="2">
            <x v="5"/>
            <x v="6"/>
          </reference>
          <reference field="11" count="1" selected="0">
            <x v="0"/>
          </reference>
        </references>
      </pivotArea>
    </format>
    <format dxfId="5">
      <pivotArea collapsedLevelsAreSubtotals="1" fieldPosition="0">
        <references count="2">
          <reference field="0" count="1">
            <x v="10"/>
          </reference>
          <reference field="11" count="1" selected="0">
            <x v="0"/>
          </reference>
        </references>
      </pivotArea>
    </format>
    <format dxfId="4">
      <pivotArea collapsedLevelsAreSubtotals="1" fieldPosition="0">
        <references count="2">
          <reference field="0" count="1">
            <x v="11"/>
          </reference>
          <reference field="11" count="1" selected="0">
            <x v="1"/>
          </reference>
        </references>
      </pivotArea>
    </format>
    <format dxfId="3">
      <pivotArea collapsedLevelsAreSubtotals="1" fieldPosition="0">
        <references count="2">
          <reference field="0" count="1">
            <x v="15"/>
          </reference>
          <reference field="11" count="1" selected="0">
            <x v="1"/>
          </reference>
        </references>
      </pivotArea>
    </format>
    <format dxfId="2">
      <pivotArea collapsedLevelsAreSubtotals="1" fieldPosition="0">
        <references count="2">
          <reference field="0" count="1">
            <x v="20"/>
          </reference>
          <reference field="11" count="1" selected="0">
            <x v="0"/>
          </reference>
        </references>
      </pivotArea>
    </format>
    <format dxfId="1">
      <pivotArea collapsedLevelsAreSubtotals="1" fieldPosition="0">
        <references count="2">
          <reference field="0" count="1">
            <x v="26"/>
          </reference>
          <reference field="11" count="1" selected="0">
            <x v="0"/>
          </reference>
        </references>
      </pivotArea>
    </format>
    <format dxfId="0">
      <pivotArea collapsedLevelsAreSubtotals="1" fieldPosition="0">
        <references count="2">
          <reference field="0" count="2">
            <x v="22"/>
            <x v="23"/>
          </reference>
          <reference field="11" count="1" selected="0">
            <x v="0"/>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ollrecovery.com/product/r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0"/>
  <sheetViews>
    <sheetView workbookViewId="0">
      <selection activeCell="D12" sqref="D12"/>
    </sheetView>
  </sheetViews>
  <sheetFormatPr defaultRowHeight="14.4" x14ac:dyDescent="0.3"/>
  <cols>
    <col min="1" max="1" width="10.6640625" bestFit="1" customWidth="1"/>
    <col min="2" max="2" width="15.109375" bestFit="1" customWidth="1"/>
    <col min="3" max="3" width="17" bestFit="1" customWidth="1"/>
    <col min="4" max="4" width="17.33203125" bestFit="1" customWidth="1"/>
    <col min="5" max="5" width="22.88671875" bestFit="1" customWidth="1"/>
    <col min="7" max="7" width="22.88671875" bestFit="1" customWidth="1"/>
  </cols>
  <sheetData>
    <row r="1" spans="1:8" x14ac:dyDescent="0.3">
      <c r="C1">
        <v>1</v>
      </c>
      <c r="D1">
        <v>2</v>
      </c>
      <c r="E1">
        <v>3</v>
      </c>
      <c r="G1" s="15" t="s">
        <v>170</v>
      </c>
      <c r="H1" s="15" t="s">
        <v>171</v>
      </c>
    </row>
    <row r="2" spans="1:8" x14ac:dyDescent="0.3">
      <c r="A2" s="15" t="s">
        <v>0</v>
      </c>
      <c r="B2" s="1" t="s">
        <v>4</v>
      </c>
      <c r="C2" s="15" t="s">
        <v>1</v>
      </c>
      <c r="D2" t="s">
        <v>2</v>
      </c>
      <c r="E2" t="s">
        <v>3</v>
      </c>
      <c r="G2" s="57" t="s">
        <v>80</v>
      </c>
      <c r="H2" s="57">
        <v>14</v>
      </c>
    </row>
    <row r="3" spans="1:8" x14ac:dyDescent="0.3">
      <c r="A3" s="15" t="s">
        <v>159</v>
      </c>
      <c r="B3" t="s">
        <v>8</v>
      </c>
      <c r="C3" s="15" t="s">
        <v>5</v>
      </c>
      <c r="D3" t="s">
        <v>6</v>
      </c>
      <c r="E3" t="s">
        <v>7</v>
      </c>
      <c r="G3" s="57" t="s">
        <v>51</v>
      </c>
      <c r="H3" s="57">
        <v>10</v>
      </c>
    </row>
    <row r="4" spans="1:8" x14ac:dyDescent="0.3">
      <c r="A4" s="15" t="s">
        <v>160</v>
      </c>
      <c r="B4" t="s">
        <v>9</v>
      </c>
      <c r="C4" s="15" t="s">
        <v>7</v>
      </c>
      <c r="D4" t="s">
        <v>10</v>
      </c>
      <c r="G4" s="57" t="s">
        <v>53</v>
      </c>
      <c r="H4" s="57">
        <v>8</v>
      </c>
    </row>
    <row r="5" spans="1:8" x14ac:dyDescent="0.3">
      <c r="A5" s="15" t="s">
        <v>161</v>
      </c>
      <c r="B5" t="s">
        <v>42</v>
      </c>
      <c r="C5" s="15" t="s">
        <v>43</v>
      </c>
      <c r="D5" t="s">
        <v>44</v>
      </c>
      <c r="E5" t="s">
        <v>82</v>
      </c>
      <c r="G5" s="57" t="s">
        <v>5</v>
      </c>
      <c r="H5" s="57">
        <v>4</v>
      </c>
    </row>
    <row r="6" spans="1:8" x14ac:dyDescent="0.3">
      <c r="A6" s="15" t="s">
        <v>162</v>
      </c>
      <c r="B6" t="s">
        <v>76</v>
      </c>
      <c r="C6" s="15" t="s">
        <v>53</v>
      </c>
      <c r="D6" t="s">
        <v>54</v>
      </c>
      <c r="E6" t="s">
        <v>82</v>
      </c>
      <c r="G6" s="57" t="s">
        <v>7</v>
      </c>
      <c r="H6" s="57">
        <v>4</v>
      </c>
    </row>
    <row r="7" spans="1:8" ht="14.25" customHeight="1" x14ac:dyDescent="0.3">
      <c r="A7" s="15" t="s">
        <v>163</v>
      </c>
      <c r="B7" t="s">
        <v>83</v>
      </c>
      <c r="C7" s="15" t="s">
        <v>80</v>
      </c>
      <c r="D7" t="s">
        <v>2</v>
      </c>
      <c r="E7" t="s">
        <v>51</v>
      </c>
      <c r="G7" s="57" t="s">
        <v>2</v>
      </c>
      <c r="H7" s="57">
        <v>4</v>
      </c>
    </row>
    <row r="8" spans="1:8" ht="14.25" customHeight="1" x14ac:dyDescent="0.3">
      <c r="A8" s="15" t="s">
        <v>164</v>
      </c>
      <c r="B8" t="s">
        <v>89</v>
      </c>
      <c r="C8" s="15" t="s">
        <v>80</v>
      </c>
      <c r="D8" t="s">
        <v>51</v>
      </c>
      <c r="E8" t="s">
        <v>65</v>
      </c>
      <c r="G8" s="57" t="s">
        <v>43</v>
      </c>
      <c r="H8" s="57">
        <v>3</v>
      </c>
    </row>
    <row r="9" spans="1:8" ht="14.25" customHeight="1" x14ac:dyDescent="0.3">
      <c r="A9" s="15" t="s">
        <v>165</v>
      </c>
      <c r="B9" t="s">
        <v>90</v>
      </c>
      <c r="C9" s="15" t="s">
        <v>51</v>
      </c>
      <c r="D9" t="s">
        <v>53</v>
      </c>
      <c r="E9" t="s">
        <v>80</v>
      </c>
      <c r="G9" s="57" t="s">
        <v>1</v>
      </c>
      <c r="H9" s="57">
        <v>3</v>
      </c>
    </row>
    <row r="10" spans="1:8" ht="14.25" customHeight="1" x14ac:dyDescent="0.3">
      <c r="A10" s="15" t="s">
        <v>166</v>
      </c>
      <c r="B10" t="s">
        <v>107</v>
      </c>
      <c r="C10" s="15" t="s">
        <v>53</v>
      </c>
      <c r="D10" t="s">
        <v>51</v>
      </c>
      <c r="E10" t="s">
        <v>5</v>
      </c>
      <c r="G10" s="73" t="s">
        <v>131</v>
      </c>
      <c r="H10" s="73">
        <v>3</v>
      </c>
    </row>
    <row r="11" spans="1:8" ht="14.25" customHeight="1" x14ac:dyDescent="0.3">
      <c r="A11" s="15" t="s">
        <v>167</v>
      </c>
      <c r="B11" t="s">
        <v>126</v>
      </c>
      <c r="C11" s="15" t="s">
        <v>131</v>
      </c>
      <c r="D11" s="73" t="s">
        <v>51</v>
      </c>
      <c r="E11" t="s">
        <v>80</v>
      </c>
      <c r="G11" s="57" t="s">
        <v>82</v>
      </c>
      <c r="H11" s="57">
        <v>2</v>
      </c>
    </row>
    <row r="12" spans="1:8" ht="14.25" customHeight="1" x14ac:dyDescent="0.3">
      <c r="A12" s="15" t="s">
        <v>168</v>
      </c>
      <c r="B12" t="s">
        <v>158</v>
      </c>
      <c r="C12" s="15" t="s">
        <v>80</v>
      </c>
      <c r="D12" t="s">
        <v>150</v>
      </c>
      <c r="E12" t="s">
        <v>157</v>
      </c>
      <c r="G12" s="57" t="s">
        <v>44</v>
      </c>
      <c r="H12" s="57">
        <v>2</v>
      </c>
    </row>
    <row r="13" spans="1:8" ht="14.25" customHeight="1" x14ac:dyDescent="0.3">
      <c r="A13" s="15" t="s">
        <v>169</v>
      </c>
      <c r="B13" t="s">
        <v>212</v>
      </c>
      <c r="C13" s="15" t="s">
        <v>80</v>
      </c>
      <c r="D13" t="s">
        <v>51</v>
      </c>
      <c r="E13" t="s">
        <v>111</v>
      </c>
      <c r="G13" s="57" t="s">
        <v>54</v>
      </c>
      <c r="H13" s="57">
        <v>2</v>
      </c>
    </row>
    <row r="14" spans="1:8" ht="14.25" customHeight="1" x14ac:dyDescent="0.3">
      <c r="A14" s="15" t="s">
        <v>219</v>
      </c>
      <c r="B14" t="s">
        <v>220</v>
      </c>
      <c r="G14" t="s">
        <v>6</v>
      </c>
      <c r="H14" s="57">
        <v>2</v>
      </c>
    </row>
    <row r="15" spans="1:8" ht="14.25" customHeight="1" x14ac:dyDescent="0.3">
      <c r="G15" t="s">
        <v>10</v>
      </c>
      <c r="H15">
        <v>2</v>
      </c>
    </row>
    <row r="16" spans="1:8" ht="14.25" customHeight="1" x14ac:dyDescent="0.3">
      <c r="G16" t="s">
        <v>150</v>
      </c>
      <c r="H16">
        <v>2</v>
      </c>
    </row>
    <row r="17" spans="7:8" ht="14.25" customHeight="1" x14ac:dyDescent="0.3">
      <c r="G17" t="s">
        <v>65</v>
      </c>
      <c r="H17">
        <v>1</v>
      </c>
    </row>
    <row r="18" spans="7:8" ht="14.25" customHeight="1" x14ac:dyDescent="0.3">
      <c r="G18" t="s">
        <v>3</v>
      </c>
      <c r="H18">
        <v>1</v>
      </c>
    </row>
    <row r="19" spans="7:8" ht="14.25" customHeight="1" x14ac:dyDescent="0.3">
      <c r="G19" t="s">
        <v>157</v>
      </c>
      <c r="H19">
        <v>1</v>
      </c>
    </row>
    <row r="20" spans="7:8" x14ac:dyDescent="0.3">
      <c r="G20" s="73" t="s">
        <v>111</v>
      </c>
      <c r="H20">
        <v>1</v>
      </c>
    </row>
  </sheetData>
  <sortState ref="G2:H20">
    <sortCondition descending="1" ref="H2:H20"/>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32"/>
  <sheetViews>
    <sheetView workbookViewId="0">
      <pane ySplit="1" topLeftCell="A2" activePane="bottomLeft" state="frozen"/>
      <selection pane="bottomLeft" activeCell="Q6" sqref="Q6"/>
    </sheetView>
  </sheetViews>
  <sheetFormatPr defaultColWidth="9.109375" defaultRowHeight="12" x14ac:dyDescent="0.25"/>
  <cols>
    <col min="1" max="1" width="8.109375" style="155" bestFit="1" customWidth="1"/>
    <col min="2" max="2" width="22.5546875" style="43" bestFit="1" customWidth="1"/>
    <col min="3" max="11" width="6" style="43" customWidth="1"/>
    <col min="12" max="15" width="5.109375" style="43" customWidth="1"/>
    <col min="16" max="16" width="5.44140625" style="43" bestFit="1" customWidth="1"/>
    <col min="17" max="20" width="5.109375" style="43" customWidth="1"/>
    <col min="21" max="21" width="13.21875" style="43" bestFit="1" customWidth="1"/>
    <col min="22" max="22" width="10.44140625" style="43" bestFit="1" customWidth="1"/>
    <col min="23" max="23" width="13.33203125" style="43" bestFit="1" customWidth="1"/>
    <col min="24" max="16384" width="9.109375" style="43"/>
  </cols>
  <sheetData>
    <row r="1" spans="1:23" ht="13.8" x14ac:dyDescent="0.3">
      <c r="A1" s="153" t="s">
        <v>69</v>
      </c>
      <c r="B1" s="42" t="s">
        <v>32</v>
      </c>
      <c r="C1" s="45">
        <v>1</v>
      </c>
      <c r="D1" s="45">
        <v>2</v>
      </c>
      <c r="E1" s="45">
        <v>3</v>
      </c>
      <c r="F1" s="45">
        <v>4</v>
      </c>
      <c r="G1" s="45">
        <v>5</v>
      </c>
      <c r="H1" s="81" t="s">
        <v>145</v>
      </c>
      <c r="I1" s="45">
        <v>6</v>
      </c>
      <c r="J1" s="45">
        <v>7</v>
      </c>
      <c r="K1" s="45">
        <v>8</v>
      </c>
      <c r="L1" s="45">
        <v>9</v>
      </c>
      <c r="M1" s="45">
        <v>10</v>
      </c>
      <c r="N1" s="81" t="s">
        <v>146</v>
      </c>
      <c r="O1" s="45">
        <v>11</v>
      </c>
      <c r="P1" s="45">
        <v>12</v>
      </c>
      <c r="Q1" s="45">
        <v>13</v>
      </c>
      <c r="R1" s="45">
        <v>14</v>
      </c>
      <c r="S1" s="45">
        <v>15</v>
      </c>
      <c r="T1" s="81" t="s">
        <v>147</v>
      </c>
      <c r="U1" s="101" t="s">
        <v>85</v>
      </c>
      <c r="V1" s="42" t="s">
        <v>71</v>
      </c>
      <c r="W1" s="42" t="s">
        <v>70</v>
      </c>
    </row>
    <row r="2" spans="1:23" ht="13.8" x14ac:dyDescent="0.3">
      <c r="A2" s="151">
        <v>1</v>
      </c>
      <c r="B2" s="38" t="s">
        <v>242</v>
      </c>
      <c r="C2" s="39">
        <f>IF(SUMIFS(Data!$S:$S,Data!$A:$A,$B2,Data!$C:$C,C$1)=0,"",SUMIFS(Data!$S:$S,Data!$A:$A,$B2,Data!$C:$C,C$1))</f>
        <v>5.0203333333333333</v>
      </c>
      <c r="D2" s="39">
        <f>IF(SUMIFS(Data!$S:$S,Data!$A:$A,$B2,Data!$C:$C,D$1)=0,"",SUMIFS(Data!$S:$S,Data!$A:$A,$B2,Data!$C:$C,D$1))</f>
        <v>5.9540000000000006</v>
      </c>
      <c r="E2" s="39">
        <f>IF(SUMIFS(Data!$S:$S,Data!$A:$A,$B2,Data!$C:$C,E$1)=0,"",SUMIFS(Data!$S:$S,Data!$A:$A,$B2,Data!$C:$C,E$1))</f>
        <v>9.4369047619047635</v>
      </c>
      <c r="F2" s="39">
        <f>IF(SUMIFS(Data!$S:$S,Data!$A:$A,$B2,Data!$C:$C,F$1)=0,"",SUMIFS(Data!$S:$S,Data!$A:$A,$B2,Data!$C:$C,F$1))</f>
        <v>6.702</v>
      </c>
      <c r="G2" s="39">
        <f>IF(SUMIFS(Data!$S:$S,Data!$A:$A,$B2,Data!$C:$C,G$1)=0,"",SUMIFS(Data!$S:$S,Data!$A:$A,$B2,Data!$C:$C,G$1))</f>
        <v>7.5318333333333332</v>
      </c>
      <c r="H2" s="39">
        <f>IF(SUMIFS(Data!$S:$S,Data!$A:$A,$B2,Data!$C:$C,H$1)=0,"",SUMIFS(Data!$S:$S,Data!$A:$A,$B2,Data!$C:$C,H$1))</f>
        <v>3.625</v>
      </c>
      <c r="I2" s="39">
        <f>IF(SUMIFS(Data!$S:$S,Data!$A:$A,$B2,Data!$C:$C,I$1)=0,"",SUMIFS(Data!$S:$S,Data!$A:$A,$B2,Data!$C:$C,I$1))</f>
        <v>5.7539999999999996</v>
      </c>
      <c r="J2" s="39">
        <f>IF(SUMIFS(Data!$S:$S,Data!$A:$A,$B2,Data!$C:$C,J$1)=0,"",SUMIFS(Data!$S:$S,Data!$A:$A,$B2,Data!$C:$C,J$1))</f>
        <v>8.5804999999999989</v>
      </c>
      <c r="K2" s="39">
        <f>IF(SUMIFS(Data!$S:$S,Data!$A:$A,$B2,Data!$C:$C,K$1)=0,"",SUMIFS(Data!$S:$S,Data!$A:$A,$B2,Data!$C:$C,K$1))</f>
        <v>5.6926666666666668</v>
      </c>
      <c r="L2" s="39">
        <f>IF(SUMIFS(Data!$S:$S,Data!$A:$A,$B2,Data!$C:$C,L$1)=0,"",SUMIFS(Data!$S:$S,Data!$A:$A,$B2,Data!$C:$C,L$1))</f>
        <v>6.5958333333333332</v>
      </c>
      <c r="M2" s="39">
        <f>IF(SUMIFS(Data!$S:$S,Data!$A:$A,$B2,Data!$C:$C,M$1)=0,"",SUMIFS(Data!$S:$S,Data!$A:$A,$B2,Data!$C:$C,M$1))</f>
        <v>8.5458333333333325</v>
      </c>
      <c r="N2" s="39">
        <f>IF(SUMIFS(Data!$S:$S,Data!$A:$A,$B2,Data!$C:$C,N$1)=0,"",SUMIFS(Data!$S:$S,Data!$A:$A,$B2,Data!$C:$C,N$1))</f>
        <v>2.4375</v>
      </c>
      <c r="O2" s="39">
        <f>IF(SUMIFS(Data!$S:$S,Data!$A:$A,$B2,Data!$C:$C,O$1)=0,"",SUMIFS(Data!$S:$S,Data!$A:$A,$B2,Data!$C:$C,O$1))</f>
        <v>5.2273333333333332</v>
      </c>
      <c r="P2" s="39">
        <f>IF(SUMIFS(Data!$S:$S,Data!$A:$A,$B2,Data!$C:$C,P$1)=0,"",SUMIFS(Data!$S:$S,Data!$A:$A,$B2,Data!$C:$C,P$1))</f>
        <v>5.5539999999999994</v>
      </c>
      <c r="Q2" s="39">
        <f>IF(SUMIFS(Data!$S:$S,Data!$A:$A,$B2,Data!$C:$C,Q$1)=0,"",SUMIFS(Data!$S:$S,Data!$A:$A,$B2,Data!$C:$C,Q$1))</f>
        <v>5.8818333333333328</v>
      </c>
      <c r="R2" s="39">
        <f>IF(SUMIFS(Data!$S:$S,Data!$A:$A,$B2,Data!$C:$C,R$1)=0,"",SUMIFS(Data!$S:$S,Data!$A:$A,$B2,Data!$C:$C,R$1))</f>
        <v>8.2482142857142851</v>
      </c>
      <c r="S2" s="39">
        <f>IF(SUMIFS(Data!$S:$S,Data!$A:$A,$B2,Data!$C:$C,S$1)=0,"",SUMIFS(Data!$S:$S,Data!$A:$A,$B2,Data!$C:$C,S$1))</f>
        <v>6.0020000000000007</v>
      </c>
      <c r="T2" s="39">
        <f>IF(SUMIFS(Data!$S:$S,Data!$A:$A,$B2,Data!$C:$C,T$1)=0,"",SUMIFS(Data!$S:$S,Data!$A:$A,$B2,Data!$C:$C,T$1))</f>
        <v>3.8125</v>
      </c>
      <c r="U2" s="39">
        <f>IF(SUMIFS(Data!X:X,Data!A:A,B2)&gt;12,5,IF(SUMIFS(Data!X:X,Data!A:A,B2)&gt;9,3, IF(SUMIFS(Data!X:X,Data!A:A,B2)&gt;4,1,0)))</f>
        <v>5</v>
      </c>
      <c r="V2" s="39">
        <f>SUM(C2:U2)</f>
        <v>115.60228571428571</v>
      </c>
      <c r="W2" s="39">
        <f>SUMIFS(Data!D:D,Data!A:A,B2)</f>
        <v>313.59999999999997</v>
      </c>
    </row>
    <row r="3" spans="1:23" ht="13.8" x14ac:dyDescent="0.3">
      <c r="A3" s="151">
        <v>2</v>
      </c>
      <c r="B3" s="38" t="s">
        <v>51</v>
      </c>
      <c r="C3" s="39">
        <f>IF(SUMIFS(Data!$S:$S,Data!$A:$A,$B3,Data!$C:$C,C$1)=0,"",SUMIFS(Data!$S:$S,Data!$A:$A,$B3,Data!$C:$C,C$1))</f>
        <v>5.9579999999999993</v>
      </c>
      <c r="D3" s="39">
        <f>IF(SUMIFS(Data!$S:$S,Data!$A:$A,$B3,Data!$C:$C,D$1)=0,"",SUMIFS(Data!$S:$S,Data!$A:$A,$B3,Data!$C:$C,D$1))</f>
        <v>3.625</v>
      </c>
      <c r="E3" s="39">
        <f>IF(SUMIFS(Data!$S:$S,Data!$A:$A,$B3,Data!$C:$C,E$1)=0,"",SUMIFS(Data!$S:$S,Data!$A:$A,$B3,Data!$C:$C,E$1))</f>
        <v>7.1400000000000006</v>
      </c>
      <c r="F3" s="39">
        <f>IF(SUMIFS(Data!$S:$S,Data!$A:$A,$B3,Data!$C:$C,F$1)=0,"",SUMIFS(Data!$S:$S,Data!$A:$A,$B3,Data!$C:$C,F$1))</f>
        <v>4.75</v>
      </c>
      <c r="G3" s="39">
        <f>IF(SUMIFS(Data!$S:$S,Data!$A:$A,$B3,Data!$C:$C,G$1)=0,"",SUMIFS(Data!$S:$S,Data!$A:$A,$B3,Data!$C:$C,G$1))</f>
        <v>4.0720000000000001</v>
      </c>
      <c r="H3" s="39">
        <f>IF(SUMIFS(Data!$S:$S,Data!$A:$A,$B3,Data!$C:$C,H$1)=0,"",SUMIFS(Data!$S:$S,Data!$A:$A,$B3,Data!$C:$C,H$1))</f>
        <v>4.4375</v>
      </c>
      <c r="I3" s="39">
        <f>IF(SUMIFS(Data!$S:$S,Data!$A:$A,$B3,Data!$C:$C,I$1)=0,"",SUMIFS(Data!$S:$S,Data!$A:$A,$B3,Data!$C:$C,I$1))</f>
        <v>5.6506666666666669</v>
      </c>
      <c r="J3" s="39">
        <f>IF(SUMIFS(Data!$S:$S,Data!$A:$A,$B3,Data!$C:$C,J$1)=0,"",SUMIFS(Data!$S:$S,Data!$A:$A,$B3,Data!$C:$C,J$1))</f>
        <v>5.4966666666666661</v>
      </c>
      <c r="K3" s="39">
        <f>IF(SUMIFS(Data!$S:$S,Data!$A:$A,$B3,Data!$C:$C,K$1)=0,"",SUMIFS(Data!$S:$S,Data!$A:$A,$B3,Data!$C:$C,K$1))</f>
        <v>3.5</v>
      </c>
      <c r="L3" s="39">
        <f>IF(SUMIFS(Data!$S:$S,Data!$A:$A,$B3,Data!$C:$C,L$1)=0,"",SUMIFS(Data!$S:$S,Data!$A:$A,$B3,Data!$C:$C,L$1))</f>
        <v>5.5026666666666664</v>
      </c>
      <c r="M3" s="39">
        <f>IF(SUMIFS(Data!$S:$S,Data!$A:$A,$B3,Data!$C:$C,M$1)=0,"",SUMIFS(Data!$S:$S,Data!$A:$A,$B3,Data!$C:$C,M$1))</f>
        <v>4.9316666666666666</v>
      </c>
      <c r="N3" s="39">
        <f>IF(SUMIFS(Data!$S:$S,Data!$A:$A,$B3,Data!$C:$C,N$1)=0,"",SUMIFS(Data!$S:$S,Data!$A:$A,$B3,Data!$C:$C,N$1))</f>
        <v>4.6875</v>
      </c>
      <c r="O3" s="39">
        <f>IF(SUMIFS(Data!$S:$S,Data!$A:$A,$B3,Data!$C:$C,O$1)=0,"",SUMIFS(Data!$S:$S,Data!$A:$A,$B3,Data!$C:$C,O$1))</f>
        <v>3.9453333333333331</v>
      </c>
      <c r="P3" s="39">
        <f>IF(SUMIFS(Data!$S:$S,Data!$A:$A,$B3,Data!$C:$C,P$1)=0,"",SUMIFS(Data!$S:$S,Data!$A:$A,$B3,Data!$C:$C,P$1))</f>
        <v>4.49</v>
      </c>
      <c r="Q3" s="39">
        <f>IF(SUMIFS(Data!$S:$S,Data!$A:$A,$B3,Data!$C:$C,Q$1)=0,"",SUMIFS(Data!$S:$S,Data!$A:$A,$B3,Data!$C:$C,Q$1))</f>
        <v>3.9203333333333332</v>
      </c>
      <c r="R3" s="39">
        <f>IF(SUMIFS(Data!$S:$S,Data!$A:$A,$B3,Data!$C:$C,R$1)=0,"",SUMIFS(Data!$S:$S,Data!$A:$A,$B3,Data!$C:$C,R$1))</f>
        <v>3.875</v>
      </c>
      <c r="S3" s="39">
        <f>IF(SUMIFS(Data!$S:$S,Data!$A:$A,$B3,Data!$C:$C,S$1)=0,"",SUMIFS(Data!$S:$S,Data!$A:$A,$B3,Data!$C:$C,S$1))</f>
        <v>3.6</v>
      </c>
      <c r="T3" s="39">
        <f>IF(SUMIFS(Data!$S:$S,Data!$A:$A,$B3,Data!$C:$C,T$1)=0,"",SUMIFS(Data!$S:$S,Data!$A:$A,$B3,Data!$C:$C,T$1))</f>
        <v>4.6875</v>
      </c>
      <c r="U3" s="39">
        <f>IF(SUMIFS(Data!X:X,Data!A:A,B3)&gt;12,5,IF(SUMIFS(Data!X:X,Data!A:A,B3)&gt;9,3, IF(SUMIFS(Data!X:X,Data!A:A,B3)&gt;4,1,0)))</f>
        <v>3</v>
      </c>
      <c r="V3" s="39">
        <f t="shared" ref="V3:V29" si="0">SUM(C3:U3)</f>
        <v>87.269833333333324</v>
      </c>
      <c r="W3" s="39">
        <f>SUMIFS(Data!D:D,Data!A:A,B3)</f>
        <v>456.62</v>
      </c>
    </row>
    <row r="4" spans="1:23" ht="13.8" x14ac:dyDescent="0.3">
      <c r="A4" s="151">
        <v>3</v>
      </c>
      <c r="B4" s="38" t="s">
        <v>203</v>
      </c>
      <c r="C4" s="39">
        <f>IF(SUMIFS(Data!$S:$S,Data!$A:$A,$B4,Data!$C:$C,C$1)=0,"",SUMIFS(Data!$S:$S,Data!$A:$A,$B4,Data!$C:$C,C$1))</f>
        <v>4.8606904761904763</v>
      </c>
      <c r="D4" s="39">
        <f>IF(SUMIFS(Data!$S:$S,Data!$A:$A,$B4,Data!$C:$C,D$1)=0,"",SUMIFS(Data!$S:$S,Data!$A:$A,$B4,Data!$C:$C,D$1))</f>
        <v>5.1553333333333331</v>
      </c>
      <c r="E4" s="39">
        <f>IF(SUMIFS(Data!$S:$S,Data!$A:$A,$B4,Data!$C:$C,E$1)=0,"",SUMIFS(Data!$S:$S,Data!$A:$A,$B4,Data!$C:$C,E$1))</f>
        <v>5.5940000000000003</v>
      </c>
      <c r="F4" s="39">
        <f>IF(SUMIFS(Data!$S:$S,Data!$A:$A,$B4,Data!$C:$C,F$1)=0,"",SUMIFS(Data!$S:$S,Data!$A:$A,$B4,Data!$C:$C,F$1))</f>
        <v>5.4026666666666667</v>
      </c>
      <c r="G4" s="39">
        <f>IF(SUMIFS(Data!$S:$S,Data!$A:$A,$B4,Data!$C:$C,G$1)=0,"",SUMIFS(Data!$S:$S,Data!$A:$A,$B4,Data!$C:$C,G$1))</f>
        <v>4.6052142857142861</v>
      </c>
      <c r="H4" s="39">
        <f>IF(SUMIFS(Data!$S:$S,Data!$A:$A,$B4,Data!$C:$C,H$1)=0,"",SUMIFS(Data!$S:$S,Data!$A:$A,$B4,Data!$C:$C,H$1))</f>
        <v>1</v>
      </c>
      <c r="I4" s="39">
        <f>IF(SUMIFS(Data!$S:$S,Data!$A:$A,$B4,Data!$C:$C,I$1)=0,"",SUMIFS(Data!$S:$S,Data!$A:$A,$B4,Data!$C:$C,I$1))</f>
        <v>5.0009047619047609</v>
      </c>
      <c r="J4" s="39">
        <f>IF(SUMIFS(Data!$S:$S,Data!$A:$A,$B4,Data!$C:$C,J$1)=0,"",SUMIFS(Data!$S:$S,Data!$A:$A,$B4,Data!$C:$C,J$1))</f>
        <v>5.32</v>
      </c>
      <c r="K4" s="39">
        <f>IF(SUMIFS(Data!$S:$S,Data!$A:$A,$B4,Data!$C:$C,K$1)=0,"",SUMIFS(Data!$S:$S,Data!$A:$A,$B4,Data!$C:$C,K$1))</f>
        <v>5.8482142857142856</v>
      </c>
      <c r="L4" s="39">
        <f>IF(SUMIFS(Data!$S:$S,Data!$A:$A,$B4,Data!$C:$C,L$1)=0,"",SUMIFS(Data!$S:$S,Data!$A:$A,$B4,Data!$C:$C,L$1))</f>
        <v>3.7073095238095237</v>
      </c>
      <c r="M4" s="39">
        <f>IF(SUMIFS(Data!$S:$S,Data!$A:$A,$B4,Data!$C:$C,M$1)=0,"",SUMIFS(Data!$S:$S,Data!$A:$A,$B4,Data!$C:$C,M$1))</f>
        <v>5.0072380952380957</v>
      </c>
      <c r="N4" s="39">
        <f>IF(SUMIFS(Data!$S:$S,Data!$A:$A,$B4,Data!$C:$C,N$1)=0,"",SUMIFS(Data!$S:$S,Data!$A:$A,$B4,Data!$C:$C,N$1))</f>
        <v>0.9375</v>
      </c>
      <c r="O4" s="39">
        <f>IF(SUMIFS(Data!$S:$S,Data!$A:$A,$B4,Data!$C:$C,O$1)=0,"",SUMIFS(Data!$S:$S,Data!$A:$A,$B4,Data!$C:$C,O$1))</f>
        <v>3.0875714285714286</v>
      </c>
      <c r="P4" s="39">
        <f>IF(SUMIFS(Data!$S:$S,Data!$A:$A,$B4,Data!$C:$C,P$1)=0,"",SUMIFS(Data!$S:$S,Data!$A:$A,$B4,Data!$C:$C,P$1))</f>
        <v>5.1370000000000005</v>
      </c>
      <c r="Q4" s="39">
        <f>IF(SUMIFS(Data!$S:$S,Data!$A:$A,$B4,Data!$C:$C,Q$1)=0,"",SUMIFS(Data!$S:$S,Data!$A:$A,$B4,Data!$C:$C,Q$1))</f>
        <v>6.7989999999999995</v>
      </c>
      <c r="R4" s="39">
        <f>IF(SUMIFS(Data!$S:$S,Data!$A:$A,$B4,Data!$C:$C,R$1)=0,"",SUMIFS(Data!$S:$S,Data!$A:$A,$B4,Data!$C:$C,R$1))</f>
        <v>4.9499999999999993</v>
      </c>
      <c r="S4" s="39">
        <f>IF(SUMIFS(Data!$S:$S,Data!$A:$A,$B4,Data!$C:$C,S$1)=0,"",SUMIFS(Data!$S:$S,Data!$A:$A,$B4,Data!$C:$C,S$1))</f>
        <v>3.620190476190476</v>
      </c>
      <c r="T4" s="39">
        <f>IF(SUMIFS(Data!$S:$S,Data!$A:$A,$B4,Data!$C:$C,T$1)=0,"",SUMIFS(Data!$S:$S,Data!$A:$A,$B4,Data!$C:$C,T$1))</f>
        <v>1.25</v>
      </c>
      <c r="U4" s="39">
        <f>IF(SUMIFS(Data!X:X,Data!A:A,B4)&gt;12,5,IF(SUMIFS(Data!X:X,Data!A:A,B4)&gt;9,3, IF(SUMIFS(Data!X:X,Data!A:A,B4)&gt;4,1,0)))</f>
        <v>5</v>
      </c>
      <c r="V4" s="39">
        <f t="shared" si="0"/>
        <v>82.282833333333329</v>
      </c>
      <c r="W4" s="39">
        <f>SUMIFS(Data!D:D,Data!A:A,B4)</f>
        <v>335.39000000000004</v>
      </c>
    </row>
    <row r="5" spans="1:23" ht="13.8" x14ac:dyDescent="0.3">
      <c r="A5" s="151">
        <v>4</v>
      </c>
      <c r="B5" s="38" t="s">
        <v>53</v>
      </c>
      <c r="C5" s="39">
        <f>IF(SUMIFS(Data!$S:$S,Data!$A:$A,$B5,Data!$C:$C,C$1)=0,"",SUMIFS(Data!$S:$S,Data!$A:$A,$B5,Data!$C:$C,C$1))</f>
        <v>4.9376666666666669</v>
      </c>
      <c r="D5" s="39">
        <f>IF(SUMIFS(Data!$S:$S,Data!$A:$A,$B5,Data!$C:$C,D$1)=0,"",SUMIFS(Data!$S:$S,Data!$A:$A,$B5,Data!$C:$C,D$1))</f>
        <v>3.8298809523809521</v>
      </c>
      <c r="E5" s="39">
        <f>IF(SUMIFS(Data!$S:$S,Data!$A:$A,$B5,Data!$C:$C,E$1)=0,"",SUMIFS(Data!$S:$S,Data!$A:$A,$B5,Data!$C:$C,E$1))</f>
        <v>5.6029761904761903</v>
      </c>
      <c r="F5" s="39">
        <f>IF(SUMIFS(Data!$S:$S,Data!$A:$A,$B5,Data!$C:$C,F$1)=0,"",SUMIFS(Data!$S:$S,Data!$A:$A,$B5,Data!$C:$C,F$1))</f>
        <v>4.9780000000000006</v>
      </c>
      <c r="G5" s="39">
        <f>IF(SUMIFS(Data!$S:$S,Data!$A:$A,$B5,Data!$C:$C,G$1)=0,"",SUMIFS(Data!$S:$S,Data!$A:$A,$B5,Data!$C:$C,G$1))</f>
        <v>6.0896666666666661</v>
      </c>
      <c r="H5" s="39">
        <f>IF(SUMIFS(Data!$S:$S,Data!$A:$A,$B5,Data!$C:$C,H$1)=0,"",SUMIFS(Data!$S:$S,Data!$A:$A,$B5,Data!$C:$C,H$1))</f>
        <v>4.375</v>
      </c>
      <c r="I5" s="39" t="str">
        <f>IF(SUMIFS(Data!$S:$S,Data!$A:$A,$B5,Data!$C:$C,I$1)=0,"",SUMIFS(Data!$S:$S,Data!$A:$A,$B5,Data!$C:$C,I$1))</f>
        <v/>
      </c>
      <c r="J5" s="39">
        <f>IF(SUMIFS(Data!$S:$S,Data!$A:$A,$B5,Data!$C:$C,J$1)=0,"",SUMIFS(Data!$S:$S,Data!$A:$A,$B5,Data!$C:$C,J$1))</f>
        <v>2.4806428571428571</v>
      </c>
      <c r="K5" s="39">
        <f>IF(SUMIFS(Data!$S:$S,Data!$A:$A,$B5,Data!$C:$C,K$1)=0,"",SUMIFS(Data!$S:$S,Data!$A:$A,$B5,Data!$C:$C,K$1))</f>
        <v>4.3458333333333332</v>
      </c>
      <c r="L5" s="39">
        <f>IF(SUMIFS(Data!$S:$S,Data!$A:$A,$B5,Data!$C:$C,L$1)=0,"",SUMIFS(Data!$S:$S,Data!$A:$A,$B5,Data!$C:$C,L$1))</f>
        <v>5.9733333333333327</v>
      </c>
      <c r="M5" s="39">
        <f>IF(SUMIFS(Data!$S:$S,Data!$A:$A,$B5,Data!$C:$C,M$1)=0,"",SUMIFS(Data!$S:$S,Data!$A:$A,$B5,Data!$C:$C,M$1))</f>
        <v>4.0136904761904759</v>
      </c>
      <c r="N5" s="39">
        <f>IF(SUMIFS(Data!$S:$S,Data!$A:$A,$B5,Data!$C:$C,N$1)=0,"",SUMIFS(Data!$S:$S,Data!$A:$A,$B5,Data!$C:$C,N$1))</f>
        <v>4.3125</v>
      </c>
      <c r="O5" s="39">
        <f>IF(SUMIFS(Data!$S:$S,Data!$A:$A,$B5,Data!$C:$C,O$1)=0,"",SUMIFS(Data!$S:$S,Data!$A:$A,$B5,Data!$C:$C,O$1))</f>
        <v>3.5543095238095241</v>
      </c>
      <c r="P5" s="39">
        <f>IF(SUMIFS(Data!$S:$S,Data!$A:$A,$B5,Data!$C:$C,P$1)=0,"",SUMIFS(Data!$S:$S,Data!$A:$A,$B5,Data!$C:$C,P$1))</f>
        <v>3.375</v>
      </c>
      <c r="Q5" s="39">
        <f>IF(SUMIFS(Data!$S:$S,Data!$A:$A,$B5,Data!$C:$C,Q$1)=0,"",SUMIFS(Data!$S:$S,Data!$A:$A,$B5,Data!$C:$C,Q$1))</f>
        <v>5.2086666666666668</v>
      </c>
      <c r="R5" s="39">
        <f>IF(SUMIFS(Data!$S:$S,Data!$A:$A,$B5,Data!$C:$C,R$1)=0,"",SUMIFS(Data!$S:$S,Data!$A:$A,$B5,Data!$C:$C,R$1))</f>
        <v>3.7229523809523806</v>
      </c>
      <c r="S5" s="39">
        <f>IF(SUMIFS(Data!$S:$S,Data!$A:$A,$B5,Data!$C:$C,S$1)=0,"",SUMIFS(Data!$S:$S,Data!$A:$A,$B5,Data!$C:$C,S$1))</f>
        <v>3.6779999999999999</v>
      </c>
      <c r="T5" s="39">
        <f>IF(SUMIFS(Data!$S:$S,Data!$A:$A,$B5,Data!$C:$C,T$1)=0,"",SUMIFS(Data!$S:$S,Data!$A:$A,$B5,Data!$C:$C,T$1))</f>
        <v>3.625</v>
      </c>
      <c r="U5" s="39">
        <f>IF(SUMIFS(Data!X:X,Data!A:A,B5)&gt;12,5,IF(SUMIFS(Data!X:X,Data!A:A,B5)&gt;9,3, IF(SUMIFS(Data!X:X,Data!A:A,B5)&gt;4,1,0)))</f>
        <v>5</v>
      </c>
      <c r="V5" s="39">
        <f t="shared" si="0"/>
        <v>79.103119047619046</v>
      </c>
      <c r="W5" s="39">
        <f>SUMIFS(Data!D:D,Data!A:A,B5)</f>
        <v>298.27999999999997</v>
      </c>
    </row>
    <row r="6" spans="1:23" ht="13.8" x14ac:dyDescent="0.3">
      <c r="A6" s="151">
        <v>5</v>
      </c>
      <c r="B6" s="38" t="s">
        <v>119</v>
      </c>
      <c r="C6" s="39">
        <f>IF(SUMIFS(Data!$S:$S,Data!$A:$A,$B6,Data!$C:$C,C$1)=0,"",SUMIFS(Data!$S:$S,Data!$A:$A,$B6,Data!$C:$C,C$1))</f>
        <v>2.7249999999999996</v>
      </c>
      <c r="D6" s="39">
        <f>IF(SUMIFS(Data!$S:$S,Data!$A:$A,$B6,Data!$C:$C,D$1)=0,"",SUMIFS(Data!$S:$S,Data!$A:$A,$B6,Data!$C:$C,D$1))</f>
        <v>5.8494047619047622</v>
      </c>
      <c r="E6" s="39">
        <f>IF(SUMIFS(Data!$S:$S,Data!$A:$A,$B6,Data!$C:$C,E$1)=0,"",SUMIFS(Data!$S:$S,Data!$A:$A,$B6,Data!$C:$C,E$1))</f>
        <v>4.7249999999999996</v>
      </c>
      <c r="F6" s="39">
        <f>IF(SUMIFS(Data!$S:$S,Data!$A:$A,$B6,Data!$C:$C,F$1)=0,"",SUMIFS(Data!$S:$S,Data!$A:$A,$B6,Data!$C:$C,F$1))</f>
        <v>4.0279761904761902</v>
      </c>
      <c r="G6" s="39">
        <f>IF(SUMIFS(Data!$S:$S,Data!$A:$A,$B6,Data!$C:$C,G$1)=0,"",SUMIFS(Data!$S:$S,Data!$A:$A,$B6,Data!$C:$C,G$1))</f>
        <v>5.2517857142857149</v>
      </c>
      <c r="H6" s="39">
        <f>IF(SUMIFS(Data!$S:$S,Data!$A:$A,$B6,Data!$C:$C,H$1)=0,"",SUMIFS(Data!$S:$S,Data!$A:$A,$B6,Data!$C:$C,H$1))</f>
        <v>3.25</v>
      </c>
      <c r="I6" s="39">
        <f>IF(SUMIFS(Data!$S:$S,Data!$A:$A,$B6,Data!$C:$C,I$1)=0,"",SUMIFS(Data!$S:$S,Data!$A:$A,$B6,Data!$C:$C,I$1))</f>
        <v>4.625</v>
      </c>
      <c r="J6" s="39">
        <f>IF(SUMIFS(Data!$S:$S,Data!$A:$A,$B6,Data!$C:$C,J$1)=0,"",SUMIFS(Data!$S:$S,Data!$A:$A,$B6,Data!$C:$C,J$1))</f>
        <v>4.4416666666666673</v>
      </c>
      <c r="K6" s="39">
        <f>IF(SUMIFS(Data!$S:$S,Data!$A:$A,$B6,Data!$C:$C,K$1)=0,"",SUMIFS(Data!$S:$S,Data!$A:$A,$B6,Data!$C:$C,K$1))</f>
        <v>4.0892857142857135</v>
      </c>
      <c r="L6" s="39">
        <f>IF(SUMIFS(Data!$S:$S,Data!$A:$A,$B6,Data!$C:$C,L$1)=0,"",SUMIFS(Data!$S:$S,Data!$A:$A,$B6,Data!$C:$C,L$1))</f>
        <v>4.625</v>
      </c>
      <c r="M6" s="39">
        <f>IF(SUMIFS(Data!$S:$S,Data!$A:$A,$B6,Data!$C:$C,M$1)=0,"",SUMIFS(Data!$S:$S,Data!$A:$A,$B6,Data!$C:$C,M$1))</f>
        <v>3.6178571428571429</v>
      </c>
      <c r="N6" s="39">
        <f>IF(SUMIFS(Data!$S:$S,Data!$A:$A,$B6,Data!$C:$C,N$1)=0,"",SUMIFS(Data!$S:$S,Data!$A:$A,$B6,Data!$C:$C,N$1))</f>
        <v>1.5</v>
      </c>
      <c r="O6" s="39">
        <f>IF(SUMIFS(Data!$S:$S,Data!$A:$A,$B6,Data!$C:$C,O$1)=0,"",SUMIFS(Data!$S:$S,Data!$A:$A,$B6,Data!$C:$C,O$1))</f>
        <v>4.75</v>
      </c>
      <c r="P6" s="39">
        <f>IF(SUMIFS(Data!$S:$S,Data!$A:$A,$B6,Data!$C:$C,P$1)=0,"",SUMIFS(Data!$S:$S,Data!$A:$A,$B6,Data!$C:$C,P$1))</f>
        <v>3.655357142857143</v>
      </c>
      <c r="Q6" s="39">
        <f>IF(SUMIFS(Data!$S:$S,Data!$A:$A,$B6,Data!$C:$C,Q$1)=0,"",SUMIFS(Data!$S:$S,Data!$A:$A,$B6,Data!$C:$C,Q$1))</f>
        <v>4.869476190476191</v>
      </c>
      <c r="R6" s="39">
        <f>IF(SUMIFS(Data!$S:$S,Data!$A:$A,$B6,Data!$C:$C,R$1)=0,"",SUMIFS(Data!$S:$S,Data!$A:$A,$B6,Data!$C:$C,R$1))</f>
        <v>4.5</v>
      </c>
      <c r="S6" s="39">
        <f>IF(SUMIFS(Data!$S:$S,Data!$A:$A,$B6,Data!$C:$C,S$1)=0,"",SUMIFS(Data!$S:$S,Data!$A:$A,$B6,Data!$C:$C,S$1))</f>
        <v>3.95</v>
      </c>
      <c r="T6" s="39">
        <f>IF(SUMIFS(Data!$S:$S,Data!$A:$A,$B6,Data!$C:$C,T$1)=0,"",SUMIFS(Data!$S:$S,Data!$A:$A,$B6,Data!$C:$C,T$1))</f>
        <v>2.125</v>
      </c>
      <c r="U6" s="39">
        <f>IF(SUMIFS(Data!X:X,Data!A:A,B6)&gt;12,5,IF(SUMIFS(Data!X:X,Data!A:A,B6)&gt;9,3, IF(SUMIFS(Data!X:X,Data!A:A,B6)&gt;4,1,0)))</f>
        <v>5</v>
      </c>
      <c r="V6" s="39">
        <f t="shared" si="0"/>
        <v>77.577809523809535</v>
      </c>
      <c r="W6" s="39">
        <f>SUMIFS(Data!D:D,Data!A:A,B6)</f>
        <v>249.73999999999998</v>
      </c>
    </row>
    <row r="7" spans="1:23" ht="13.8" x14ac:dyDescent="0.3">
      <c r="A7" s="151">
        <v>6</v>
      </c>
      <c r="B7" s="38" t="s">
        <v>111</v>
      </c>
      <c r="C7" s="39">
        <f>IF(SUMIFS(Data!$S:$S,Data!$A:$A,$B7,Data!$C:$C,C$1)=0,"",SUMIFS(Data!$S:$S,Data!$A:$A,$B7,Data!$C:$C,C$1))</f>
        <v>3.2261904761904763</v>
      </c>
      <c r="D7" s="39">
        <f>IF(SUMIFS(Data!$S:$S,Data!$A:$A,$B7,Data!$C:$C,D$1)=0,"",SUMIFS(Data!$S:$S,Data!$A:$A,$B7,Data!$C:$C,D$1))</f>
        <v>3.2863095238095239</v>
      </c>
      <c r="E7" s="39">
        <f>IF(SUMIFS(Data!$S:$S,Data!$A:$A,$B7,Data!$C:$C,E$1)=0,"",SUMIFS(Data!$S:$S,Data!$A:$A,$B7,Data!$C:$C,E$1))</f>
        <v>5.0066666666666668</v>
      </c>
      <c r="F7" s="39">
        <f>IF(SUMIFS(Data!$S:$S,Data!$A:$A,$B7,Data!$C:$C,F$1)=0,"",SUMIFS(Data!$S:$S,Data!$A:$A,$B7,Data!$C:$C,F$1))</f>
        <v>7.5793333333333335</v>
      </c>
      <c r="G7" s="39">
        <f>IF(SUMIFS(Data!$S:$S,Data!$A:$A,$B7,Data!$C:$C,G$1)=0,"",SUMIFS(Data!$S:$S,Data!$A:$A,$B7,Data!$C:$C,G$1))</f>
        <v>3.2863095238095239</v>
      </c>
      <c r="H7" s="39">
        <f>IF(SUMIFS(Data!$S:$S,Data!$A:$A,$B7,Data!$C:$C,H$1)=0,"",SUMIFS(Data!$S:$S,Data!$A:$A,$B7,Data!$C:$C,H$1))</f>
        <v>3.5</v>
      </c>
      <c r="I7" s="39">
        <f>IF(SUMIFS(Data!$S:$S,Data!$A:$A,$B7,Data!$C:$C,I$1)=0,"",SUMIFS(Data!$S:$S,Data!$A:$A,$B7,Data!$C:$C,I$1))</f>
        <v>5.2249999999999996</v>
      </c>
      <c r="J7" s="39">
        <f>IF(SUMIFS(Data!$S:$S,Data!$A:$A,$B7,Data!$C:$C,J$1)=0,"",SUMIFS(Data!$S:$S,Data!$A:$A,$B7,Data!$C:$C,J$1))</f>
        <v>3.4178571428571427</v>
      </c>
      <c r="K7" s="39">
        <f>IF(SUMIFS(Data!$S:$S,Data!$A:$A,$B7,Data!$C:$C,K$1)=0,"",SUMIFS(Data!$S:$S,Data!$A:$A,$B7,Data!$C:$C,K$1))</f>
        <v>4.45</v>
      </c>
      <c r="L7" s="39">
        <f>IF(SUMIFS(Data!$S:$S,Data!$A:$A,$B7,Data!$C:$C,L$1)=0,"",SUMIFS(Data!$S:$S,Data!$A:$A,$B7,Data!$C:$C,L$1))</f>
        <v>3.3571428571428572</v>
      </c>
      <c r="M7" s="39">
        <f>IF(SUMIFS(Data!$S:$S,Data!$A:$A,$B7,Data!$C:$C,M$1)=0,"",SUMIFS(Data!$S:$S,Data!$A:$A,$B7,Data!$C:$C,M$1))</f>
        <v>4.625</v>
      </c>
      <c r="N7" s="39">
        <f>IF(SUMIFS(Data!$S:$S,Data!$A:$A,$B7,Data!$C:$C,N$1)=0,"",SUMIFS(Data!$S:$S,Data!$A:$A,$B7,Data!$C:$C,N$1))</f>
        <v>2.4375</v>
      </c>
      <c r="O7" s="39">
        <f>IF(SUMIFS(Data!$S:$S,Data!$A:$A,$B7,Data!$C:$C,O$1)=0,"",SUMIFS(Data!$S:$S,Data!$A:$A,$B7,Data!$C:$C,O$1))</f>
        <v>3.75</v>
      </c>
      <c r="P7" s="39">
        <f>IF(SUMIFS(Data!$S:$S,Data!$A:$A,$B7,Data!$C:$C,P$1)=0,"",SUMIFS(Data!$S:$S,Data!$A:$A,$B7,Data!$C:$C,P$1))</f>
        <v>4.5</v>
      </c>
      <c r="Q7" s="39" t="str">
        <f>IF(SUMIFS(Data!$S:$S,Data!$A:$A,$B7,Data!$C:$C,Q$1)=0,"",SUMIFS(Data!$S:$S,Data!$A:$A,$B7,Data!$C:$C,Q$1))</f>
        <v/>
      </c>
      <c r="R7" s="39">
        <f>IF(SUMIFS(Data!$S:$S,Data!$A:$A,$B7,Data!$C:$C,R$1)=0,"",SUMIFS(Data!$S:$S,Data!$A:$A,$B7,Data!$C:$C,R$1))</f>
        <v>4.3906666666666663</v>
      </c>
      <c r="S7" s="39">
        <f>IF(SUMIFS(Data!$S:$S,Data!$A:$A,$B7,Data!$C:$C,S$1)=0,"",SUMIFS(Data!$S:$S,Data!$A:$A,$B7,Data!$C:$C,S$1))</f>
        <v>3.6440000000000001</v>
      </c>
      <c r="T7" s="39">
        <f>IF(SUMIFS(Data!$S:$S,Data!$A:$A,$B7,Data!$C:$C,T$1)=0,"",SUMIFS(Data!$S:$S,Data!$A:$A,$B7,Data!$C:$C,T$1))</f>
        <v>4.625</v>
      </c>
      <c r="U7" s="39">
        <f>IF(SUMIFS(Data!X:X,Data!A:A,B7)&gt;12,5,IF(SUMIFS(Data!X:X,Data!A:A,B7)&gt;9,3, IF(SUMIFS(Data!X:X,Data!A:A,B7)&gt;4,1,0)))</f>
        <v>5</v>
      </c>
      <c r="V7" s="39">
        <f t="shared" si="0"/>
        <v>75.306976190476192</v>
      </c>
      <c r="W7" s="39">
        <f>SUMIFS(Data!D:D,Data!A:A,B7)</f>
        <v>344.69000000000005</v>
      </c>
    </row>
    <row r="8" spans="1:23" ht="13.8" x14ac:dyDescent="0.3">
      <c r="A8" s="151">
        <v>7</v>
      </c>
      <c r="B8" s="38" t="s">
        <v>118</v>
      </c>
      <c r="C8" s="39">
        <f>IF(SUMIFS(Data!$S:$S,Data!$A:$A,$B8,Data!$C:$C,C$1)=0,"",SUMIFS(Data!$S:$S,Data!$A:$A,$B8,Data!$C:$C,C$1))</f>
        <v>4.2</v>
      </c>
      <c r="D8" s="39">
        <f>IF(SUMIFS(Data!$S:$S,Data!$A:$A,$B8,Data!$C:$C,D$1)=0,"",SUMIFS(Data!$S:$S,Data!$A:$A,$B8,Data!$C:$C,D$1))</f>
        <v>4.625</v>
      </c>
      <c r="E8" s="39">
        <f>IF(SUMIFS(Data!$S:$S,Data!$A:$A,$B8,Data!$C:$C,E$1)=0,"",SUMIFS(Data!$S:$S,Data!$A:$A,$B8,Data!$C:$C,E$1))</f>
        <v>4.3791666666666664</v>
      </c>
      <c r="F8" s="39">
        <f>IF(SUMIFS(Data!$S:$S,Data!$A:$A,$B8,Data!$C:$C,F$1)=0,"",SUMIFS(Data!$S:$S,Data!$A:$A,$B8,Data!$C:$C,F$1))</f>
        <v>3.5958333333333332</v>
      </c>
      <c r="G8" s="39">
        <f>IF(SUMIFS(Data!$S:$S,Data!$A:$A,$B8,Data!$C:$C,G$1)=0,"",SUMIFS(Data!$S:$S,Data!$A:$A,$B8,Data!$C:$C,G$1))</f>
        <v>6.7743333333333329</v>
      </c>
      <c r="H8" s="39">
        <f>IF(SUMIFS(Data!$S:$S,Data!$A:$A,$B8,Data!$C:$C,H$1)=0,"",SUMIFS(Data!$S:$S,Data!$A:$A,$B8,Data!$C:$C,H$1))</f>
        <v>2.5625</v>
      </c>
      <c r="I8" s="39">
        <f>IF(SUMIFS(Data!$S:$S,Data!$A:$A,$B8,Data!$C:$C,I$1)=0,"",SUMIFS(Data!$S:$S,Data!$A:$A,$B8,Data!$C:$C,I$1))</f>
        <v>4.8291666666666666</v>
      </c>
      <c r="J8" s="39" t="str">
        <f>IF(SUMIFS(Data!$S:$S,Data!$A:$A,$B8,Data!$C:$C,J$1)=0,"",SUMIFS(Data!$S:$S,Data!$A:$A,$B8,Data!$C:$C,J$1))</f>
        <v/>
      </c>
      <c r="K8" s="39">
        <f>IF(SUMIFS(Data!$S:$S,Data!$A:$A,$B8,Data!$C:$C,K$1)=0,"",SUMIFS(Data!$S:$S,Data!$A:$A,$B8,Data!$C:$C,K$1))</f>
        <v>4.3106666666666671</v>
      </c>
      <c r="L8" s="39">
        <f>IF(SUMIFS(Data!$S:$S,Data!$A:$A,$B8,Data!$C:$C,L$1)=0,"",SUMIFS(Data!$S:$S,Data!$A:$A,$B8,Data!$C:$C,L$1))</f>
        <v>3.7380952380952381</v>
      </c>
      <c r="M8" s="39">
        <f>IF(SUMIFS(Data!$S:$S,Data!$A:$A,$B8,Data!$C:$C,M$1)=0,"",SUMIFS(Data!$S:$S,Data!$A:$A,$B8,Data!$C:$C,M$1))</f>
        <v>4.625</v>
      </c>
      <c r="N8" s="39">
        <f>IF(SUMIFS(Data!$S:$S,Data!$A:$A,$B8,Data!$C:$C,N$1)=0,"",SUMIFS(Data!$S:$S,Data!$A:$A,$B8,Data!$C:$C,N$1))</f>
        <v>2.625</v>
      </c>
      <c r="O8" s="39">
        <f>IF(SUMIFS(Data!$S:$S,Data!$A:$A,$B8,Data!$C:$C,O$1)=0,"",SUMIFS(Data!$S:$S,Data!$A:$A,$B8,Data!$C:$C,O$1))</f>
        <v>4.3797619047619047</v>
      </c>
      <c r="P8" s="39">
        <f>IF(SUMIFS(Data!$S:$S,Data!$A:$A,$B8,Data!$C:$C,P$1)=0,"",SUMIFS(Data!$S:$S,Data!$A:$A,$B8,Data!$C:$C,P$1))</f>
        <v>2.6002142857142858</v>
      </c>
      <c r="Q8" s="39">
        <f>IF(SUMIFS(Data!$S:$S,Data!$A:$A,$B8,Data!$C:$C,Q$1)=0,"",SUMIFS(Data!$S:$S,Data!$A:$A,$B8,Data!$C:$C,Q$1))</f>
        <v>4.7809999999999997</v>
      </c>
      <c r="R8" s="39">
        <f>IF(SUMIFS(Data!$S:$S,Data!$A:$A,$B8,Data!$C:$C,R$1)=0,"",SUMIFS(Data!$S:$S,Data!$A:$A,$B8,Data!$C:$C,R$1))</f>
        <v>4.0339999999999998</v>
      </c>
      <c r="S8" s="39">
        <f>IF(SUMIFS(Data!$S:$S,Data!$A:$A,$B8,Data!$C:$C,S$1)=0,"",SUMIFS(Data!$S:$S,Data!$A:$A,$B8,Data!$C:$C,S$1))</f>
        <v>4.1806666666666663</v>
      </c>
      <c r="T8" s="39">
        <f>IF(SUMIFS(Data!$S:$S,Data!$A:$A,$B8,Data!$C:$C,T$1)=0,"",SUMIFS(Data!$S:$S,Data!$A:$A,$B8,Data!$C:$C,T$1))</f>
        <v>3.25</v>
      </c>
      <c r="U8" s="39">
        <f>IF(SUMIFS(Data!X:X,Data!A:A,B8)&gt;12,5,IF(SUMIFS(Data!X:X,Data!A:A,B8)&gt;9,3, IF(SUMIFS(Data!X:X,Data!A:A,B8)&gt;4,1,0)))</f>
        <v>5</v>
      </c>
      <c r="V8" s="39">
        <f t="shared" si="0"/>
        <v>74.490404761904756</v>
      </c>
      <c r="W8" s="39">
        <f>SUMIFS(Data!D:D,Data!A:A,B8)</f>
        <v>270.63</v>
      </c>
    </row>
    <row r="9" spans="1:23" ht="13.8" x14ac:dyDescent="0.3">
      <c r="A9" s="151">
        <v>8</v>
      </c>
      <c r="B9" s="38" t="s">
        <v>240</v>
      </c>
      <c r="C9" s="39">
        <f>IF(SUMIFS(Data!$S:$S,Data!$A:$A,$B9,Data!$C:$C,C$1)=0,"",SUMIFS(Data!$S:$S,Data!$A:$A,$B9,Data!$C:$C,C$1))</f>
        <v>4.5746666666666664</v>
      </c>
      <c r="D9" s="39">
        <f>IF(SUMIFS(Data!$S:$S,Data!$A:$A,$B9,Data!$C:$C,D$1)=0,"",SUMIFS(Data!$S:$S,Data!$A:$A,$B9,Data!$C:$C,D$1))</f>
        <v>3.5952380952380953</v>
      </c>
      <c r="E9" s="39">
        <f>IF(SUMIFS(Data!$S:$S,Data!$A:$A,$B9,Data!$C:$C,E$1)=0,"",SUMIFS(Data!$S:$S,Data!$A:$A,$B9,Data!$C:$C,E$1))</f>
        <v>3.9744047619047618</v>
      </c>
      <c r="F9" s="39">
        <f>IF(SUMIFS(Data!$S:$S,Data!$A:$A,$B9,Data!$C:$C,F$1)=0,"",SUMIFS(Data!$S:$S,Data!$A:$A,$B9,Data!$C:$C,F$1))</f>
        <v>4.75</v>
      </c>
      <c r="G9" s="39">
        <f>IF(SUMIFS(Data!$S:$S,Data!$A:$A,$B9,Data!$C:$C,G$1)=0,"",SUMIFS(Data!$S:$S,Data!$A:$A,$B9,Data!$C:$C,G$1))</f>
        <v>3.6547619047619047</v>
      </c>
      <c r="H9" s="39">
        <f>IF(SUMIFS(Data!$S:$S,Data!$A:$A,$B9,Data!$C:$C,H$1)=0,"",SUMIFS(Data!$S:$S,Data!$A:$A,$B9,Data!$C:$C,H$1))</f>
        <v>3.1875</v>
      </c>
      <c r="I9" s="39">
        <f>IF(SUMIFS(Data!$S:$S,Data!$A:$A,$B9,Data!$C:$C,I$1)=0,"",SUMIFS(Data!$S:$S,Data!$A:$A,$B9,Data!$C:$C,I$1))</f>
        <v>2.9142857142857137</v>
      </c>
      <c r="J9" s="39">
        <f>IF(SUMIFS(Data!$S:$S,Data!$A:$A,$B9,Data!$C:$C,J$1)=0,"",SUMIFS(Data!$S:$S,Data!$A:$A,$B9,Data!$C:$C,J$1))</f>
        <v>3.8339285714285714</v>
      </c>
      <c r="K9" s="39">
        <f>IF(SUMIFS(Data!$S:$S,Data!$A:$A,$B9,Data!$C:$C,K$1)=0,"",SUMIFS(Data!$S:$S,Data!$A:$A,$B9,Data!$C:$C,K$1))</f>
        <v>5.0856666666666674</v>
      </c>
      <c r="L9" s="39">
        <f>IF(SUMIFS(Data!$S:$S,Data!$A:$A,$B9,Data!$C:$C,L$1)=0,"",SUMIFS(Data!$S:$S,Data!$A:$A,$B9,Data!$C:$C,L$1))</f>
        <v>4.0155000000000003</v>
      </c>
      <c r="M9" s="39">
        <f>IF(SUMIFS(Data!$S:$S,Data!$A:$A,$B9,Data!$C:$C,M$1)=0,"",SUMIFS(Data!$S:$S,Data!$A:$A,$B9,Data!$C:$C,M$1))</f>
        <v>4.6646666666666663</v>
      </c>
      <c r="N9" s="39">
        <f>IF(SUMIFS(Data!$S:$S,Data!$A:$A,$B9,Data!$C:$C,N$1)=0,"",SUMIFS(Data!$S:$S,Data!$A:$A,$B9,Data!$C:$C,N$1))</f>
        <v>1.375</v>
      </c>
      <c r="O9" s="39">
        <f>IF(SUMIFS(Data!$S:$S,Data!$A:$A,$B9,Data!$C:$C,O$1)=0,"",SUMIFS(Data!$S:$S,Data!$A:$A,$B9,Data!$C:$C,O$1))</f>
        <v>3.2511904761904762</v>
      </c>
      <c r="P9" s="39">
        <f>IF(SUMIFS(Data!$S:$S,Data!$A:$A,$B9,Data!$C:$C,P$1)=0,"",SUMIFS(Data!$S:$S,Data!$A:$A,$B9,Data!$C:$C,P$1))</f>
        <v>4.7519999999999998</v>
      </c>
      <c r="Q9" s="39">
        <f>IF(SUMIFS(Data!$S:$S,Data!$A:$A,$B9,Data!$C:$C,Q$1)=0,"",SUMIFS(Data!$S:$S,Data!$A:$A,$B9,Data!$C:$C,Q$1))</f>
        <v>4.2906666666666666</v>
      </c>
      <c r="R9" s="39">
        <f>IF(SUMIFS(Data!$S:$S,Data!$A:$A,$B9,Data!$C:$C,R$1)=0,"",SUMIFS(Data!$S:$S,Data!$A:$A,$B9,Data!$C:$C,R$1))</f>
        <v>3.5535714285714284</v>
      </c>
      <c r="S9" s="39">
        <f>IF(SUMIFS(Data!$S:$S,Data!$A:$A,$B9,Data!$C:$C,S$1)=0,"",SUMIFS(Data!$S:$S,Data!$A:$A,$B9,Data!$C:$C,S$1))</f>
        <v>4</v>
      </c>
      <c r="T9" s="39">
        <f>IF(SUMIFS(Data!$S:$S,Data!$A:$A,$B9,Data!$C:$C,T$1)=0,"",SUMIFS(Data!$S:$S,Data!$A:$A,$B9,Data!$C:$C,T$1))</f>
        <v>1.25</v>
      </c>
      <c r="U9" s="39">
        <f>IF(SUMIFS(Data!X:X,Data!A:A,B9)&gt;12,5,IF(SUMIFS(Data!X:X,Data!A:A,B9)&gt;9,3, IF(SUMIFS(Data!X:X,Data!A:A,B9)&gt;4,1,0)))</f>
        <v>5</v>
      </c>
      <c r="V9" s="39">
        <f t="shared" si="0"/>
        <v>71.723047619047634</v>
      </c>
      <c r="W9" s="39">
        <f>SUMIFS(Data!D:D,Data!A:A,B9)</f>
        <v>250.82999999999998</v>
      </c>
    </row>
    <row r="10" spans="1:23" ht="13.8" x14ac:dyDescent="0.3">
      <c r="A10" s="151">
        <v>9</v>
      </c>
      <c r="B10" s="38" t="s">
        <v>49</v>
      </c>
      <c r="C10" s="39">
        <f>IF(SUMIFS(Data!$S:$S,Data!$A:$A,$B10,Data!$C:$C,C$1)=0,"",SUMIFS(Data!$S:$S,Data!$A:$A,$B10,Data!$C:$C,C$1))</f>
        <v>3.5524047619047621</v>
      </c>
      <c r="D10" s="39">
        <f>IF(SUMIFS(Data!$S:$S,Data!$A:$A,$B10,Data!$C:$C,D$1)=0,"",SUMIFS(Data!$S:$S,Data!$A:$A,$B10,Data!$C:$C,D$1))</f>
        <v>3.9744047619047618</v>
      </c>
      <c r="E10" s="39">
        <f>IF(SUMIFS(Data!$S:$S,Data!$A:$A,$B10,Data!$C:$C,E$1)=0,"",SUMIFS(Data!$S:$S,Data!$A:$A,$B10,Data!$C:$C,E$1))</f>
        <v>2.3267857142857142</v>
      </c>
      <c r="F10" s="39">
        <f>IF(SUMIFS(Data!$S:$S,Data!$A:$A,$B10,Data!$C:$C,F$1)=0,"",SUMIFS(Data!$S:$S,Data!$A:$A,$B10,Data!$C:$C,F$1))</f>
        <v>5.2249999999999996</v>
      </c>
      <c r="G10" s="39">
        <f>IF(SUMIFS(Data!$S:$S,Data!$A:$A,$B10,Data!$C:$C,G$1)=0,"",SUMIFS(Data!$S:$S,Data!$A:$A,$B10,Data!$C:$C,G$1))</f>
        <v>2.2214285714285711</v>
      </c>
      <c r="H10" s="39">
        <f>IF(SUMIFS(Data!$S:$S,Data!$A:$A,$B10,Data!$C:$C,H$1)=0,"",SUMIFS(Data!$S:$S,Data!$A:$A,$B10,Data!$C:$C,H$1))</f>
        <v>1.8333333333333333</v>
      </c>
      <c r="I10" s="39">
        <f>IF(SUMIFS(Data!$S:$S,Data!$A:$A,$B10,Data!$C:$C,I$1)=0,"",SUMIFS(Data!$S:$S,Data!$A:$A,$B10,Data!$C:$C,I$1))</f>
        <v>4.3964285714285714</v>
      </c>
      <c r="J10" s="39">
        <f>IF(SUMIFS(Data!$S:$S,Data!$A:$A,$B10,Data!$C:$C,J$1)=0,"",SUMIFS(Data!$S:$S,Data!$A:$A,$B10,Data!$C:$C,J$1))</f>
        <v>4.2678571428571423</v>
      </c>
      <c r="K10" s="39">
        <f>IF(SUMIFS(Data!$S:$S,Data!$A:$A,$B10,Data!$C:$C,K$1)=0,"",SUMIFS(Data!$S:$S,Data!$A:$A,$B10,Data!$C:$C,K$1))</f>
        <v>4.625</v>
      </c>
      <c r="L10" s="39">
        <f>IF(SUMIFS(Data!$S:$S,Data!$A:$A,$B10,Data!$C:$C,L$1)=0,"",SUMIFS(Data!$S:$S,Data!$A:$A,$B10,Data!$C:$C,L$1))</f>
        <v>2.2019761904761905</v>
      </c>
      <c r="M10" s="39">
        <f>IF(SUMIFS(Data!$S:$S,Data!$A:$A,$B10,Data!$C:$C,M$1)=0,"",SUMIFS(Data!$S:$S,Data!$A:$A,$B10,Data!$C:$C,M$1))</f>
        <v>2.9410714285714286</v>
      </c>
      <c r="N10" s="39">
        <f>IF(SUMIFS(Data!$S:$S,Data!$A:$A,$B10,Data!$C:$C,N$1)=0,"",SUMIFS(Data!$S:$S,Data!$A:$A,$B10,Data!$C:$C,N$1))</f>
        <v>4</v>
      </c>
      <c r="O10" s="39">
        <f>IF(SUMIFS(Data!$S:$S,Data!$A:$A,$B10,Data!$C:$C,O$1)=0,"",SUMIFS(Data!$S:$S,Data!$A:$A,$B10,Data!$C:$C,O$1))</f>
        <v>3.083333333333333</v>
      </c>
      <c r="P10" s="39">
        <f>IF(SUMIFS(Data!$S:$S,Data!$A:$A,$B10,Data!$C:$C,P$1)=0,"",SUMIFS(Data!$S:$S,Data!$A:$A,$B10,Data!$C:$C,P$1))</f>
        <v>3.4880952380952381</v>
      </c>
      <c r="Q10" s="39">
        <f>IF(SUMIFS(Data!$S:$S,Data!$A:$A,$B10,Data!$C:$C,Q$1)=0,"",SUMIFS(Data!$S:$S,Data!$A:$A,$B10,Data!$C:$C,Q$1))</f>
        <v>3.4160714285714286</v>
      </c>
      <c r="R10" s="39">
        <f>IF(SUMIFS(Data!$S:$S,Data!$A:$A,$B10,Data!$C:$C,R$1)=0,"",SUMIFS(Data!$S:$S,Data!$A:$A,$B10,Data!$C:$C,R$1))</f>
        <v>2.3374999999999999</v>
      </c>
      <c r="S10" s="39">
        <f>IF(SUMIFS(Data!$S:$S,Data!$A:$A,$B10,Data!$C:$C,S$1)=0,"",SUMIFS(Data!$S:$S,Data!$A:$A,$B10,Data!$C:$C,S$1))</f>
        <v>3.5392857142857141</v>
      </c>
      <c r="T10" s="39">
        <f>IF(SUMIFS(Data!$S:$S,Data!$A:$A,$B10,Data!$C:$C,T$1)=0,"",SUMIFS(Data!$S:$S,Data!$A:$A,$B10,Data!$C:$C,T$1))</f>
        <v>1.3333333333333333</v>
      </c>
      <c r="U10" s="39">
        <f>IF(SUMIFS(Data!X:X,Data!A:A,B10)&gt;12,5,IF(SUMIFS(Data!X:X,Data!A:A,B10)&gt;9,3, IF(SUMIFS(Data!X:X,Data!A:A,B10)&gt;4,1,0)))</f>
        <v>5</v>
      </c>
      <c r="V10" s="39">
        <f t="shared" si="0"/>
        <v>63.763309523809518</v>
      </c>
      <c r="W10" s="39">
        <f>SUMIFS(Data!D:D,Data!A:A,B10)</f>
        <v>249.05999999999997</v>
      </c>
    </row>
    <row r="11" spans="1:23" ht="13.8" x14ac:dyDescent="0.3">
      <c r="A11" s="151">
        <v>10</v>
      </c>
      <c r="B11" s="38" t="s">
        <v>67</v>
      </c>
      <c r="C11" s="39">
        <f>IF(SUMIFS(Data!$S:$S,Data!$A:$A,$B11,Data!$C:$C,C$1)=0,"",SUMIFS(Data!$S:$S,Data!$A:$A,$B11,Data!$C:$C,C$1))</f>
        <v>4.45</v>
      </c>
      <c r="D11" s="39">
        <f>IF(SUMIFS(Data!$S:$S,Data!$A:$A,$B11,Data!$C:$C,D$1)=0,"",SUMIFS(Data!$S:$S,Data!$A:$A,$B11,Data!$C:$C,D$1))</f>
        <v>3.0422619047619048</v>
      </c>
      <c r="E11" s="39">
        <f>IF(SUMIFS(Data!$S:$S,Data!$A:$A,$B11,Data!$C:$C,E$1)=0,"",SUMIFS(Data!$S:$S,Data!$A:$A,$B11,Data!$C:$C,E$1))</f>
        <v>3.4178571428571427</v>
      </c>
      <c r="F11" s="39">
        <f>IF(SUMIFS(Data!$S:$S,Data!$A:$A,$B11,Data!$C:$C,F$1)=0,"",SUMIFS(Data!$S:$S,Data!$A:$A,$B11,Data!$C:$C,F$1))</f>
        <v>4.3763333333333332</v>
      </c>
      <c r="G11" s="39">
        <f>IF(SUMIFS(Data!$S:$S,Data!$A:$A,$B11,Data!$C:$C,G$1)=0,"",SUMIFS(Data!$S:$S,Data!$A:$A,$B11,Data!$C:$C,G$1))</f>
        <v>4.2966666666666669</v>
      </c>
      <c r="H11" s="39">
        <f>IF(SUMIFS(Data!$S:$S,Data!$A:$A,$B11,Data!$C:$C,H$1)=0,"",SUMIFS(Data!$S:$S,Data!$A:$A,$B11,Data!$C:$C,H$1))</f>
        <v>3.3125</v>
      </c>
      <c r="I11" s="39">
        <f>IF(SUMIFS(Data!$S:$S,Data!$A:$A,$B11,Data!$C:$C,I$1)=0,"",SUMIFS(Data!$S:$S,Data!$A:$A,$B11,Data!$C:$C,I$1))</f>
        <v>2.6505952380952378</v>
      </c>
      <c r="J11" s="39">
        <f>IF(SUMIFS(Data!$S:$S,Data!$A:$A,$B11,Data!$C:$C,J$1)=0,"",SUMIFS(Data!$S:$S,Data!$A:$A,$B11,Data!$C:$C,J$1))</f>
        <v>3.4551666666666665</v>
      </c>
      <c r="K11" s="39">
        <f>IF(SUMIFS(Data!$S:$S,Data!$A:$A,$B11,Data!$C:$C,K$1)=0,"",SUMIFS(Data!$S:$S,Data!$A:$A,$B11,Data!$C:$C,K$1))</f>
        <v>4.125</v>
      </c>
      <c r="L11" s="39" t="str">
        <f>IF(SUMIFS(Data!$S:$S,Data!$A:$A,$B11,Data!$C:$C,L$1)=0,"",SUMIFS(Data!$S:$S,Data!$A:$A,$B11,Data!$C:$C,L$1))</f>
        <v/>
      </c>
      <c r="M11" s="39">
        <f>IF(SUMIFS(Data!$S:$S,Data!$A:$A,$B11,Data!$C:$C,M$1)=0,"",SUMIFS(Data!$S:$S,Data!$A:$A,$B11,Data!$C:$C,M$1))</f>
        <v>2.5476190476190474</v>
      </c>
      <c r="N11" s="39">
        <f>IF(SUMIFS(Data!$S:$S,Data!$A:$A,$B11,Data!$C:$C,N$1)=0,"",SUMIFS(Data!$S:$S,Data!$A:$A,$B11,Data!$C:$C,N$1))</f>
        <v>3.0625</v>
      </c>
      <c r="O11" s="39">
        <f>IF(SUMIFS(Data!$S:$S,Data!$A:$A,$B11,Data!$C:$C,O$1)=0,"",SUMIFS(Data!$S:$S,Data!$A:$A,$B11,Data!$C:$C,O$1))</f>
        <v>4.0714285714285712</v>
      </c>
      <c r="P11" s="39">
        <f>IF(SUMIFS(Data!$S:$S,Data!$A:$A,$B11,Data!$C:$C,P$1)=0,"",SUMIFS(Data!$S:$S,Data!$A:$A,$B11,Data!$C:$C,P$1))</f>
        <v>2.9226190476190474</v>
      </c>
      <c r="Q11" s="39">
        <f>IF(SUMIFS(Data!$S:$S,Data!$A:$A,$B11,Data!$C:$C,Q$1)=0,"",SUMIFS(Data!$S:$S,Data!$A:$A,$B11,Data!$C:$C,Q$1))</f>
        <v>4.25</v>
      </c>
      <c r="R11" s="39">
        <f>IF(SUMIFS(Data!$S:$S,Data!$A:$A,$B11,Data!$C:$C,R$1)=0,"",SUMIFS(Data!$S:$S,Data!$A:$A,$B11,Data!$C:$C,R$1))</f>
        <v>1.9065476190476192</v>
      </c>
      <c r="S11" s="39">
        <f>IF(SUMIFS(Data!$S:$S,Data!$A:$A,$B11,Data!$C:$C,S$1)=0,"",SUMIFS(Data!$S:$S,Data!$A:$A,$B11,Data!$C:$C,S$1))</f>
        <v>3.4986666666666668</v>
      </c>
      <c r="T11" s="39">
        <f>IF(SUMIFS(Data!$S:$S,Data!$A:$A,$B11,Data!$C:$C,T$1)=0,"",SUMIFS(Data!$S:$S,Data!$A:$A,$B11,Data!$C:$C,T$1))</f>
        <v>1.0625</v>
      </c>
      <c r="U11" s="39">
        <f>IF(SUMIFS(Data!X:X,Data!A:A,B11)&gt;12,5,IF(SUMIFS(Data!X:X,Data!A:A,B11)&gt;9,3, IF(SUMIFS(Data!X:X,Data!A:A,B11)&gt;4,1,0)))</f>
        <v>5</v>
      </c>
      <c r="V11" s="39">
        <f t="shared" si="0"/>
        <v>61.448261904761914</v>
      </c>
      <c r="W11" s="39">
        <f>SUMIFS(Data!D:D,Data!A:A,B11)</f>
        <v>227.03</v>
      </c>
    </row>
    <row r="12" spans="1:23" ht="13.8" x14ac:dyDescent="0.3">
      <c r="A12" s="151">
        <v>11</v>
      </c>
      <c r="B12" s="38" t="s">
        <v>239</v>
      </c>
      <c r="C12" s="39">
        <f>IF(SUMIFS(Data!$S:$S,Data!$A:$A,$B12,Data!$C:$C,C$1)=0,"",SUMIFS(Data!$S:$S,Data!$A:$A,$B12,Data!$C:$C,C$1))</f>
        <v>2.5857142857142859</v>
      </c>
      <c r="D12" s="39">
        <f>IF(SUMIFS(Data!$S:$S,Data!$A:$A,$B12,Data!$C:$C,D$1)=0,"",SUMIFS(Data!$S:$S,Data!$A:$A,$B12,Data!$C:$C,D$1))</f>
        <v>2.9172619047619048</v>
      </c>
      <c r="E12" s="39">
        <f>IF(SUMIFS(Data!$S:$S,Data!$A:$A,$B12,Data!$C:$C,E$1)=0,"",SUMIFS(Data!$S:$S,Data!$A:$A,$B12,Data!$C:$C,E$1))</f>
        <v>3.0535714285714284</v>
      </c>
      <c r="F12" s="39">
        <f>IF(SUMIFS(Data!$S:$S,Data!$A:$A,$B12,Data!$C:$C,F$1)=0,"",SUMIFS(Data!$S:$S,Data!$A:$A,$B12,Data!$C:$C,F$1))</f>
        <v>3.3833333333333333</v>
      </c>
      <c r="G12" s="39">
        <f>IF(SUMIFS(Data!$S:$S,Data!$A:$A,$B12,Data!$C:$C,G$1)=0,"",SUMIFS(Data!$S:$S,Data!$A:$A,$B12,Data!$C:$C,G$1))</f>
        <v>3.1392857142857142</v>
      </c>
      <c r="H12" s="39">
        <f>IF(SUMIFS(Data!$S:$S,Data!$A:$A,$B12,Data!$C:$C,H$1)=0,"",SUMIFS(Data!$S:$S,Data!$A:$A,$B12,Data!$C:$C,H$1))</f>
        <v>3.375</v>
      </c>
      <c r="I12" s="39">
        <f>IF(SUMIFS(Data!$S:$S,Data!$A:$A,$B12,Data!$C:$C,I$1)=0,"",SUMIFS(Data!$S:$S,Data!$A:$A,$B12,Data!$C:$C,I$1))</f>
        <v>4.5386666666666668</v>
      </c>
      <c r="J12" s="39">
        <f>IF(SUMIFS(Data!$S:$S,Data!$A:$A,$B12,Data!$C:$C,J$1)=0,"",SUMIFS(Data!$S:$S,Data!$A:$A,$B12,Data!$C:$C,J$1))</f>
        <v>3.746428571428571</v>
      </c>
      <c r="K12" s="39">
        <f>IF(SUMIFS(Data!$S:$S,Data!$A:$A,$B12,Data!$C:$C,K$1)=0,"",SUMIFS(Data!$S:$S,Data!$A:$A,$B12,Data!$C:$C,K$1))</f>
        <v>3.1863095238095238</v>
      </c>
      <c r="L12" s="39">
        <f>IF(SUMIFS(Data!$S:$S,Data!$A:$A,$B12,Data!$C:$C,L$1)=0,"",SUMIFS(Data!$S:$S,Data!$A:$A,$B12,Data!$C:$C,L$1))</f>
        <v>3.0351190476190477</v>
      </c>
      <c r="M12" s="39">
        <f>IF(SUMIFS(Data!$S:$S,Data!$A:$A,$B12,Data!$C:$C,M$1)=0,"",SUMIFS(Data!$S:$S,Data!$A:$A,$B12,Data!$C:$C,M$1))</f>
        <v>2.9817857142857145</v>
      </c>
      <c r="N12" s="39">
        <f>IF(SUMIFS(Data!$S:$S,Data!$A:$A,$B12,Data!$C:$C,N$1)=0,"",SUMIFS(Data!$S:$S,Data!$A:$A,$B12,Data!$C:$C,N$1))</f>
        <v>1.375</v>
      </c>
      <c r="O12" s="39">
        <f>IF(SUMIFS(Data!$S:$S,Data!$A:$A,$B12,Data!$C:$C,O$1)=0,"",SUMIFS(Data!$S:$S,Data!$A:$A,$B12,Data!$C:$C,O$1))</f>
        <v>3.9824285714285717</v>
      </c>
      <c r="P12" s="39">
        <f>IF(SUMIFS(Data!$S:$S,Data!$A:$A,$B12,Data!$C:$C,P$1)=0,"",SUMIFS(Data!$S:$S,Data!$A:$A,$B12,Data!$C:$C,P$1))</f>
        <v>2.4968571428571429</v>
      </c>
      <c r="Q12" s="39">
        <f>IF(SUMIFS(Data!$S:$S,Data!$A:$A,$B12,Data!$C:$C,Q$1)=0,"",SUMIFS(Data!$S:$S,Data!$A:$A,$B12,Data!$C:$C,Q$1))</f>
        <v>3.2323809523809528</v>
      </c>
      <c r="R12" s="39">
        <f>IF(SUMIFS(Data!$S:$S,Data!$A:$A,$B12,Data!$C:$C,R$1)=0,"",SUMIFS(Data!$S:$S,Data!$A:$A,$B12,Data!$C:$C,R$1))</f>
        <v>3.5541666666666667</v>
      </c>
      <c r="S12" s="39">
        <f>IF(SUMIFS(Data!$S:$S,Data!$A:$A,$B12,Data!$C:$C,S$1)=0,"",SUMIFS(Data!$S:$S,Data!$A:$A,$B12,Data!$C:$C,S$1))</f>
        <v>3.7950476190476192</v>
      </c>
      <c r="T12" s="39">
        <f>IF(SUMIFS(Data!$S:$S,Data!$A:$A,$B12,Data!$C:$C,T$1)=0,"",SUMIFS(Data!$S:$S,Data!$A:$A,$B12,Data!$C:$C,T$1))</f>
        <v>1.625</v>
      </c>
      <c r="U12" s="39">
        <f>IF(SUMIFS(Data!X:X,Data!A:A,B12)&gt;12,5,IF(SUMIFS(Data!X:X,Data!A:A,B12)&gt;9,3, IF(SUMIFS(Data!X:X,Data!A:A,B12)&gt;4,1,0)))</f>
        <v>5</v>
      </c>
      <c r="V12" s="39">
        <f t="shared" si="0"/>
        <v>61.003357142857141</v>
      </c>
      <c r="W12" s="39">
        <f>SUMIFS(Data!D:D,Data!A:A,B12)</f>
        <v>160.63999999999996</v>
      </c>
    </row>
    <row r="13" spans="1:23" ht="13.8" x14ac:dyDescent="0.3">
      <c r="A13" s="151">
        <v>12</v>
      </c>
      <c r="B13" s="38" t="s">
        <v>102</v>
      </c>
      <c r="C13" s="39">
        <f>IF(SUMIFS(Data!$S:$S,Data!$A:$A,$B13,Data!$C:$C,C$1)=0,"",SUMIFS(Data!$S:$S,Data!$A:$A,$B13,Data!$C:$C,C$1))</f>
        <v>2.5357142857142856</v>
      </c>
      <c r="D13" s="39">
        <f>IF(SUMIFS(Data!$S:$S,Data!$A:$A,$B13,Data!$C:$C,D$1)=0,"",SUMIFS(Data!$S:$S,Data!$A:$A,$B13,Data!$C:$C,D$1))</f>
        <v>5.45</v>
      </c>
      <c r="E13" s="39">
        <f>IF(SUMIFS(Data!$S:$S,Data!$A:$A,$B13,Data!$C:$C,E$1)=0,"",SUMIFS(Data!$S:$S,Data!$A:$A,$B13,Data!$C:$C,E$1))</f>
        <v>3.1619047619047618</v>
      </c>
      <c r="F13" s="39">
        <f>IF(SUMIFS(Data!$S:$S,Data!$A:$A,$B13,Data!$C:$C,F$1)=0,"",SUMIFS(Data!$S:$S,Data!$A:$A,$B13,Data!$C:$C,F$1))</f>
        <v>3.7916666666666665</v>
      </c>
      <c r="G13" s="39">
        <f>IF(SUMIFS(Data!$S:$S,Data!$A:$A,$B13,Data!$C:$C,G$1)=0,"",SUMIFS(Data!$S:$S,Data!$A:$A,$B13,Data!$C:$C,G$1))</f>
        <v>3.5297619047619047</v>
      </c>
      <c r="H13" s="39">
        <f>IF(SUMIFS(Data!$S:$S,Data!$A:$A,$B13,Data!$C:$C,H$1)=0,"",SUMIFS(Data!$S:$S,Data!$A:$A,$B13,Data!$C:$C,H$1))</f>
        <v>0.8125</v>
      </c>
      <c r="I13" s="39">
        <f>IF(SUMIFS(Data!$S:$S,Data!$A:$A,$B13,Data!$C:$C,I$1)=0,"",SUMIFS(Data!$S:$S,Data!$A:$A,$B13,Data!$C:$C,I$1))</f>
        <v>4.551333333333333</v>
      </c>
      <c r="J13" s="39">
        <f>IF(SUMIFS(Data!$S:$S,Data!$A:$A,$B13,Data!$C:$C,J$1)=0,"",SUMIFS(Data!$S:$S,Data!$A:$A,$B13,Data!$C:$C,J$1))</f>
        <v>4.3535714285714278</v>
      </c>
      <c r="K13" s="39">
        <f>IF(SUMIFS(Data!$S:$S,Data!$A:$A,$B13,Data!$C:$C,K$1)=0,"",SUMIFS(Data!$S:$S,Data!$A:$A,$B13,Data!$C:$C,K$1))</f>
        <v>5.9</v>
      </c>
      <c r="L13" s="39">
        <f>IF(SUMIFS(Data!$S:$S,Data!$A:$A,$B13,Data!$C:$C,L$1)=0,"",SUMIFS(Data!$S:$S,Data!$A:$A,$B13,Data!$C:$C,L$1))</f>
        <v>4.0369523809523802</v>
      </c>
      <c r="M13" s="39">
        <f>IF(SUMIFS(Data!$S:$S,Data!$A:$A,$B13,Data!$C:$C,M$1)=0,"",SUMIFS(Data!$S:$S,Data!$A:$A,$B13,Data!$C:$C,M$1))</f>
        <v>1.4827380952380951</v>
      </c>
      <c r="N13" s="39">
        <f>IF(SUMIFS(Data!$S:$S,Data!$A:$A,$B13,Data!$C:$C,N$1)=0,"",SUMIFS(Data!$S:$S,Data!$A:$A,$B13,Data!$C:$C,N$1))</f>
        <v>0.8125</v>
      </c>
      <c r="O13" s="39">
        <f>IF(SUMIFS(Data!$S:$S,Data!$A:$A,$B13,Data!$C:$C,O$1)=0,"",SUMIFS(Data!$S:$S,Data!$A:$A,$B13,Data!$C:$C,O$1))</f>
        <v>3.4857142857142858</v>
      </c>
      <c r="P13" s="39">
        <f>IF(SUMIFS(Data!$S:$S,Data!$A:$A,$B13,Data!$C:$C,P$1)=0,"",SUMIFS(Data!$S:$S,Data!$A:$A,$B13,Data!$C:$C,P$1))</f>
        <v>3.6029761904761903</v>
      </c>
      <c r="Q13" s="39">
        <f>IF(SUMIFS(Data!$S:$S,Data!$A:$A,$B13,Data!$C:$C,Q$1)=0,"",SUMIFS(Data!$S:$S,Data!$A:$A,$B13,Data!$C:$C,Q$1))</f>
        <v>4.8769523809523809</v>
      </c>
      <c r="R13" s="39">
        <f>IF(SUMIFS(Data!$S:$S,Data!$A:$A,$B13,Data!$C:$C,R$1)=0,"",SUMIFS(Data!$S:$S,Data!$A:$A,$B13,Data!$C:$C,R$1))</f>
        <v>2.6749999999999998</v>
      </c>
      <c r="S13" s="39" t="str">
        <f>IF(SUMIFS(Data!$S:$S,Data!$A:$A,$B13,Data!$C:$C,S$1)=0,"",SUMIFS(Data!$S:$S,Data!$A:$A,$B13,Data!$C:$C,S$1))</f>
        <v/>
      </c>
      <c r="T13" s="39">
        <f>IF(SUMIFS(Data!$S:$S,Data!$A:$A,$B13,Data!$C:$C,T$1)=0,"",SUMIFS(Data!$S:$S,Data!$A:$A,$B13,Data!$C:$C,T$1))</f>
        <v>0.9375</v>
      </c>
      <c r="U13" s="39">
        <f>IF(SUMIFS(Data!X:X,Data!A:A,B13)&gt;12,5,IF(SUMIFS(Data!X:X,Data!A:A,B13)&gt;9,3, IF(SUMIFS(Data!X:X,Data!A:A,B13)&gt;4,1,0)))</f>
        <v>5</v>
      </c>
      <c r="V13" s="39">
        <f t="shared" si="0"/>
        <v>60.996785714285714</v>
      </c>
      <c r="W13" s="39">
        <f>SUMIFS(Data!D:D,Data!A:A,B13)</f>
        <v>203.17999999999998</v>
      </c>
    </row>
    <row r="14" spans="1:23" ht="13.8" x14ac:dyDescent="0.3">
      <c r="A14" s="151">
        <v>13</v>
      </c>
      <c r="B14" s="38" t="s">
        <v>61</v>
      </c>
      <c r="C14" s="39">
        <f>IF(SUMIFS(Data!$S:$S,Data!$A:$A,$B14,Data!$C:$C,C$1)=0,"",SUMIFS(Data!$S:$S,Data!$A:$A,$B14,Data!$C:$C,C$1))</f>
        <v>3.6726190476190474</v>
      </c>
      <c r="D14" s="39">
        <f>IF(SUMIFS(Data!$S:$S,Data!$A:$A,$B14,Data!$C:$C,D$1)=0,"",SUMIFS(Data!$S:$S,Data!$A:$A,$B14,Data!$C:$C,D$1))</f>
        <v>3.1964285714285712</v>
      </c>
      <c r="E14" s="39">
        <f>IF(SUMIFS(Data!$S:$S,Data!$A:$A,$B14,Data!$C:$C,E$1)=0,"",SUMIFS(Data!$S:$S,Data!$A:$A,$B14,Data!$C:$C,E$1))</f>
        <v>3.4749999999999996</v>
      </c>
      <c r="F14" s="39">
        <f>IF(SUMIFS(Data!$S:$S,Data!$A:$A,$B14,Data!$C:$C,F$1)=0,"",SUMIFS(Data!$S:$S,Data!$A:$A,$B14,Data!$C:$C,F$1))</f>
        <v>2.4971904761904766</v>
      </c>
      <c r="G14" s="39">
        <f>IF(SUMIFS(Data!$S:$S,Data!$A:$A,$B14,Data!$C:$C,G$1)=0,"",SUMIFS(Data!$S:$S,Data!$A:$A,$B14,Data!$C:$C,G$1))</f>
        <v>3.3053571428571433</v>
      </c>
      <c r="H14" s="39">
        <f>IF(SUMIFS(Data!$S:$S,Data!$A:$A,$B14,Data!$C:$C,H$1)=0,"",SUMIFS(Data!$S:$S,Data!$A:$A,$B14,Data!$C:$C,H$1))</f>
        <v>2</v>
      </c>
      <c r="I14" s="39">
        <f>IF(SUMIFS(Data!$S:$S,Data!$A:$A,$B14,Data!$C:$C,I$1)=0,"",SUMIFS(Data!$S:$S,Data!$A:$A,$B14,Data!$C:$C,I$1))</f>
        <v>2.9226190476190474</v>
      </c>
      <c r="J14" s="39">
        <f>IF(SUMIFS(Data!$S:$S,Data!$A:$A,$B14,Data!$C:$C,J$1)=0,"",SUMIFS(Data!$S:$S,Data!$A:$A,$B14,Data!$C:$C,J$1))</f>
        <v>5.7403333333333331</v>
      </c>
      <c r="K14" s="39">
        <f>IF(SUMIFS(Data!$S:$S,Data!$A:$A,$B14,Data!$C:$C,K$1)=0,"",SUMIFS(Data!$S:$S,Data!$A:$A,$B14,Data!$C:$C,K$1))</f>
        <v>3.4369047619047617</v>
      </c>
      <c r="L14" s="39">
        <f>IF(SUMIFS(Data!$S:$S,Data!$A:$A,$B14,Data!$C:$C,L$1)=0,"",SUMIFS(Data!$S:$S,Data!$A:$A,$B14,Data!$C:$C,L$1))</f>
        <v>4.6983333333333333</v>
      </c>
      <c r="M14" s="39" t="str">
        <f>IF(SUMIFS(Data!$S:$S,Data!$A:$A,$B14,Data!$C:$C,M$1)=0,"",SUMIFS(Data!$S:$S,Data!$A:$A,$B14,Data!$C:$C,M$1))</f>
        <v/>
      </c>
      <c r="N14" s="39">
        <f>IF(SUMIFS(Data!$S:$S,Data!$A:$A,$B14,Data!$C:$C,N$1)=0,"",SUMIFS(Data!$S:$S,Data!$A:$A,$B14,Data!$C:$C,N$1))</f>
        <v>3.5625</v>
      </c>
      <c r="O14" s="39">
        <f>IF(SUMIFS(Data!$S:$S,Data!$A:$A,$B14,Data!$C:$C,O$1)=0,"",SUMIFS(Data!$S:$S,Data!$A:$A,$B14,Data!$C:$C,O$1))</f>
        <v>3.4896904761904763</v>
      </c>
      <c r="P14" s="39">
        <f>IF(SUMIFS(Data!$S:$S,Data!$A:$A,$B14,Data!$C:$C,P$1)=0,"",SUMIFS(Data!$S:$S,Data!$A:$A,$B14,Data!$C:$C,P$1))</f>
        <v>2.8547619047619048</v>
      </c>
      <c r="Q14" s="39">
        <f>IF(SUMIFS(Data!$S:$S,Data!$A:$A,$B14,Data!$C:$C,Q$1)=0,"",SUMIFS(Data!$S:$S,Data!$A:$A,$B14,Data!$C:$C,Q$1))</f>
        <v>3.4214285714285713</v>
      </c>
      <c r="R14" s="39">
        <f>IF(SUMIFS(Data!$S:$S,Data!$A:$A,$B14,Data!$C:$C,R$1)=0,"",SUMIFS(Data!$S:$S,Data!$A:$A,$B14,Data!$C:$C,R$1))</f>
        <v>2.1285714285714286</v>
      </c>
      <c r="S14" s="39">
        <f>IF(SUMIFS(Data!$S:$S,Data!$A:$A,$B14,Data!$C:$C,S$1)=0,"",SUMIFS(Data!$S:$S,Data!$A:$A,$B14,Data!$C:$C,S$1))</f>
        <v>3.0119047619047619</v>
      </c>
      <c r="T14" s="39">
        <f>IF(SUMIFS(Data!$S:$S,Data!$A:$A,$B14,Data!$C:$C,T$1)=0,"",SUMIFS(Data!$S:$S,Data!$A:$A,$B14,Data!$C:$C,T$1))</f>
        <v>1.5</v>
      </c>
      <c r="U14" s="39">
        <f>IF(SUMIFS(Data!X:X,Data!A:A,B14)&gt;12,5,IF(SUMIFS(Data!X:X,Data!A:A,B14)&gt;9,3, IF(SUMIFS(Data!X:X,Data!A:A,B14)&gt;4,1,0)))</f>
        <v>5</v>
      </c>
      <c r="V14" s="39">
        <f t="shared" si="0"/>
        <v>59.913642857142847</v>
      </c>
      <c r="W14" s="39">
        <f>SUMIFS(Data!D:D,Data!A:A,B14)</f>
        <v>169.66000000000003</v>
      </c>
    </row>
    <row r="15" spans="1:23" ht="13.8" x14ac:dyDescent="0.3">
      <c r="A15" s="151">
        <v>14</v>
      </c>
      <c r="B15" s="38" t="s">
        <v>7</v>
      </c>
      <c r="C15" s="39">
        <f>IF(SUMIFS(Data!$S:$S,Data!$A:$A,$B15,Data!$C:$C,C$1)=0,"",SUMIFS(Data!$S:$S,Data!$A:$A,$B15,Data!$C:$C,C$1))</f>
        <v>3.5535714285714284</v>
      </c>
      <c r="D15" s="39">
        <f>IF(SUMIFS(Data!$S:$S,Data!$A:$A,$B15,Data!$C:$C,D$1)=0,"",SUMIFS(Data!$S:$S,Data!$A:$A,$B15,Data!$C:$C,D$1))</f>
        <v>2.5178571428571428</v>
      </c>
      <c r="E15" s="39">
        <f>IF(SUMIFS(Data!$S:$S,Data!$A:$A,$B15,Data!$C:$C,E$1)=0,"",SUMIFS(Data!$S:$S,Data!$A:$A,$B15,Data!$C:$C,E$1))</f>
        <v>1.4369047619047619</v>
      </c>
      <c r="F15" s="39">
        <f>IF(SUMIFS(Data!$S:$S,Data!$A:$A,$B15,Data!$C:$C,F$1)=0,"",SUMIFS(Data!$S:$S,Data!$A:$A,$B15,Data!$C:$C,F$1))</f>
        <v>1.4380952380952381</v>
      </c>
      <c r="G15" s="39">
        <f>IF(SUMIFS(Data!$S:$S,Data!$A:$A,$B15,Data!$C:$C,G$1)=0,"",SUMIFS(Data!$S:$S,Data!$A:$A,$B15,Data!$C:$C,G$1))</f>
        <v>2.1113095238095236</v>
      </c>
      <c r="H15" s="39">
        <f>IF(SUMIFS(Data!$S:$S,Data!$A:$A,$B15,Data!$C:$C,H$1)=0,"",SUMIFS(Data!$S:$S,Data!$A:$A,$B15,Data!$C:$C,H$1))</f>
        <v>2.125</v>
      </c>
      <c r="I15" s="39">
        <f>IF(SUMIFS(Data!$S:$S,Data!$A:$A,$B15,Data!$C:$C,I$1)=0,"",SUMIFS(Data!$S:$S,Data!$A:$A,$B15,Data!$C:$C,I$1))</f>
        <v>3.1785714285714284</v>
      </c>
      <c r="J15" s="39">
        <f>IF(SUMIFS(Data!$S:$S,Data!$A:$A,$B15,Data!$C:$C,J$1)=0,"",SUMIFS(Data!$S:$S,Data!$A:$A,$B15,Data!$C:$C,J$1))</f>
        <v>3.3571428571428572</v>
      </c>
      <c r="K15" s="39">
        <f>IF(SUMIFS(Data!$S:$S,Data!$A:$A,$B15,Data!$C:$C,K$1)=0,"",SUMIFS(Data!$S:$S,Data!$A:$A,$B15,Data!$C:$C,K$1))</f>
        <v>2.9627142857142856</v>
      </c>
      <c r="L15" s="39">
        <f>IF(SUMIFS(Data!$S:$S,Data!$A:$A,$B15,Data!$C:$C,L$1)=0,"",SUMIFS(Data!$S:$S,Data!$A:$A,$B15,Data!$C:$C,L$1))</f>
        <v>3.3125</v>
      </c>
      <c r="M15" s="39">
        <f>IF(SUMIFS(Data!$S:$S,Data!$A:$A,$B15,Data!$C:$C,M$1)=0,"",SUMIFS(Data!$S:$S,Data!$A:$A,$B15,Data!$C:$C,M$1))</f>
        <v>3.8839285714285712</v>
      </c>
      <c r="N15" s="39">
        <f>IF(SUMIFS(Data!$S:$S,Data!$A:$A,$B15,Data!$C:$C,N$1)=0,"",SUMIFS(Data!$S:$S,Data!$A:$A,$B15,Data!$C:$C,N$1))</f>
        <v>1.875</v>
      </c>
      <c r="O15" s="39">
        <f>IF(SUMIFS(Data!$S:$S,Data!$A:$A,$B15,Data!$C:$C,O$1)=0,"",SUMIFS(Data!$S:$S,Data!$A:$A,$B15,Data!$C:$C,O$1))</f>
        <v>4.0553571428571429</v>
      </c>
      <c r="P15" s="39">
        <f>IF(SUMIFS(Data!$S:$S,Data!$A:$A,$B15,Data!$C:$C,P$1)=0,"",SUMIFS(Data!$S:$S,Data!$A:$A,$B15,Data!$C:$C,P$1))</f>
        <v>4.0178571428571423</v>
      </c>
      <c r="Q15" s="39">
        <f>IF(SUMIFS(Data!$S:$S,Data!$A:$A,$B15,Data!$C:$C,Q$1)=0,"",SUMIFS(Data!$S:$S,Data!$A:$A,$B15,Data!$C:$C,Q$1))</f>
        <v>3.7130476190476189</v>
      </c>
      <c r="R15" s="39">
        <f>IF(SUMIFS(Data!$S:$S,Data!$A:$A,$B15,Data!$C:$C,R$1)=0,"",SUMIFS(Data!$S:$S,Data!$A:$A,$B15,Data!$C:$C,R$1))</f>
        <v>3.013095238095238</v>
      </c>
      <c r="S15" s="39">
        <f>IF(SUMIFS(Data!$S:$S,Data!$A:$A,$B15,Data!$C:$C,S$1)=0,"",SUMIFS(Data!$S:$S,Data!$A:$A,$B15,Data!$C:$C,S$1))</f>
        <v>3.7933333333333334</v>
      </c>
      <c r="T15" s="39">
        <f>IF(SUMIFS(Data!$S:$S,Data!$A:$A,$B15,Data!$C:$C,T$1)=0,"",SUMIFS(Data!$S:$S,Data!$A:$A,$B15,Data!$C:$C,T$1))</f>
        <v>1.25</v>
      </c>
      <c r="U15" s="39">
        <f>IF(SUMIFS(Data!X:X,Data!A:A,B15)&gt;12,5,IF(SUMIFS(Data!X:X,Data!A:A,B15)&gt;9,3, IF(SUMIFS(Data!X:X,Data!A:A,B15)&gt;4,1,0)))</f>
        <v>5</v>
      </c>
      <c r="V15" s="39">
        <f t="shared" si="0"/>
        <v>56.595285714285723</v>
      </c>
      <c r="W15" s="39">
        <f>SUMIFS(Data!D:D,Data!A:A,B15)</f>
        <v>189.14</v>
      </c>
    </row>
    <row r="16" spans="1:23" ht="13.8" x14ac:dyDescent="0.3">
      <c r="A16" s="151">
        <v>15</v>
      </c>
      <c r="B16" s="38" t="s">
        <v>154</v>
      </c>
      <c r="C16" s="39">
        <f>IF(SUMIFS(Data!$S:$S,Data!$A:$A,$B16,Data!$C:$C,C$1)=0,"",SUMIFS(Data!$S:$S,Data!$A:$A,$B16,Data!$C:$C,C$1))</f>
        <v>4.25</v>
      </c>
      <c r="D16" s="39">
        <f>IF(SUMIFS(Data!$S:$S,Data!$A:$A,$B16,Data!$C:$C,D$1)=0,"",SUMIFS(Data!$S:$S,Data!$A:$A,$B16,Data!$C:$C,D$1))</f>
        <v>2.4708333333333332</v>
      </c>
      <c r="E16" s="39">
        <f>IF(SUMIFS(Data!$S:$S,Data!$A:$A,$B16,Data!$C:$C,E$1)=0,"",SUMIFS(Data!$S:$S,Data!$A:$A,$B16,Data!$C:$C,E$1))</f>
        <v>4.375</v>
      </c>
      <c r="F16" s="39">
        <f>IF(SUMIFS(Data!$S:$S,Data!$A:$A,$B16,Data!$C:$C,F$1)=0,"",SUMIFS(Data!$S:$S,Data!$A:$A,$B16,Data!$C:$C,F$1))</f>
        <v>3.7482142857142855</v>
      </c>
      <c r="G16" s="39">
        <f>IF(SUMIFS(Data!$S:$S,Data!$A:$A,$B16,Data!$C:$C,G$1)=0,"",SUMIFS(Data!$S:$S,Data!$A:$A,$B16,Data!$C:$C,G$1))</f>
        <v>3.375</v>
      </c>
      <c r="H16" s="39">
        <f>IF(SUMIFS(Data!$S:$S,Data!$A:$A,$B16,Data!$C:$C,H$1)=0,"",SUMIFS(Data!$S:$S,Data!$A:$A,$B16,Data!$C:$C,H$1))</f>
        <v>1.1875</v>
      </c>
      <c r="I16" s="39" t="str">
        <f>IF(SUMIFS(Data!$S:$S,Data!$A:$A,$B16,Data!$C:$C,I$1)=0,"",SUMIFS(Data!$S:$S,Data!$A:$A,$B16,Data!$C:$C,I$1))</f>
        <v/>
      </c>
      <c r="J16" s="39">
        <f>IF(SUMIFS(Data!$S:$S,Data!$A:$A,$B16,Data!$C:$C,J$1)=0,"",SUMIFS(Data!$S:$S,Data!$A:$A,$B16,Data!$C:$C,J$1))</f>
        <v>2.9678333333333331</v>
      </c>
      <c r="K16" s="39">
        <f>IF(SUMIFS(Data!$S:$S,Data!$A:$A,$B16,Data!$C:$C,K$1)=0,"",SUMIFS(Data!$S:$S,Data!$A:$A,$B16,Data!$C:$C,K$1))</f>
        <v>2.4833333333333334</v>
      </c>
      <c r="L16" s="39">
        <f>IF(SUMIFS(Data!$S:$S,Data!$A:$A,$B16,Data!$C:$C,L$1)=0,"",SUMIFS(Data!$S:$S,Data!$A:$A,$B16,Data!$C:$C,L$1))</f>
        <v>2.6017857142857141</v>
      </c>
      <c r="M16" s="39">
        <f>IF(SUMIFS(Data!$S:$S,Data!$A:$A,$B16,Data!$C:$C,M$1)=0,"",SUMIFS(Data!$S:$S,Data!$A:$A,$B16,Data!$C:$C,M$1))</f>
        <v>2.2148809523809523</v>
      </c>
      <c r="N16" s="39">
        <f>IF(SUMIFS(Data!$S:$S,Data!$A:$A,$B16,Data!$C:$C,N$1)=0,"",SUMIFS(Data!$S:$S,Data!$A:$A,$B16,Data!$C:$C,N$1))</f>
        <v>1.625</v>
      </c>
      <c r="O16" s="39">
        <f>IF(SUMIFS(Data!$S:$S,Data!$A:$A,$B16,Data!$C:$C,O$1)=0,"",SUMIFS(Data!$S:$S,Data!$A:$A,$B16,Data!$C:$C,O$1))</f>
        <v>4.291666666666667</v>
      </c>
      <c r="P16" s="39">
        <f>IF(SUMIFS(Data!$S:$S,Data!$A:$A,$B16,Data!$C:$C,P$1)=0,"",SUMIFS(Data!$S:$S,Data!$A:$A,$B16,Data!$C:$C,P$1))</f>
        <v>2.7442619047619048</v>
      </c>
      <c r="Q16" s="39">
        <f>IF(SUMIFS(Data!$S:$S,Data!$A:$A,$B16,Data!$C:$C,Q$1)=0,"",SUMIFS(Data!$S:$S,Data!$A:$A,$B16,Data!$C:$C,Q$1))</f>
        <v>4.1796666666666669</v>
      </c>
      <c r="R16" s="39">
        <f>IF(SUMIFS(Data!$S:$S,Data!$A:$A,$B16,Data!$C:$C,R$1)=0,"",SUMIFS(Data!$S:$S,Data!$A:$A,$B16,Data!$C:$C,R$1))</f>
        <v>1.0797619047619047</v>
      </c>
      <c r="S16" s="39">
        <f>IF(SUMIFS(Data!$S:$S,Data!$A:$A,$B16,Data!$C:$C,S$1)=0,"",SUMIFS(Data!$S:$S,Data!$A:$A,$B16,Data!$C:$C,S$1))</f>
        <v>3.5640000000000001</v>
      </c>
      <c r="T16" s="39">
        <f>IF(SUMIFS(Data!$S:$S,Data!$A:$A,$B16,Data!$C:$C,T$1)=0,"",SUMIFS(Data!$S:$S,Data!$A:$A,$B16,Data!$C:$C,T$1))</f>
        <v>1.6875</v>
      </c>
      <c r="U16" s="39">
        <f>IF(SUMIFS(Data!X:X,Data!A:A,B16)&gt;12,5,IF(SUMIFS(Data!X:X,Data!A:A,B16)&gt;9,3, IF(SUMIFS(Data!X:X,Data!A:A,B16)&gt;4,1,0)))</f>
        <v>5</v>
      </c>
      <c r="V16" s="39">
        <f t="shared" si="0"/>
        <v>53.8462380952381</v>
      </c>
      <c r="W16" s="39">
        <f>SUMIFS(Data!D:D,Data!A:A,B16)</f>
        <v>205.25999999999996</v>
      </c>
    </row>
    <row r="17" spans="1:23" ht="13.8" x14ac:dyDescent="0.3">
      <c r="A17" s="151">
        <v>16</v>
      </c>
      <c r="B17" s="38" t="s">
        <v>80</v>
      </c>
      <c r="C17" s="39">
        <f>IF(SUMIFS(Data!$S:$S,Data!$A:$A,$B17,Data!$C:$C,C$1)=0,"",SUMIFS(Data!$S:$S,Data!$A:$A,$B17,Data!$C:$C,C$1))</f>
        <v>6.075333333333333</v>
      </c>
      <c r="D17" s="39">
        <f>IF(SUMIFS(Data!$S:$S,Data!$A:$A,$B17,Data!$C:$C,D$1)=0,"",SUMIFS(Data!$S:$S,Data!$A:$A,$B17,Data!$C:$C,D$1))</f>
        <v>2.7826666666666666</v>
      </c>
      <c r="E17" s="39">
        <f>IF(SUMIFS(Data!$S:$S,Data!$A:$A,$B17,Data!$C:$C,E$1)=0,"",SUMIFS(Data!$S:$S,Data!$A:$A,$B17,Data!$C:$C,E$1))</f>
        <v>7.4139999999999997</v>
      </c>
      <c r="F17" s="39">
        <f>IF(SUMIFS(Data!$S:$S,Data!$A:$A,$B17,Data!$C:$C,F$1)=0,"",SUMIFS(Data!$S:$S,Data!$A:$A,$B17,Data!$C:$C,F$1))</f>
        <v>1.9946666666666668</v>
      </c>
      <c r="G17" s="39">
        <f>IF(SUMIFS(Data!$S:$S,Data!$A:$A,$B17,Data!$C:$C,G$1)=0,"",SUMIFS(Data!$S:$S,Data!$A:$A,$B17,Data!$C:$C,G$1))</f>
        <v>5.7906666666666675</v>
      </c>
      <c r="H17" s="39">
        <f>IF(SUMIFS(Data!$S:$S,Data!$A:$A,$B17,Data!$C:$C,H$1)=0,"",SUMIFS(Data!$S:$S,Data!$A:$A,$B17,Data!$C:$C,H$1))</f>
        <v>3.875</v>
      </c>
      <c r="I17" s="39">
        <f>IF(SUMIFS(Data!$S:$S,Data!$A:$A,$B17,Data!$C:$C,I$1)=0,"",SUMIFS(Data!$S:$S,Data!$A:$A,$B17,Data!$C:$C,I$1))</f>
        <v>3.7013333333333329</v>
      </c>
      <c r="J17" s="39" t="str">
        <f>IF(SUMIFS(Data!$S:$S,Data!$A:$A,$B17,Data!$C:$C,J$1)=0,"",SUMIFS(Data!$S:$S,Data!$A:$A,$B17,Data!$C:$C,J$1))</f>
        <v/>
      </c>
      <c r="K17" s="39">
        <f>IF(SUMIFS(Data!$S:$S,Data!$A:$A,$B17,Data!$C:$C,K$1)=0,"",SUMIFS(Data!$S:$S,Data!$A:$A,$B17,Data!$C:$C,K$1))</f>
        <v>6.2993333333333341</v>
      </c>
      <c r="L17" s="39">
        <f>IF(SUMIFS(Data!$S:$S,Data!$A:$A,$B17,Data!$C:$C,L$1)=0,"",SUMIFS(Data!$S:$S,Data!$A:$A,$B17,Data!$C:$C,L$1))</f>
        <v>9.1873333333333331</v>
      </c>
      <c r="M17" s="39" t="str">
        <f>IF(SUMIFS(Data!$S:$S,Data!$A:$A,$B17,Data!$C:$C,M$1)=0,"",SUMIFS(Data!$S:$S,Data!$A:$A,$B17,Data!$C:$C,M$1))</f>
        <v/>
      </c>
      <c r="N17" s="39">
        <f>IF(SUMIFS(Data!$S:$S,Data!$A:$A,$B17,Data!$C:$C,N$1)=0,"",SUMIFS(Data!$S:$S,Data!$A:$A,$B17,Data!$C:$C,N$1))</f>
        <v>4.25</v>
      </c>
      <c r="O17" s="39" t="str">
        <f>IF(SUMIFS(Data!$S:$S,Data!$A:$A,$B17,Data!$C:$C,O$1)=0,"",SUMIFS(Data!$S:$S,Data!$A:$A,$B17,Data!$C:$C,O$1))</f>
        <v/>
      </c>
      <c r="P17" s="39" t="str">
        <f>IF(SUMIFS(Data!$S:$S,Data!$A:$A,$B17,Data!$C:$C,P$1)=0,"",SUMIFS(Data!$S:$S,Data!$A:$A,$B17,Data!$C:$C,P$1))</f>
        <v/>
      </c>
      <c r="Q17" s="39" t="str">
        <f>IF(SUMIFS(Data!$S:$S,Data!$A:$A,$B17,Data!$C:$C,Q$1)=0,"",SUMIFS(Data!$S:$S,Data!$A:$A,$B17,Data!$C:$C,Q$1))</f>
        <v/>
      </c>
      <c r="R17" s="39" t="str">
        <f>IF(SUMIFS(Data!$S:$S,Data!$A:$A,$B17,Data!$C:$C,R$1)=0,"",SUMIFS(Data!$S:$S,Data!$A:$A,$B17,Data!$C:$C,R$1))</f>
        <v/>
      </c>
      <c r="S17" s="39" t="str">
        <f>IF(SUMIFS(Data!$S:$S,Data!$A:$A,$B17,Data!$C:$C,S$1)=0,"",SUMIFS(Data!$S:$S,Data!$A:$A,$B17,Data!$C:$C,S$1))</f>
        <v/>
      </c>
      <c r="T17" s="39" t="str">
        <f>IF(SUMIFS(Data!$S:$S,Data!$A:$A,$B17,Data!$C:$C,T$1)=0,"",SUMIFS(Data!$S:$S,Data!$A:$A,$B17,Data!$C:$C,T$1))</f>
        <v/>
      </c>
      <c r="U17" s="39">
        <f>IF(SUMIFS(Data!X:X,Data!A:A,B17)&gt;12,5,IF(SUMIFS(Data!X:X,Data!A:A,B17)&gt;9,3, IF(SUMIFS(Data!X:X,Data!A:A,B17)&gt;4,1,0)))</f>
        <v>0</v>
      </c>
      <c r="V17" s="39">
        <f t="shared" si="0"/>
        <v>51.370333333333335</v>
      </c>
      <c r="W17" s="39">
        <f>SUMIFS(Data!D:D,Data!A:A,B17)</f>
        <v>331.3</v>
      </c>
    </row>
    <row r="18" spans="1:23" ht="13.8" x14ac:dyDescent="0.3">
      <c r="A18" s="151">
        <v>17</v>
      </c>
      <c r="B18" s="38" t="s">
        <v>244</v>
      </c>
      <c r="C18" s="39">
        <f>IF(SUMIFS(Data!$S:$S,Data!$A:$A,$B18,Data!$C:$C,C$1)=0,"",SUMIFS(Data!$S:$S,Data!$A:$A,$B18,Data!$C:$C,C$1))</f>
        <v>4.8165238095238099</v>
      </c>
      <c r="D18" s="39">
        <f>IF(SUMIFS(Data!$S:$S,Data!$A:$A,$B18,Data!$C:$C,D$1)=0,"",SUMIFS(Data!$S:$S,Data!$A:$A,$B18,Data!$C:$C,D$1))</f>
        <v>2.5154761904761904</v>
      </c>
      <c r="E18" s="39">
        <f>IF(SUMIFS(Data!$S:$S,Data!$A:$A,$B18,Data!$C:$C,E$1)=0,"",SUMIFS(Data!$S:$S,Data!$A:$A,$B18,Data!$C:$C,E$1))</f>
        <v>4.5931190476190471</v>
      </c>
      <c r="F18" s="39">
        <f>IF(SUMIFS(Data!$S:$S,Data!$A:$A,$B18,Data!$C:$C,F$1)=0,"",SUMIFS(Data!$S:$S,Data!$A:$A,$B18,Data!$C:$C,F$1))</f>
        <v>5.7126666666666663</v>
      </c>
      <c r="G18" s="39">
        <f>IF(SUMIFS(Data!$S:$S,Data!$A:$A,$B18,Data!$C:$C,G$1)=0,"",SUMIFS(Data!$S:$S,Data!$A:$A,$B18,Data!$C:$C,G$1))</f>
        <v>2.6055476190476186</v>
      </c>
      <c r="H18" s="39">
        <f>IF(SUMIFS(Data!$S:$S,Data!$A:$A,$B18,Data!$C:$C,H$1)=0,"",SUMIFS(Data!$S:$S,Data!$A:$A,$B18,Data!$C:$C,H$1))</f>
        <v>2.375</v>
      </c>
      <c r="I18" s="39">
        <f>IF(SUMIFS(Data!$S:$S,Data!$A:$A,$B18,Data!$C:$C,I$1)=0,"",SUMIFS(Data!$S:$S,Data!$A:$A,$B18,Data!$C:$C,I$1))</f>
        <v>1.5</v>
      </c>
      <c r="J18" s="39" t="str">
        <f>IF(SUMIFS(Data!$S:$S,Data!$A:$A,$B18,Data!$C:$C,J$1)=0,"",SUMIFS(Data!$S:$S,Data!$A:$A,$B18,Data!$C:$C,J$1))</f>
        <v/>
      </c>
      <c r="K18" s="39" t="str">
        <f>IF(SUMIFS(Data!$S:$S,Data!$A:$A,$B18,Data!$C:$C,K$1)=0,"",SUMIFS(Data!$S:$S,Data!$A:$A,$B18,Data!$C:$C,K$1))</f>
        <v/>
      </c>
      <c r="L18" s="39" t="str">
        <f>IF(SUMIFS(Data!$S:$S,Data!$A:$A,$B18,Data!$C:$C,L$1)=0,"",SUMIFS(Data!$S:$S,Data!$A:$A,$B18,Data!$C:$C,L$1))</f>
        <v/>
      </c>
      <c r="M18" s="39">
        <f>IF(SUMIFS(Data!$S:$S,Data!$A:$A,$B18,Data!$C:$C,M$1)=0,"",SUMIFS(Data!$S:$S,Data!$A:$A,$B18,Data!$C:$C,M$1))</f>
        <v>4.7213333333333329</v>
      </c>
      <c r="N18" s="39">
        <f>IF(SUMIFS(Data!$S:$S,Data!$A:$A,$B18,Data!$C:$C,N$1)=0,"",SUMIFS(Data!$S:$S,Data!$A:$A,$B18,Data!$C:$C,N$1))</f>
        <v>2.625</v>
      </c>
      <c r="O18" s="39" t="str">
        <f>IF(SUMIFS(Data!$S:$S,Data!$A:$A,$B18,Data!$C:$C,O$1)=0,"",SUMIFS(Data!$S:$S,Data!$A:$A,$B18,Data!$C:$C,O$1))</f>
        <v/>
      </c>
      <c r="P18" s="39" t="str">
        <f>IF(SUMIFS(Data!$S:$S,Data!$A:$A,$B18,Data!$C:$C,P$1)=0,"",SUMIFS(Data!$S:$S,Data!$A:$A,$B18,Data!$C:$C,P$1))</f>
        <v/>
      </c>
      <c r="Q18" s="39">
        <f>IF(SUMIFS(Data!$S:$S,Data!$A:$A,$B18,Data!$C:$C,Q$1)=0,"",SUMIFS(Data!$S:$S,Data!$A:$A,$B18,Data!$C:$C,Q$1))</f>
        <v>4.9215952380952377</v>
      </c>
      <c r="R18" s="39">
        <f>IF(SUMIFS(Data!$S:$S,Data!$A:$A,$B18,Data!$C:$C,R$1)=0,"",SUMIFS(Data!$S:$S,Data!$A:$A,$B18,Data!$C:$C,R$1))</f>
        <v>4.6713333333333331</v>
      </c>
      <c r="S18" s="39">
        <f>IF(SUMIFS(Data!$S:$S,Data!$A:$A,$B18,Data!$C:$C,S$1)=0,"",SUMIFS(Data!$S:$S,Data!$A:$A,$B18,Data!$C:$C,S$1))</f>
        <v>2.8271904761904763</v>
      </c>
      <c r="T18" s="39">
        <f>IF(SUMIFS(Data!$S:$S,Data!$A:$A,$B18,Data!$C:$C,T$1)=0,"",SUMIFS(Data!$S:$S,Data!$A:$A,$B18,Data!$C:$C,T$1))</f>
        <v>4.3125</v>
      </c>
      <c r="U18" s="39">
        <f>IF(SUMIFS(Data!X:X,Data!A:A,B18)&gt;12,5,IF(SUMIFS(Data!X:X,Data!A:A,B18)&gt;9,3, IF(SUMIFS(Data!X:X,Data!A:A,B18)&gt;4,1,0)))</f>
        <v>0</v>
      </c>
      <c r="V18" s="39">
        <f t="shared" si="0"/>
        <v>48.197285714285719</v>
      </c>
      <c r="W18" s="39">
        <f>SUMIFS(Data!D:D,Data!A:A,B18)</f>
        <v>202.21</v>
      </c>
    </row>
    <row r="19" spans="1:23" ht="13.8" x14ac:dyDescent="0.3">
      <c r="A19" s="151">
        <v>18</v>
      </c>
      <c r="B19" s="38" t="s">
        <v>50</v>
      </c>
      <c r="C19" s="39">
        <f>IF(SUMIFS(Data!$S:$S,Data!$A:$A,$B19,Data!$C:$C,C$1)=0,"",SUMIFS(Data!$S:$S,Data!$A:$A,$B19,Data!$C:$C,C$1))</f>
        <v>2.4097142857142857</v>
      </c>
      <c r="D19" s="39">
        <f>IF(SUMIFS(Data!$S:$S,Data!$A:$A,$B19,Data!$C:$C,D$1)=0,"",SUMIFS(Data!$S:$S,Data!$A:$A,$B19,Data!$C:$C,D$1))</f>
        <v>4.7666666666666666</v>
      </c>
      <c r="E19" s="39" t="str">
        <f>IF(SUMIFS(Data!$S:$S,Data!$A:$A,$B19,Data!$C:$C,E$1)=0,"",SUMIFS(Data!$S:$S,Data!$A:$A,$B19,Data!$C:$C,E$1))</f>
        <v/>
      </c>
      <c r="F19" s="39">
        <f>IF(SUMIFS(Data!$S:$S,Data!$A:$A,$B19,Data!$C:$C,F$1)=0,"",SUMIFS(Data!$S:$S,Data!$A:$A,$B19,Data!$C:$C,F$1))</f>
        <v>1.5</v>
      </c>
      <c r="G19" s="39" t="str">
        <f>IF(SUMIFS(Data!$S:$S,Data!$A:$A,$B19,Data!$C:$C,G$1)=0,"",SUMIFS(Data!$S:$S,Data!$A:$A,$B19,Data!$C:$C,G$1))</f>
        <v/>
      </c>
      <c r="H19" s="39">
        <f>IF(SUMIFS(Data!$S:$S,Data!$A:$A,$B19,Data!$C:$C,H$1)=0,"",SUMIFS(Data!$S:$S,Data!$A:$A,$B19,Data!$C:$C,H$1))</f>
        <v>1.4375</v>
      </c>
      <c r="I19" s="39">
        <f>IF(SUMIFS(Data!$S:$S,Data!$A:$A,$B19,Data!$C:$C,I$1)=0,"",SUMIFS(Data!$S:$S,Data!$A:$A,$B19,Data!$C:$C,I$1))</f>
        <v>2.9938095238095239</v>
      </c>
      <c r="J19" s="39">
        <f>IF(SUMIFS(Data!$S:$S,Data!$A:$A,$B19,Data!$C:$C,J$1)=0,"",SUMIFS(Data!$S:$S,Data!$A:$A,$B19,Data!$C:$C,J$1))</f>
        <v>3.2015714285714285</v>
      </c>
      <c r="K19" s="39">
        <f>IF(SUMIFS(Data!$S:$S,Data!$A:$A,$B19,Data!$C:$C,K$1)=0,"",SUMIFS(Data!$S:$S,Data!$A:$A,$B19,Data!$C:$C,K$1))</f>
        <v>2.3249285714285715</v>
      </c>
      <c r="L19" s="39">
        <f>IF(SUMIFS(Data!$S:$S,Data!$A:$A,$B19,Data!$C:$C,L$1)=0,"",SUMIFS(Data!$S:$S,Data!$A:$A,$B19,Data!$C:$C,L$1))</f>
        <v>2.2285714285714286</v>
      </c>
      <c r="M19" s="39">
        <f>IF(SUMIFS(Data!$S:$S,Data!$A:$A,$B19,Data!$C:$C,M$1)=0,"",SUMIFS(Data!$S:$S,Data!$A:$A,$B19,Data!$C:$C,M$1))</f>
        <v>1.871690476190476</v>
      </c>
      <c r="N19" s="39">
        <f>IF(SUMIFS(Data!$S:$S,Data!$A:$A,$B19,Data!$C:$C,N$1)=0,"",SUMIFS(Data!$S:$S,Data!$A:$A,$B19,Data!$C:$C,N$1))</f>
        <v>3.0625</v>
      </c>
      <c r="O19" s="39">
        <f>IF(SUMIFS(Data!$S:$S,Data!$A:$A,$B19,Data!$C:$C,O$1)=0,"",SUMIFS(Data!$S:$S,Data!$A:$A,$B19,Data!$C:$C,O$1))</f>
        <v>3.0216428571428571</v>
      </c>
      <c r="P19" s="39">
        <f>IF(SUMIFS(Data!$S:$S,Data!$A:$A,$B19,Data!$C:$C,P$1)=0,"",SUMIFS(Data!$S:$S,Data!$A:$A,$B19,Data!$C:$C,P$1))</f>
        <v>1.286357142857143</v>
      </c>
      <c r="Q19" s="39">
        <f>IF(SUMIFS(Data!$S:$S,Data!$A:$A,$B19,Data!$C:$C,Q$1)=0,"",SUMIFS(Data!$S:$S,Data!$A:$A,$B19,Data!$C:$C,Q$1))</f>
        <v>2.9310476190476189</v>
      </c>
      <c r="R19" s="39">
        <f>IF(SUMIFS(Data!$S:$S,Data!$A:$A,$B19,Data!$C:$C,R$1)=0,"",SUMIFS(Data!$S:$S,Data!$A:$A,$B19,Data!$C:$C,R$1))</f>
        <v>1.930047619047619</v>
      </c>
      <c r="S19" s="39">
        <f>IF(SUMIFS(Data!$S:$S,Data!$A:$A,$B19,Data!$C:$C,S$1)=0,"",SUMIFS(Data!$S:$S,Data!$A:$A,$B19,Data!$C:$C,S$1))</f>
        <v>1.6012380952380951</v>
      </c>
      <c r="T19" s="39">
        <f>IF(SUMIFS(Data!$S:$S,Data!$A:$A,$B19,Data!$C:$C,T$1)=0,"",SUMIFS(Data!$S:$S,Data!$A:$A,$B19,Data!$C:$C,T$1))</f>
        <v>3.1875</v>
      </c>
      <c r="U19" s="39">
        <f>IF(SUMIFS(Data!X:X,Data!A:A,B19)&gt;12,5,IF(SUMIFS(Data!X:X,Data!A:A,B19)&gt;9,3, IF(SUMIFS(Data!X:X,Data!A:A,B19)&gt;4,1,0)))</f>
        <v>3</v>
      </c>
      <c r="V19" s="39">
        <f t="shared" si="0"/>
        <v>42.754785714285717</v>
      </c>
      <c r="W19" s="39">
        <f>SUMIFS(Data!D:D,Data!A:A,B19)</f>
        <v>145.35</v>
      </c>
    </row>
    <row r="20" spans="1:23" ht="13.8" x14ac:dyDescent="0.3">
      <c r="A20" s="151">
        <v>19</v>
      </c>
      <c r="B20" s="38" t="s">
        <v>117</v>
      </c>
      <c r="C20" s="39">
        <f>IF(SUMIFS(Data!$S:$S,Data!$A:$A,$B20,Data!$C:$C,C$1)=0,"",SUMIFS(Data!$S:$S,Data!$A:$A,$B20,Data!$C:$C,C$1))</f>
        <v>1.1428571428571428</v>
      </c>
      <c r="D20" s="39">
        <f>IF(SUMIFS(Data!$S:$S,Data!$A:$A,$B20,Data!$C:$C,D$1)=0,"",SUMIFS(Data!$S:$S,Data!$A:$A,$B20,Data!$C:$C,D$1))</f>
        <v>1.5</v>
      </c>
      <c r="E20" s="39">
        <f>IF(SUMIFS(Data!$S:$S,Data!$A:$A,$B20,Data!$C:$C,E$1)=0,"",SUMIFS(Data!$S:$S,Data!$A:$A,$B20,Data!$C:$C,E$1))</f>
        <v>1.4232142857142858</v>
      </c>
      <c r="F20" s="39">
        <f>IF(SUMIFS(Data!$S:$S,Data!$A:$A,$B20,Data!$C:$C,F$1)=0,"",SUMIFS(Data!$S:$S,Data!$A:$A,$B20,Data!$C:$C,F$1))</f>
        <v>2.8892857142857142</v>
      </c>
      <c r="G20" s="39" t="str">
        <f>IF(SUMIFS(Data!$S:$S,Data!$A:$A,$B20,Data!$C:$C,G$1)=0,"",SUMIFS(Data!$S:$S,Data!$A:$A,$B20,Data!$C:$C,G$1))</f>
        <v/>
      </c>
      <c r="H20" s="39">
        <f>IF(SUMIFS(Data!$S:$S,Data!$A:$A,$B20,Data!$C:$C,H$1)=0,"",SUMIFS(Data!$S:$S,Data!$A:$A,$B20,Data!$C:$C,H$1))</f>
        <v>1.8125</v>
      </c>
      <c r="I20" s="39">
        <f>IF(SUMIFS(Data!$S:$S,Data!$A:$A,$B20,Data!$C:$C,I$1)=0,"",SUMIFS(Data!$S:$S,Data!$A:$A,$B20,Data!$C:$C,I$1))</f>
        <v>1.7976190476190477</v>
      </c>
      <c r="J20" s="39">
        <f>IF(SUMIFS(Data!$S:$S,Data!$A:$A,$B20,Data!$C:$C,J$1)=0,"",SUMIFS(Data!$S:$S,Data!$A:$A,$B20,Data!$C:$C,J$1))</f>
        <v>1.7446428571428569</v>
      </c>
      <c r="K20" s="39">
        <f>IF(SUMIFS(Data!$S:$S,Data!$A:$A,$B20,Data!$C:$C,K$1)=0,"",SUMIFS(Data!$S:$S,Data!$A:$A,$B20,Data!$C:$C,K$1))</f>
        <v>4.125</v>
      </c>
      <c r="L20" s="39">
        <f>IF(SUMIFS(Data!$S:$S,Data!$A:$A,$B20,Data!$C:$C,L$1)=0,"",SUMIFS(Data!$S:$S,Data!$A:$A,$B20,Data!$C:$C,L$1))</f>
        <v>2.1642857142857141</v>
      </c>
      <c r="M20" s="39">
        <f>IF(SUMIFS(Data!$S:$S,Data!$A:$A,$B20,Data!$C:$C,M$1)=0,"",SUMIFS(Data!$S:$S,Data!$A:$A,$B20,Data!$C:$C,M$1))</f>
        <v>4.0366666666666671</v>
      </c>
      <c r="N20" s="39">
        <f>IF(SUMIFS(Data!$S:$S,Data!$A:$A,$B20,Data!$C:$C,N$1)=0,"",SUMIFS(Data!$S:$S,Data!$A:$A,$B20,Data!$C:$C,N$1))</f>
        <v>1.1875</v>
      </c>
      <c r="O20" s="39">
        <f>IF(SUMIFS(Data!$S:$S,Data!$A:$A,$B20,Data!$C:$C,O$1)=0,"",SUMIFS(Data!$S:$S,Data!$A:$A,$B20,Data!$C:$C,O$1))</f>
        <v>2.0553571428571429</v>
      </c>
      <c r="P20" s="39">
        <f>IF(SUMIFS(Data!$S:$S,Data!$A:$A,$B20,Data!$C:$C,P$1)=0,"",SUMIFS(Data!$S:$S,Data!$A:$A,$B20,Data!$C:$C,P$1))</f>
        <v>2.183928571428571</v>
      </c>
      <c r="Q20" s="39" t="str">
        <f>IF(SUMIFS(Data!$S:$S,Data!$A:$A,$B20,Data!$C:$C,Q$1)=0,"",SUMIFS(Data!$S:$S,Data!$A:$A,$B20,Data!$C:$C,Q$1))</f>
        <v/>
      </c>
      <c r="R20" s="39">
        <f>IF(SUMIFS(Data!$S:$S,Data!$A:$A,$B20,Data!$C:$C,R$1)=0,"",SUMIFS(Data!$S:$S,Data!$A:$A,$B20,Data!$C:$C,R$1))</f>
        <v>1.5464285714285715</v>
      </c>
      <c r="S20" s="39">
        <f>IF(SUMIFS(Data!$S:$S,Data!$A:$A,$B20,Data!$C:$C,S$1)=0,"",SUMIFS(Data!$S:$S,Data!$A:$A,$B20,Data!$C:$C,S$1))</f>
        <v>2.0345238095238094</v>
      </c>
      <c r="T20" s="39">
        <f>IF(SUMIFS(Data!$S:$S,Data!$A:$A,$B20,Data!$C:$C,T$1)=0,"",SUMIFS(Data!$S:$S,Data!$A:$A,$B20,Data!$C:$C,T$1))</f>
        <v>3.25</v>
      </c>
      <c r="U20" s="39">
        <f>IF(SUMIFS(Data!X:X,Data!A:A,B20)&gt;12,5,IF(SUMIFS(Data!X:X,Data!A:A,B20)&gt;9,3, IF(SUMIFS(Data!X:X,Data!A:A,B20)&gt;4,1,0)))</f>
        <v>3</v>
      </c>
      <c r="V20" s="39">
        <f t="shared" si="0"/>
        <v>37.893809523809523</v>
      </c>
      <c r="W20" s="39">
        <f>SUMIFS(Data!D:D,Data!A:A,B20)</f>
        <v>122.15</v>
      </c>
    </row>
    <row r="21" spans="1:23" ht="13.8" x14ac:dyDescent="0.3">
      <c r="A21" s="151">
        <v>20</v>
      </c>
      <c r="B21" s="38" t="s">
        <v>241</v>
      </c>
      <c r="C21" s="39">
        <f>IF(SUMIFS(Data!$S:$S,Data!$A:$A,$B21,Data!$C:$C,C$1)=0,"",SUMIFS(Data!$S:$S,Data!$A:$A,$B21,Data!$C:$C,C$1))</f>
        <v>2.2285714285714286</v>
      </c>
      <c r="D21" s="39">
        <f>IF(SUMIFS(Data!$S:$S,Data!$A:$A,$B21,Data!$C:$C,D$1)=0,"",SUMIFS(Data!$S:$S,Data!$A:$A,$B21,Data!$C:$C,D$1))</f>
        <v>3.8339285714285714</v>
      </c>
      <c r="E21" s="39">
        <f>IF(SUMIFS(Data!$S:$S,Data!$A:$A,$B21,Data!$C:$C,E$1)=0,"",SUMIFS(Data!$S:$S,Data!$A:$A,$B21,Data!$C:$C,E$1))</f>
        <v>4.75</v>
      </c>
      <c r="F21" s="39">
        <f>IF(SUMIFS(Data!$S:$S,Data!$A:$A,$B21,Data!$C:$C,F$1)=0,"",SUMIFS(Data!$S:$S,Data!$A:$A,$B21,Data!$C:$C,F$1))</f>
        <v>3.7333333333333334</v>
      </c>
      <c r="G21" s="39">
        <f>IF(SUMIFS(Data!$S:$S,Data!$A:$A,$B21,Data!$C:$C,G$1)=0,"",SUMIFS(Data!$S:$S,Data!$A:$A,$B21,Data!$C:$C,G$1))</f>
        <v>2.5375000000000001</v>
      </c>
      <c r="H21" s="39">
        <f>IF(SUMIFS(Data!$S:$S,Data!$A:$A,$B21,Data!$C:$C,H$1)=0,"",SUMIFS(Data!$S:$S,Data!$A:$A,$B21,Data!$C:$C,H$1))</f>
        <v>0.625</v>
      </c>
      <c r="I21" s="39" t="str">
        <f>IF(SUMIFS(Data!$S:$S,Data!$A:$A,$B21,Data!$C:$C,I$1)=0,"",SUMIFS(Data!$S:$S,Data!$A:$A,$B21,Data!$C:$C,I$1))</f>
        <v/>
      </c>
      <c r="J21" s="39">
        <f>IF(SUMIFS(Data!$S:$S,Data!$A:$A,$B21,Data!$C:$C,J$1)=0,"",SUMIFS(Data!$S:$S,Data!$A:$A,$B21,Data!$C:$C,J$1))</f>
        <v>2.8607142857142858</v>
      </c>
      <c r="K21" s="39" t="str">
        <f>IF(SUMIFS(Data!$S:$S,Data!$A:$A,$B21,Data!$C:$C,K$1)=0,"",SUMIFS(Data!$S:$S,Data!$A:$A,$B21,Data!$C:$C,K$1))</f>
        <v/>
      </c>
      <c r="L21" s="39">
        <f>IF(SUMIFS(Data!$S:$S,Data!$A:$A,$B21,Data!$C:$C,L$1)=0,"",SUMIFS(Data!$S:$S,Data!$A:$A,$B21,Data!$C:$C,L$1))</f>
        <v>2.9375</v>
      </c>
      <c r="M21" s="39">
        <f>IF(SUMIFS(Data!$S:$S,Data!$A:$A,$B21,Data!$C:$C,M$1)=0,"",SUMIFS(Data!$S:$S,Data!$A:$A,$B21,Data!$C:$C,M$1))</f>
        <v>2.5416666666666665</v>
      </c>
      <c r="N21" s="39">
        <f>IF(SUMIFS(Data!$S:$S,Data!$A:$A,$B21,Data!$C:$C,N$1)=0,"",SUMIFS(Data!$S:$S,Data!$A:$A,$B21,Data!$C:$C,N$1))</f>
        <v>0.75</v>
      </c>
      <c r="O21" s="39">
        <f>IF(SUMIFS(Data!$S:$S,Data!$A:$A,$B21,Data!$C:$C,O$1)=0,"",SUMIFS(Data!$S:$S,Data!$A:$A,$B21,Data!$C:$C,O$1))</f>
        <v>4.25</v>
      </c>
      <c r="P21" s="39">
        <f>IF(SUMIFS(Data!$S:$S,Data!$A:$A,$B21,Data!$C:$C,P$1)=0,"",SUMIFS(Data!$S:$S,Data!$A:$A,$B21,Data!$C:$C,P$1))</f>
        <v>2.8875000000000002</v>
      </c>
      <c r="Q21" s="39" t="str">
        <f>IF(SUMIFS(Data!$S:$S,Data!$A:$A,$B21,Data!$C:$C,Q$1)=0,"",SUMIFS(Data!$S:$S,Data!$A:$A,$B21,Data!$C:$C,Q$1))</f>
        <v/>
      </c>
      <c r="R21" s="39" t="str">
        <f>IF(SUMIFS(Data!$S:$S,Data!$A:$A,$B21,Data!$C:$C,R$1)=0,"",SUMIFS(Data!$S:$S,Data!$A:$A,$B21,Data!$C:$C,R$1))</f>
        <v/>
      </c>
      <c r="S21" s="39" t="str">
        <f>IF(SUMIFS(Data!$S:$S,Data!$A:$A,$B21,Data!$C:$C,S$1)=0,"",SUMIFS(Data!$S:$S,Data!$A:$A,$B21,Data!$C:$C,S$1))</f>
        <v/>
      </c>
      <c r="T21" s="39">
        <f>IF(SUMIFS(Data!$S:$S,Data!$A:$A,$B21,Data!$C:$C,T$1)=0,"",SUMIFS(Data!$S:$S,Data!$A:$A,$B21,Data!$C:$C,T$1))</f>
        <v>0.8125</v>
      </c>
      <c r="U21" s="39">
        <f>IF(SUMIFS(Data!X:X,Data!A:A,B21)&gt;12,5,IF(SUMIFS(Data!X:X,Data!A:A,B21)&gt;9,3, IF(SUMIFS(Data!X:X,Data!A:A,B21)&gt;4,1,0)))</f>
        <v>3</v>
      </c>
      <c r="V21" s="39">
        <f t="shared" si="0"/>
        <v>37.74821428571429</v>
      </c>
      <c r="W21" s="39">
        <f>SUMIFS(Data!D:D,Data!A:A,B21)</f>
        <v>133.35999999999999</v>
      </c>
    </row>
    <row r="22" spans="1:23" ht="13.8" x14ac:dyDescent="0.3">
      <c r="A22" s="151">
        <v>21</v>
      </c>
      <c r="B22" s="38" t="s">
        <v>52</v>
      </c>
      <c r="C22" s="39" t="str">
        <f>IF(SUMIFS(Data!$S:$S,Data!$A:$A,$B22,Data!$C:$C,C$1)=0,"",SUMIFS(Data!$S:$S,Data!$A:$A,$B22,Data!$C:$C,C$1))</f>
        <v/>
      </c>
      <c r="D22" s="39">
        <f>IF(SUMIFS(Data!$S:$S,Data!$A:$A,$B22,Data!$C:$C,D$1)=0,"",SUMIFS(Data!$S:$S,Data!$A:$A,$B22,Data!$C:$C,D$1))</f>
        <v>4.125</v>
      </c>
      <c r="E22" s="39">
        <f>IF(SUMIFS(Data!$S:$S,Data!$A:$A,$B22,Data!$C:$C,E$1)=0,"",SUMIFS(Data!$S:$S,Data!$A:$A,$B22,Data!$C:$C,E$1))</f>
        <v>4.1636666666666668</v>
      </c>
      <c r="F22" s="39" t="str">
        <f>IF(SUMIFS(Data!$S:$S,Data!$A:$A,$B22,Data!$C:$C,F$1)=0,"",SUMIFS(Data!$S:$S,Data!$A:$A,$B22,Data!$C:$C,F$1))</f>
        <v/>
      </c>
      <c r="G22" s="39" t="str">
        <f>IF(SUMIFS(Data!$S:$S,Data!$A:$A,$B22,Data!$C:$C,G$1)=0,"",SUMIFS(Data!$S:$S,Data!$A:$A,$B22,Data!$C:$C,G$1))</f>
        <v/>
      </c>
      <c r="H22" s="39">
        <f>IF(SUMIFS(Data!$S:$S,Data!$A:$A,$B22,Data!$C:$C,H$1)=0,"",SUMIFS(Data!$S:$S,Data!$A:$A,$B22,Data!$C:$C,H$1))</f>
        <v>2.0625</v>
      </c>
      <c r="I22" s="39">
        <f>IF(SUMIFS(Data!$S:$S,Data!$A:$A,$B22,Data!$C:$C,I$1)=0,"",SUMIFS(Data!$S:$S,Data!$A:$A,$B22,Data!$C:$C,I$1))</f>
        <v>2.105952380952381</v>
      </c>
      <c r="J22" s="39">
        <f>IF(SUMIFS(Data!$S:$S,Data!$A:$A,$B22,Data!$C:$C,J$1)=0,"",SUMIFS(Data!$S:$S,Data!$A:$A,$B22,Data!$C:$C,J$1))</f>
        <v>4.4776904761904763</v>
      </c>
      <c r="K22" s="39">
        <f>IF(SUMIFS(Data!$S:$S,Data!$A:$A,$B22,Data!$C:$C,K$1)=0,"",SUMIFS(Data!$S:$S,Data!$A:$A,$B22,Data!$C:$C,K$1))</f>
        <v>1.7446428571428572</v>
      </c>
      <c r="L22" s="39">
        <f>IF(SUMIFS(Data!$S:$S,Data!$A:$A,$B22,Data!$C:$C,L$1)=0,"",SUMIFS(Data!$S:$S,Data!$A:$A,$B22,Data!$C:$C,L$1))</f>
        <v>3.9743095238095232</v>
      </c>
      <c r="M22" s="39">
        <f>IF(SUMIFS(Data!$S:$S,Data!$A:$A,$B22,Data!$C:$C,M$1)=0,"",SUMIFS(Data!$S:$S,Data!$A:$A,$B22,Data!$C:$C,M$1))</f>
        <v>2.230952380952381</v>
      </c>
      <c r="N22" s="39">
        <f>IF(SUMIFS(Data!$S:$S,Data!$A:$A,$B22,Data!$C:$C,N$1)=0,"",SUMIFS(Data!$S:$S,Data!$A:$A,$B22,Data!$C:$C,N$1))</f>
        <v>1.0625</v>
      </c>
      <c r="O22" s="39">
        <f>IF(SUMIFS(Data!$S:$S,Data!$A:$A,$B22,Data!$C:$C,O$1)=0,"",SUMIFS(Data!$S:$S,Data!$A:$A,$B22,Data!$C:$C,O$1))</f>
        <v>2.5589285714285714</v>
      </c>
      <c r="P22" s="39">
        <f>IF(SUMIFS(Data!$S:$S,Data!$A:$A,$B22,Data!$C:$C,P$1)=0,"",SUMIFS(Data!$S:$S,Data!$A:$A,$B22,Data!$C:$C,P$1))</f>
        <v>2.0309523809523808</v>
      </c>
      <c r="Q22" s="39" t="str">
        <f>IF(SUMIFS(Data!$S:$S,Data!$A:$A,$B22,Data!$C:$C,Q$1)=0,"",SUMIFS(Data!$S:$S,Data!$A:$A,$B22,Data!$C:$C,Q$1))</f>
        <v/>
      </c>
      <c r="R22" s="39" t="str">
        <f>IF(SUMIFS(Data!$S:$S,Data!$A:$A,$B22,Data!$C:$C,R$1)=0,"",SUMIFS(Data!$S:$S,Data!$A:$A,$B22,Data!$C:$C,R$1))</f>
        <v/>
      </c>
      <c r="S22" s="39" t="str">
        <f>IF(SUMIFS(Data!$S:$S,Data!$A:$A,$B22,Data!$C:$C,S$1)=0,"",SUMIFS(Data!$S:$S,Data!$A:$A,$B22,Data!$C:$C,S$1))</f>
        <v/>
      </c>
      <c r="T22" s="39">
        <f>IF(SUMIFS(Data!$S:$S,Data!$A:$A,$B22,Data!$C:$C,T$1)=0,"",SUMIFS(Data!$S:$S,Data!$A:$A,$B22,Data!$C:$C,T$1))</f>
        <v>1.6875</v>
      </c>
      <c r="U22" s="39">
        <f>IF(SUMIFS(Data!X:X,Data!A:A,B22)&gt;12,5,IF(SUMIFS(Data!X:X,Data!A:A,B22)&gt;9,3, IF(SUMIFS(Data!X:X,Data!A:A,B22)&gt;4,1,0)))</f>
        <v>1</v>
      </c>
      <c r="V22" s="39">
        <f t="shared" si="0"/>
        <v>33.22459523809524</v>
      </c>
      <c r="W22" s="39">
        <f>SUMIFS(Data!D:D,Data!A:A,B22)</f>
        <v>142.10000000000002</v>
      </c>
    </row>
    <row r="23" spans="1:23" ht="13.8" x14ac:dyDescent="0.3">
      <c r="A23" s="151">
        <v>22</v>
      </c>
      <c r="B23" s="38" t="s">
        <v>65</v>
      </c>
      <c r="C23" s="39">
        <f>IF(SUMIFS(Data!$S:$S,Data!$A:$A,$B23,Data!$C:$C,C$1)=0,"",SUMIFS(Data!$S:$S,Data!$A:$A,$B23,Data!$C:$C,C$1))</f>
        <v>2.1696428571428572</v>
      </c>
      <c r="D23" s="39" t="str">
        <f>IF(SUMIFS(Data!$S:$S,Data!$A:$A,$B23,Data!$C:$C,D$1)=0,"",SUMIFS(Data!$S:$S,Data!$A:$A,$B23,Data!$C:$C,D$1))</f>
        <v/>
      </c>
      <c r="E23" s="39">
        <f>IF(SUMIFS(Data!$S:$S,Data!$A:$A,$B23,Data!$C:$C,E$1)=0,"",SUMIFS(Data!$S:$S,Data!$A:$A,$B23,Data!$C:$C,E$1))</f>
        <v>7.0986666666666665</v>
      </c>
      <c r="F23" s="39">
        <f>IF(SUMIFS(Data!$S:$S,Data!$A:$A,$B23,Data!$C:$C,F$1)=0,"",SUMIFS(Data!$S:$S,Data!$A:$A,$B23,Data!$C:$C,F$1))</f>
        <v>3.0428571428571427</v>
      </c>
      <c r="G23" s="39">
        <f>IF(SUMIFS(Data!$S:$S,Data!$A:$A,$B23,Data!$C:$C,G$1)=0,"",SUMIFS(Data!$S:$S,Data!$A:$A,$B23,Data!$C:$C,G$1))</f>
        <v>1.5</v>
      </c>
      <c r="H23" s="39">
        <f>IF(SUMIFS(Data!$S:$S,Data!$A:$A,$B23,Data!$C:$C,H$1)=0,"",SUMIFS(Data!$S:$S,Data!$A:$A,$B23,Data!$C:$C,H$1))</f>
        <v>3.5</v>
      </c>
      <c r="I23" s="39" t="str">
        <f>IF(SUMIFS(Data!$S:$S,Data!$A:$A,$B23,Data!$C:$C,I$1)=0,"",SUMIFS(Data!$S:$S,Data!$A:$A,$B23,Data!$C:$C,I$1))</f>
        <v/>
      </c>
      <c r="J23" s="39" t="str">
        <f>IF(SUMIFS(Data!$S:$S,Data!$A:$A,$B23,Data!$C:$C,J$1)=0,"",SUMIFS(Data!$S:$S,Data!$A:$A,$B23,Data!$C:$C,J$1))</f>
        <v/>
      </c>
      <c r="K23" s="39" t="str">
        <f>IF(SUMIFS(Data!$S:$S,Data!$A:$A,$B23,Data!$C:$C,K$1)=0,"",SUMIFS(Data!$S:$S,Data!$A:$A,$B23,Data!$C:$C,K$1))</f>
        <v/>
      </c>
      <c r="L23" s="39" t="str">
        <f>IF(SUMIFS(Data!$S:$S,Data!$A:$A,$B23,Data!$C:$C,L$1)=0,"",SUMIFS(Data!$S:$S,Data!$A:$A,$B23,Data!$C:$C,L$1))</f>
        <v/>
      </c>
      <c r="M23" s="39" t="str">
        <f>IF(SUMIFS(Data!$S:$S,Data!$A:$A,$B23,Data!$C:$C,M$1)=0,"",SUMIFS(Data!$S:$S,Data!$A:$A,$B23,Data!$C:$C,M$1))</f>
        <v/>
      </c>
      <c r="N23" s="39" t="str">
        <f>IF(SUMIFS(Data!$S:$S,Data!$A:$A,$B23,Data!$C:$C,N$1)=0,"",SUMIFS(Data!$S:$S,Data!$A:$A,$B23,Data!$C:$C,N$1))</f>
        <v/>
      </c>
      <c r="O23" s="39" t="str">
        <f>IF(SUMIFS(Data!$S:$S,Data!$A:$A,$B23,Data!$C:$C,O$1)=0,"",SUMIFS(Data!$S:$S,Data!$A:$A,$B23,Data!$C:$C,O$1))</f>
        <v/>
      </c>
      <c r="P23" s="39" t="str">
        <f>IF(SUMIFS(Data!$S:$S,Data!$A:$A,$B23,Data!$C:$C,P$1)=0,"",SUMIFS(Data!$S:$S,Data!$A:$A,$B23,Data!$C:$C,P$1))</f>
        <v/>
      </c>
      <c r="Q23" s="39">
        <f>IF(SUMIFS(Data!$S:$S,Data!$A:$A,$B23,Data!$C:$C,Q$1)=0,"",SUMIFS(Data!$S:$S,Data!$A:$A,$B23,Data!$C:$C,Q$1))</f>
        <v>5.2359999999999998</v>
      </c>
      <c r="R23" s="39">
        <f>IF(SUMIFS(Data!$S:$S,Data!$A:$A,$B23,Data!$C:$C,R$1)=0,"",SUMIFS(Data!$S:$S,Data!$A:$A,$B23,Data!$C:$C,R$1))</f>
        <v>3.0571428571428569</v>
      </c>
      <c r="S23" s="39">
        <f>IF(SUMIFS(Data!$S:$S,Data!$A:$A,$B23,Data!$C:$C,S$1)=0,"",SUMIFS(Data!$S:$S,Data!$A:$A,$B23,Data!$C:$C,S$1))</f>
        <v>2.8344761904761904</v>
      </c>
      <c r="T23" s="39">
        <f>IF(SUMIFS(Data!$S:$S,Data!$A:$A,$B23,Data!$C:$C,T$1)=0,"",SUMIFS(Data!$S:$S,Data!$A:$A,$B23,Data!$C:$C,T$1))</f>
        <v>4.25</v>
      </c>
      <c r="U23" s="39">
        <f>IF(SUMIFS(Data!X:X,Data!A:A,B23)&gt;12,5,IF(SUMIFS(Data!X:X,Data!A:A,B23)&gt;9,3, IF(SUMIFS(Data!X:X,Data!A:A,B23)&gt;4,1,0)))</f>
        <v>0</v>
      </c>
      <c r="V23" s="39">
        <f t="shared" si="0"/>
        <v>32.688785714285714</v>
      </c>
      <c r="W23" s="39">
        <f>SUMIFS(Data!D:D,Data!A:A,B23)</f>
        <v>124.92999999999999</v>
      </c>
    </row>
    <row r="24" spans="1:23" ht="13.8" x14ac:dyDescent="0.3">
      <c r="A24" s="151">
        <v>23</v>
      </c>
      <c r="B24" s="38" t="s">
        <v>55</v>
      </c>
      <c r="C24" s="39">
        <f>IF(SUMIFS(Data!$S:$S,Data!$A:$A,$B24,Data!$C:$C,C$1)=0,"",SUMIFS(Data!$S:$S,Data!$A:$A,$B24,Data!$C:$C,C$1))</f>
        <v>4.6333333333333329</v>
      </c>
      <c r="D24" s="39" t="str">
        <f>IF(SUMIFS(Data!$S:$S,Data!$A:$A,$B24,Data!$C:$C,D$1)=0,"",SUMIFS(Data!$S:$S,Data!$A:$A,$B24,Data!$C:$C,D$1))</f>
        <v/>
      </c>
      <c r="E24" s="39">
        <f>IF(SUMIFS(Data!$S:$S,Data!$A:$A,$B24,Data!$C:$C,E$1)=0,"",SUMIFS(Data!$S:$S,Data!$A:$A,$B24,Data!$C:$C,E$1))</f>
        <v>4.6252619047619055</v>
      </c>
      <c r="F24" s="39">
        <f>IF(SUMIFS(Data!$S:$S,Data!$A:$A,$B24,Data!$C:$C,F$1)=0,"",SUMIFS(Data!$S:$S,Data!$A:$A,$B24,Data!$C:$C,F$1))</f>
        <v>2</v>
      </c>
      <c r="G24" s="39">
        <f>IF(SUMIFS(Data!$S:$S,Data!$A:$A,$B24,Data!$C:$C,G$1)=0,"",SUMIFS(Data!$S:$S,Data!$A:$A,$B24,Data!$C:$C,G$1))</f>
        <v>4.0586666666666664</v>
      </c>
      <c r="H24" s="39">
        <f>IF(SUMIFS(Data!$S:$S,Data!$A:$A,$B24,Data!$C:$C,H$1)=0,"",SUMIFS(Data!$S:$S,Data!$A:$A,$B24,Data!$C:$C,H$1))</f>
        <v>2.0625</v>
      </c>
      <c r="I24" s="39">
        <f>IF(SUMIFS(Data!$S:$S,Data!$A:$A,$B24,Data!$C:$C,I$1)=0,"",SUMIFS(Data!$S:$S,Data!$A:$A,$B24,Data!$C:$C,I$1))</f>
        <v>2.0499999999999998</v>
      </c>
      <c r="J24" s="39">
        <f>IF(SUMIFS(Data!$S:$S,Data!$A:$A,$B24,Data!$C:$C,J$1)=0,"",SUMIFS(Data!$S:$S,Data!$A:$A,$B24,Data!$C:$C,J$1))</f>
        <v>4.05</v>
      </c>
      <c r="K24" s="39">
        <f>IF(SUMIFS(Data!$S:$S,Data!$A:$A,$B24,Data!$C:$C,K$1)=0,"",SUMIFS(Data!$S:$S,Data!$A:$A,$B24,Data!$C:$C,K$1))</f>
        <v>2.5659999999999998</v>
      </c>
      <c r="L24" s="39">
        <f>IF(SUMIFS(Data!$S:$S,Data!$A:$A,$B24,Data!$C:$C,L$1)=0,"",SUMIFS(Data!$S:$S,Data!$A:$A,$B24,Data!$C:$C,L$1))</f>
        <v>2.094642857142857</v>
      </c>
      <c r="M24" s="39" t="str">
        <f>IF(SUMIFS(Data!$S:$S,Data!$A:$A,$B24,Data!$C:$C,M$1)=0,"",SUMIFS(Data!$S:$S,Data!$A:$A,$B24,Data!$C:$C,M$1))</f>
        <v/>
      </c>
      <c r="N24" s="39">
        <f>IF(SUMIFS(Data!$S:$S,Data!$A:$A,$B24,Data!$C:$C,N$1)=0,"",SUMIFS(Data!$S:$S,Data!$A:$A,$B24,Data!$C:$C,N$1))</f>
        <v>0.3125</v>
      </c>
      <c r="O24" s="39" t="str">
        <f>IF(SUMIFS(Data!$S:$S,Data!$A:$A,$B24,Data!$C:$C,O$1)=0,"",SUMIFS(Data!$S:$S,Data!$A:$A,$B24,Data!$C:$C,O$1))</f>
        <v/>
      </c>
      <c r="P24" s="39" t="str">
        <f>IF(SUMIFS(Data!$S:$S,Data!$A:$A,$B24,Data!$C:$C,P$1)=0,"",SUMIFS(Data!$S:$S,Data!$A:$A,$B24,Data!$C:$C,P$1))</f>
        <v/>
      </c>
      <c r="Q24" s="39" t="str">
        <f>IF(SUMIFS(Data!$S:$S,Data!$A:$A,$B24,Data!$C:$C,Q$1)=0,"",SUMIFS(Data!$S:$S,Data!$A:$A,$B24,Data!$C:$C,Q$1))</f>
        <v/>
      </c>
      <c r="R24" s="39" t="str">
        <f>IF(SUMIFS(Data!$S:$S,Data!$A:$A,$B24,Data!$C:$C,R$1)=0,"",SUMIFS(Data!$S:$S,Data!$A:$A,$B24,Data!$C:$C,R$1))</f>
        <v/>
      </c>
      <c r="S24" s="39" t="str">
        <f>IF(SUMIFS(Data!$S:$S,Data!$A:$A,$B24,Data!$C:$C,S$1)=0,"",SUMIFS(Data!$S:$S,Data!$A:$A,$B24,Data!$C:$C,S$1))</f>
        <v/>
      </c>
      <c r="T24" s="39" t="str">
        <f>IF(SUMIFS(Data!$S:$S,Data!$A:$A,$B24,Data!$C:$C,T$1)=0,"",SUMIFS(Data!$S:$S,Data!$A:$A,$B24,Data!$C:$C,T$1))</f>
        <v/>
      </c>
      <c r="U24" s="39">
        <f>IF(SUMIFS(Data!X:X,Data!A:A,B24)&gt;12,5,IF(SUMIFS(Data!X:X,Data!A:A,B24)&gt;9,3, IF(SUMIFS(Data!X:X,Data!A:A,B24)&gt;4,1,0)))</f>
        <v>1</v>
      </c>
      <c r="V24" s="39">
        <f t="shared" si="0"/>
        <v>29.452904761904765</v>
      </c>
      <c r="W24" s="39">
        <f>SUMIFS(Data!D:D,Data!A:A,B24)</f>
        <v>169.59</v>
      </c>
    </row>
    <row r="25" spans="1:23" ht="13.8" x14ac:dyDescent="0.3">
      <c r="A25" s="151">
        <v>24</v>
      </c>
      <c r="B25" s="38" t="s">
        <v>60</v>
      </c>
      <c r="C25" s="39" t="str">
        <f>IF(SUMIFS(Data!$S:$S,Data!$A:$A,$B25,Data!$C:$C,C$1)=0,"",SUMIFS(Data!$S:$S,Data!$A:$A,$B25,Data!$C:$C,C$1))</f>
        <v/>
      </c>
      <c r="D25" s="39">
        <f>IF(SUMIFS(Data!$S:$S,Data!$A:$A,$B25,Data!$C:$C,D$1)=0,"",SUMIFS(Data!$S:$S,Data!$A:$A,$B25,Data!$C:$C,D$1))</f>
        <v>1.3470238095238094</v>
      </c>
      <c r="E25" s="39">
        <f>IF(SUMIFS(Data!$S:$S,Data!$A:$A,$B25,Data!$C:$C,E$1)=0,"",SUMIFS(Data!$S:$S,Data!$A:$A,$B25,Data!$C:$C,E$1))</f>
        <v>2.0410714285714286</v>
      </c>
      <c r="F25" s="39">
        <f>IF(SUMIFS(Data!$S:$S,Data!$A:$A,$B25,Data!$C:$C,F$1)=0,"",SUMIFS(Data!$S:$S,Data!$A:$A,$B25,Data!$C:$C,F$1))</f>
        <v>1.3470238095238094</v>
      </c>
      <c r="G25" s="39">
        <f>IF(SUMIFS(Data!$S:$S,Data!$A:$A,$B25,Data!$C:$C,G$1)=0,"",SUMIFS(Data!$S:$S,Data!$A:$A,$B25,Data!$C:$C,G$1))</f>
        <v>2.0392857142857141</v>
      </c>
      <c r="H25" s="39">
        <f>IF(SUMIFS(Data!$S:$S,Data!$A:$A,$B25,Data!$C:$C,H$1)=0,"",SUMIFS(Data!$S:$S,Data!$A:$A,$B25,Data!$C:$C,H$1))</f>
        <v>1.75</v>
      </c>
      <c r="I25" s="39">
        <f>IF(SUMIFS(Data!$S:$S,Data!$A:$A,$B25,Data!$C:$C,I$1)=0,"",SUMIFS(Data!$S:$S,Data!$A:$A,$B25,Data!$C:$C,I$1))</f>
        <v>1.3476190476190475</v>
      </c>
      <c r="J25" s="39">
        <f>IF(SUMIFS(Data!$S:$S,Data!$A:$A,$B25,Data!$C:$C,J$1)=0,"",SUMIFS(Data!$S:$S,Data!$A:$A,$B25,Data!$C:$C,J$1))</f>
        <v>2.0410714285714286</v>
      </c>
      <c r="K25" s="39">
        <f>IF(SUMIFS(Data!$S:$S,Data!$A:$A,$B25,Data!$C:$C,K$1)=0,"",SUMIFS(Data!$S:$S,Data!$A:$A,$B25,Data!$C:$C,K$1))</f>
        <v>1.35</v>
      </c>
      <c r="L25" s="39" t="str">
        <f>IF(SUMIFS(Data!$S:$S,Data!$A:$A,$B25,Data!$C:$C,L$1)=0,"",SUMIFS(Data!$S:$S,Data!$A:$A,$B25,Data!$C:$C,L$1))</f>
        <v/>
      </c>
      <c r="M25" s="39" t="str">
        <f>IF(SUMIFS(Data!$S:$S,Data!$A:$A,$B25,Data!$C:$C,M$1)=0,"",SUMIFS(Data!$S:$S,Data!$A:$A,$B25,Data!$C:$C,M$1))</f>
        <v/>
      </c>
      <c r="N25" s="39">
        <f>IF(SUMIFS(Data!$S:$S,Data!$A:$A,$B25,Data!$C:$C,N$1)=0,"",SUMIFS(Data!$S:$S,Data!$A:$A,$B25,Data!$C:$C,N$1))</f>
        <v>1.75</v>
      </c>
      <c r="O25" s="39" t="str">
        <f>IF(SUMIFS(Data!$S:$S,Data!$A:$A,$B25,Data!$C:$C,O$1)=0,"",SUMIFS(Data!$S:$S,Data!$A:$A,$B25,Data!$C:$C,O$1))</f>
        <v/>
      </c>
      <c r="P25" s="39" t="str">
        <f>IF(SUMIFS(Data!$S:$S,Data!$A:$A,$B25,Data!$C:$C,P$1)=0,"",SUMIFS(Data!$S:$S,Data!$A:$A,$B25,Data!$C:$C,P$1))</f>
        <v/>
      </c>
      <c r="Q25" s="39" t="str">
        <f>IF(SUMIFS(Data!$S:$S,Data!$A:$A,$B25,Data!$C:$C,Q$1)=0,"",SUMIFS(Data!$S:$S,Data!$A:$A,$B25,Data!$C:$C,Q$1))</f>
        <v/>
      </c>
      <c r="R25" s="39">
        <f>IF(SUMIFS(Data!$S:$S,Data!$A:$A,$B25,Data!$C:$C,R$1)=0,"",SUMIFS(Data!$S:$S,Data!$A:$A,$B25,Data!$C:$C,R$1))</f>
        <v>1.3494047619047618</v>
      </c>
      <c r="S25" s="39">
        <f>IF(SUMIFS(Data!$S:$S,Data!$A:$A,$B25,Data!$C:$C,S$1)=0,"",SUMIFS(Data!$S:$S,Data!$A:$A,$B25,Data!$C:$C,S$1))</f>
        <v>1.6988095238095238</v>
      </c>
      <c r="T25" s="39">
        <f>IF(SUMIFS(Data!$S:$S,Data!$A:$A,$B25,Data!$C:$C,T$1)=0,"",SUMIFS(Data!$S:$S,Data!$A:$A,$B25,Data!$C:$C,T$1))</f>
        <v>2.375</v>
      </c>
      <c r="U25" s="39">
        <f>IF(SUMIFS(Data!X:X,Data!A:A,B25)&gt;12,5,IF(SUMIFS(Data!X:X,Data!A:A,B25)&gt;9,3, IF(SUMIFS(Data!X:X,Data!A:A,B25)&gt;4,1,0)))</f>
        <v>1</v>
      </c>
      <c r="V25" s="39">
        <f t="shared" si="0"/>
        <v>21.436309523809523</v>
      </c>
      <c r="W25" s="39">
        <f>SUMIFS(Data!D:D,Data!A:A,B25)</f>
        <v>90.4</v>
      </c>
    </row>
    <row r="26" spans="1:23" ht="13.8" x14ac:dyDescent="0.3">
      <c r="A26" s="151">
        <v>25</v>
      </c>
      <c r="B26" s="38" t="s">
        <v>127</v>
      </c>
      <c r="C26" s="39" t="str">
        <f>IF(SUMIFS(Data!$S:$S,Data!$A:$A,$B26,Data!$C:$C,C$1)=0,"",SUMIFS(Data!$S:$S,Data!$A:$A,$B26,Data!$C:$C,C$1))</f>
        <v/>
      </c>
      <c r="D26" s="39">
        <f>IF(SUMIFS(Data!$S:$S,Data!$A:$A,$B26,Data!$C:$C,D$1)=0,"",SUMIFS(Data!$S:$S,Data!$A:$A,$B26,Data!$C:$C,D$1))</f>
        <v>4.5017857142857149</v>
      </c>
      <c r="E26" s="39">
        <f>IF(SUMIFS(Data!$S:$S,Data!$A:$A,$B26,Data!$C:$C,E$1)=0,"",SUMIFS(Data!$S:$S,Data!$A:$A,$B26,Data!$C:$C,E$1))</f>
        <v>4.3049761904761903</v>
      </c>
      <c r="F26" s="39">
        <f>IF(SUMIFS(Data!$S:$S,Data!$A:$A,$B26,Data!$C:$C,F$1)=0,"",SUMIFS(Data!$S:$S,Data!$A:$A,$B26,Data!$C:$C,F$1))</f>
        <v>3.3660714285714288</v>
      </c>
      <c r="G26" s="39" t="str">
        <f>IF(SUMIFS(Data!$S:$S,Data!$A:$A,$B26,Data!$C:$C,G$1)=0,"",SUMIFS(Data!$S:$S,Data!$A:$A,$B26,Data!$C:$C,G$1))</f>
        <v/>
      </c>
      <c r="H26" s="39">
        <f>IF(SUMIFS(Data!$S:$S,Data!$A:$A,$B26,Data!$C:$C,H$1)=0,"",SUMIFS(Data!$S:$S,Data!$A:$A,$B26,Data!$C:$C,H$1))</f>
        <v>2.3125</v>
      </c>
      <c r="I26" s="39" t="str">
        <f>IF(SUMIFS(Data!$S:$S,Data!$A:$A,$B26,Data!$C:$C,I$1)=0,"",SUMIFS(Data!$S:$S,Data!$A:$A,$B26,Data!$C:$C,I$1))</f>
        <v/>
      </c>
      <c r="J26" s="39" t="str">
        <f>IF(SUMIFS(Data!$S:$S,Data!$A:$A,$B26,Data!$C:$C,J$1)=0,"",SUMIFS(Data!$S:$S,Data!$A:$A,$B26,Data!$C:$C,J$1))</f>
        <v/>
      </c>
      <c r="K26" s="39" t="str">
        <f>IF(SUMIFS(Data!$S:$S,Data!$A:$A,$B26,Data!$C:$C,K$1)=0,"",SUMIFS(Data!$S:$S,Data!$A:$A,$B26,Data!$C:$C,K$1))</f>
        <v/>
      </c>
      <c r="L26" s="39" t="str">
        <f>IF(SUMIFS(Data!$S:$S,Data!$A:$A,$B26,Data!$C:$C,L$1)=0,"",SUMIFS(Data!$S:$S,Data!$A:$A,$B26,Data!$C:$C,L$1))</f>
        <v/>
      </c>
      <c r="M26" s="39" t="str">
        <f>IF(SUMIFS(Data!$S:$S,Data!$A:$A,$B26,Data!$C:$C,M$1)=0,"",SUMIFS(Data!$S:$S,Data!$A:$A,$B26,Data!$C:$C,M$1))</f>
        <v/>
      </c>
      <c r="N26" s="39" t="str">
        <f>IF(SUMIFS(Data!$S:$S,Data!$A:$A,$B26,Data!$C:$C,N$1)=0,"",SUMIFS(Data!$S:$S,Data!$A:$A,$B26,Data!$C:$C,N$1))</f>
        <v/>
      </c>
      <c r="O26" s="39" t="str">
        <f>IF(SUMIFS(Data!$S:$S,Data!$A:$A,$B26,Data!$C:$C,O$1)=0,"",SUMIFS(Data!$S:$S,Data!$A:$A,$B26,Data!$C:$C,O$1))</f>
        <v/>
      </c>
      <c r="P26" s="39" t="str">
        <f>IF(SUMIFS(Data!$S:$S,Data!$A:$A,$B26,Data!$C:$C,P$1)=0,"",SUMIFS(Data!$S:$S,Data!$A:$A,$B26,Data!$C:$C,P$1))</f>
        <v/>
      </c>
      <c r="Q26" s="39" t="str">
        <f>IF(SUMIFS(Data!$S:$S,Data!$A:$A,$B26,Data!$C:$C,Q$1)=0,"",SUMIFS(Data!$S:$S,Data!$A:$A,$B26,Data!$C:$C,Q$1))</f>
        <v/>
      </c>
      <c r="R26" s="39" t="str">
        <f>IF(SUMIFS(Data!$S:$S,Data!$A:$A,$B26,Data!$C:$C,R$1)=0,"",SUMIFS(Data!$S:$S,Data!$A:$A,$B26,Data!$C:$C,R$1))</f>
        <v/>
      </c>
      <c r="S26" s="39" t="str">
        <f>IF(SUMIFS(Data!$S:$S,Data!$A:$A,$B26,Data!$C:$C,S$1)=0,"",SUMIFS(Data!$S:$S,Data!$A:$A,$B26,Data!$C:$C,S$1))</f>
        <v/>
      </c>
      <c r="T26" s="39" t="str">
        <f>IF(SUMIFS(Data!$S:$S,Data!$A:$A,$B26,Data!$C:$C,T$1)=0,"",SUMIFS(Data!$S:$S,Data!$A:$A,$B26,Data!$C:$C,T$1))</f>
        <v/>
      </c>
      <c r="U26" s="39">
        <f>IF(SUMIFS(Data!X:X,Data!A:A,B26)&gt;12,5,IF(SUMIFS(Data!X:X,Data!A:A,B26)&gt;9,3, IF(SUMIFS(Data!X:X,Data!A:A,B26)&gt;4,1,0)))</f>
        <v>0</v>
      </c>
      <c r="V26" s="39">
        <f t="shared" si="0"/>
        <v>14.485333333333335</v>
      </c>
      <c r="W26" s="39">
        <f>SUMIFS(Data!D:D,Data!A:A,B26)</f>
        <v>35.270000000000003</v>
      </c>
    </row>
    <row r="27" spans="1:23" ht="13.8" x14ac:dyDescent="0.3">
      <c r="A27" s="151">
        <v>26</v>
      </c>
      <c r="B27" s="38" t="s">
        <v>43</v>
      </c>
      <c r="C27" s="39" t="str">
        <f>IF(SUMIFS(Data!$S:$S,Data!$A:$A,$B27,Data!$C:$C,C$1)=0,"",SUMIFS(Data!$S:$S,Data!$A:$A,$B27,Data!$C:$C,C$1))</f>
        <v/>
      </c>
      <c r="D27" s="39" t="str">
        <f>IF(SUMIFS(Data!$S:$S,Data!$A:$A,$B27,Data!$C:$C,D$1)=0,"",SUMIFS(Data!$S:$S,Data!$A:$A,$B27,Data!$C:$C,D$1))</f>
        <v/>
      </c>
      <c r="E27" s="39">
        <f>IF(SUMIFS(Data!$S:$S,Data!$A:$A,$B27,Data!$C:$C,E$1)=0,"",SUMIFS(Data!$S:$S,Data!$A:$A,$B27,Data!$C:$C,E$1))</f>
        <v>2.676190476190476</v>
      </c>
      <c r="F27" s="39">
        <f>IF(SUMIFS(Data!$S:$S,Data!$A:$A,$B27,Data!$C:$C,F$1)=0,"",SUMIFS(Data!$S:$S,Data!$A:$A,$B27,Data!$C:$C,F$1))</f>
        <v>3.0488095238095236</v>
      </c>
      <c r="G27" s="39">
        <f>IF(SUMIFS(Data!$S:$S,Data!$A:$A,$B27,Data!$C:$C,G$1)=0,"",SUMIFS(Data!$S:$S,Data!$A:$A,$B27,Data!$C:$C,G$1))</f>
        <v>2.1464285714285714</v>
      </c>
      <c r="H27" s="39">
        <f>IF(SUMIFS(Data!$S:$S,Data!$A:$A,$B27,Data!$C:$C,H$1)=0,"",SUMIFS(Data!$S:$S,Data!$A:$A,$B27,Data!$C:$C,H$1))</f>
        <v>2.25</v>
      </c>
      <c r="I27" s="39" t="str">
        <f>IF(SUMIFS(Data!$S:$S,Data!$A:$A,$B27,Data!$C:$C,I$1)=0,"",SUMIFS(Data!$S:$S,Data!$A:$A,$B27,Data!$C:$C,I$1))</f>
        <v/>
      </c>
      <c r="J27" s="39" t="str">
        <f>IF(SUMIFS(Data!$S:$S,Data!$A:$A,$B27,Data!$C:$C,J$1)=0,"",SUMIFS(Data!$S:$S,Data!$A:$A,$B27,Data!$C:$C,J$1))</f>
        <v/>
      </c>
      <c r="K27" s="39" t="str">
        <f>IF(SUMIFS(Data!$S:$S,Data!$A:$A,$B27,Data!$C:$C,K$1)=0,"",SUMIFS(Data!$S:$S,Data!$A:$A,$B27,Data!$C:$C,K$1))</f>
        <v/>
      </c>
      <c r="L27" s="39" t="str">
        <f>IF(SUMIFS(Data!$S:$S,Data!$A:$A,$B27,Data!$C:$C,L$1)=0,"",SUMIFS(Data!$S:$S,Data!$A:$A,$B27,Data!$C:$C,L$1))</f>
        <v/>
      </c>
      <c r="M27" s="39" t="str">
        <f>IF(SUMIFS(Data!$S:$S,Data!$A:$A,$B27,Data!$C:$C,M$1)=0,"",SUMIFS(Data!$S:$S,Data!$A:$A,$B27,Data!$C:$C,M$1))</f>
        <v/>
      </c>
      <c r="N27" s="39" t="str">
        <f>IF(SUMIFS(Data!$S:$S,Data!$A:$A,$B27,Data!$C:$C,N$1)=0,"",SUMIFS(Data!$S:$S,Data!$A:$A,$B27,Data!$C:$C,N$1))</f>
        <v/>
      </c>
      <c r="O27" s="39" t="str">
        <f>IF(SUMIFS(Data!$S:$S,Data!$A:$A,$B27,Data!$C:$C,O$1)=0,"",SUMIFS(Data!$S:$S,Data!$A:$A,$B27,Data!$C:$C,O$1))</f>
        <v/>
      </c>
      <c r="P27" s="39" t="str">
        <f>IF(SUMIFS(Data!$S:$S,Data!$A:$A,$B27,Data!$C:$C,P$1)=0,"",SUMIFS(Data!$S:$S,Data!$A:$A,$B27,Data!$C:$C,P$1))</f>
        <v/>
      </c>
      <c r="Q27" s="39" t="str">
        <f>IF(SUMIFS(Data!$S:$S,Data!$A:$A,$B27,Data!$C:$C,Q$1)=0,"",SUMIFS(Data!$S:$S,Data!$A:$A,$B27,Data!$C:$C,Q$1))</f>
        <v/>
      </c>
      <c r="R27" s="39" t="str">
        <f>IF(SUMIFS(Data!$S:$S,Data!$A:$A,$B27,Data!$C:$C,R$1)=0,"",SUMIFS(Data!$S:$S,Data!$A:$A,$B27,Data!$C:$C,R$1))</f>
        <v/>
      </c>
      <c r="S27" s="39" t="str">
        <f>IF(SUMIFS(Data!$S:$S,Data!$A:$A,$B27,Data!$C:$C,S$1)=0,"",SUMIFS(Data!$S:$S,Data!$A:$A,$B27,Data!$C:$C,S$1))</f>
        <v/>
      </c>
      <c r="T27" s="39" t="str">
        <f>IF(SUMIFS(Data!$S:$S,Data!$A:$A,$B27,Data!$C:$C,T$1)=0,"",SUMIFS(Data!$S:$S,Data!$A:$A,$B27,Data!$C:$C,T$1))</f>
        <v/>
      </c>
      <c r="U27" s="39">
        <f>IF(SUMIFS(Data!X:X,Data!A:A,B27)&gt;12,5,IF(SUMIFS(Data!X:X,Data!A:A,B27)&gt;9,3, IF(SUMIFS(Data!X:X,Data!A:A,B27)&gt;4,1,0)))</f>
        <v>0</v>
      </c>
      <c r="V27" s="39">
        <f t="shared" si="0"/>
        <v>10.12142857142857</v>
      </c>
      <c r="W27" s="39">
        <f>SUMIFS(Data!D:D,Data!A:A,B27)</f>
        <v>21.400000000000002</v>
      </c>
    </row>
    <row r="28" spans="1:23" ht="13.8" x14ac:dyDescent="0.3">
      <c r="A28" s="151">
        <v>27</v>
      </c>
      <c r="B28" s="38" t="s">
        <v>101</v>
      </c>
      <c r="C28" s="39" t="str">
        <f>IF(SUMIFS(Data!$S:$S,Data!$A:$A,$B28,Data!$C:$C,C$1)=0,"",SUMIFS(Data!$S:$S,Data!$A:$A,$B28,Data!$C:$C,C$1))</f>
        <v/>
      </c>
      <c r="D28" s="39" t="str">
        <f>IF(SUMIFS(Data!$S:$S,Data!$A:$A,$B28,Data!$C:$C,D$1)=0,"",SUMIFS(Data!$S:$S,Data!$A:$A,$B28,Data!$C:$C,D$1))</f>
        <v/>
      </c>
      <c r="E28" s="39" t="str">
        <f>IF(SUMIFS(Data!$S:$S,Data!$A:$A,$B28,Data!$C:$C,E$1)=0,"",SUMIFS(Data!$S:$S,Data!$A:$A,$B28,Data!$C:$C,E$1))</f>
        <v/>
      </c>
      <c r="F28" s="39" t="str">
        <f>IF(SUMIFS(Data!$S:$S,Data!$A:$A,$B28,Data!$C:$C,F$1)=0,"",SUMIFS(Data!$S:$S,Data!$A:$A,$B28,Data!$C:$C,F$1))</f>
        <v/>
      </c>
      <c r="G28" s="39" t="str">
        <f>IF(SUMIFS(Data!$S:$S,Data!$A:$A,$B28,Data!$C:$C,G$1)=0,"",SUMIFS(Data!$S:$S,Data!$A:$A,$B28,Data!$C:$C,G$1))</f>
        <v/>
      </c>
      <c r="H28" s="39" t="str">
        <f>IF(SUMIFS(Data!$S:$S,Data!$A:$A,$B28,Data!$C:$C,H$1)=0,"",SUMIFS(Data!$S:$S,Data!$A:$A,$B28,Data!$C:$C,H$1))</f>
        <v/>
      </c>
      <c r="I28" s="39" t="str">
        <f>IF(SUMIFS(Data!$S:$S,Data!$A:$A,$B28,Data!$C:$C,I$1)=0,"",SUMIFS(Data!$S:$S,Data!$A:$A,$B28,Data!$C:$C,I$1))</f>
        <v/>
      </c>
      <c r="J28" s="39" t="str">
        <f>IF(SUMIFS(Data!$S:$S,Data!$A:$A,$B28,Data!$C:$C,J$1)=0,"",SUMIFS(Data!$S:$S,Data!$A:$A,$B28,Data!$C:$C,J$1))</f>
        <v/>
      </c>
      <c r="K28" s="39">
        <f>IF(SUMIFS(Data!$S:$S,Data!$A:$A,$B28,Data!$C:$C,K$1)=0,"",SUMIFS(Data!$S:$S,Data!$A:$A,$B28,Data!$C:$C,K$1))</f>
        <v>3.4169999999999998</v>
      </c>
      <c r="L28" s="39" t="str">
        <f>IF(SUMIFS(Data!$S:$S,Data!$A:$A,$B28,Data!$C:$C,L$1)=0,"",SUMIFS(Data!$S:$S,Data!$A:$A,$B28,Data!$C:$C,L$1))</f>
        <v/>
      </c>
      <c r="M28" s="39" t="str">
        <f>IF(SUMIFS(Data!$S:$S,Data!$A:$A,$B28,Data!$C:$C,M$1)=0,"",SUMIFS(Data!$S:$S,Data!$A:$A,$B28,Data!$C:$C,M$1))</f>
        <v/>
      </c>
      <c r="N28" s="39">
        <f>IF(SUMIFS(Data!$S:$S,Data!$A:$A,$B28,Data!$C:$C,N$1)=0,"",SUMIFS(Data!$S:$S,Data!$A:$A,$B28,Data!$C:$C,N$1))</f>
        <v>2</v>
      </c>
      <c r="O28" s="39" t="str">
        <f>IF(SUMIFS(Data!$S:$S,Data!$A:$A,$B28,Data!$C:$C,O$1)=0,"",SUMIFS(Data!$S:$S,Data!$A:$A,$B28,Data!$C:$C,O$1))</f>
        <v/>
      </c>
      <c r="P28" s="39" t="str">
        <f>IF(SUMIFS(Data!$S:$S,Data!$A:$A,$B28,Data!$C:$C,P$1)=0,"",SUMIFS(Data!$S:$S,Data!$A:$A,$B28,Data!$C:$C,P$1))</f>
        <v/>
      </c>
      <c r="Q28" s="39" t="str">
        <f>IF(SUMIFS(Data!$S:$S,Data!$A:$A,$B28,Data!$C:$C,Q$1)=0,"",SUMIFS(Data!$S:$S,Data!$A:$A,$B28,Data!$C:$C,Q$1))</f>
        <v/>
      </c>
      <c r="R28" s="39" t="str">
        <f>IF(SUMIFS(Data!$S:$S,Data!$A:$A,$B28,Data!$C:$C,R$1)=0,"",SUMIFS(Data!$S:$S,Data!$A:$A,$B28,Data!$C:$C,R$1))</f>
        <v/>
      </c>
      <c r="S28" s="39" t="str">
        <f>IF(SUMIFS(Data!$S:$S,Data!$A:$A,$B28,Data!$C:$C,S$1)=0,"",SUMIFS(Data!$S:$S,Data!$A:$A,$B28,Data!$C:$C,S$1))</f>
        <v/>
      </c>
      <c r="T28" s="39" t="str">
        <f>IF(SUMIFS(Data!$S:$S,Data!$A:$A,$B28,Data!$C:$C,T$1)=0,"",SUMIFS(Data!$S:$S,Data!$A:$A,$B28,Data!$C:$C,T$1))</f>
        <v/>
      </c>
      <c r="U28" s="39">
        <f>IF(SUMIFS(Data!X:X,Data!A:A,B28)&gt;12,5,IF(SUMIFS(Data!X:X,Data!A:A,B28)&gt;9,3, IF(SUMIFS(Data!X:X,Data!A:A,B28)&gt;4,1,0)))</f>
        <v>0</v>
      </c>
      <c r="V28" s="39">
        <f t="shared" si="0"/>
        <v>5.4169999999999998</v>
      </c>
      <c r="W28" s="39">
        <f>SUMIFS(Data!D:D,Data!A:A,B28)</f>
        <v>42.3</v>
      </c>
    </row>
    <row r="29" spans="1:23" ht="13.8" x14ac:dyDescent="0.3">
      <c r="A29" s="151">
        <v>28</v>
      </c>
      <c r="B29" s="38" t="s">
        <v>314</v>
      </c>
      <c r="C29" s="39" t="str">
        <f>IF(SUMIFS(Data!$S:$S,Data!$A:$A,$B29,Data!$C:$C,C$1)=0,"",SUMIFS(Data!$S:$S,Data!$A:$A,$B29,Data!$C:$C,C$1))</f>
        <v/>
      </c>
      <c r="D29" s="39" t="str">
        <f>IF(SUMIFS(Data!$S:$S,Data!$A:$A,$B29,Data!$C:$C,D$1)=0,"",SUMIFS(Data!$S:$S,Data!$A:$A,$B29,Data!$C:$C,D$1))</f>
        <v/>
      </c>
      <c r="E29" s="39" t="str">
        <f>IF(SUMIFS(Data!$S:$S,Data!$A:$A,$B29,Data!$C:$C,E$1)=0,"",SUMIFS(Data!$S:$S,Data!$A:$A,$B29,Data!$C:$C,E$1))</f>
        <v/>
      </c>
      <c r="F29" s="39" t="str">
        <f>IF(SUMIFS(Data!$S:$S,Data!$A:$A,$B29,Data!$C:$C,F$1)=0,"",SUMIFS(Data!$S:$S,Data!$A:$A,$B29,Data!$C:$C,F$1))</f>
        <v/>
      </c>
      <c r="G29" s="39" t="str">
        <f>IF(SUMIFS(Data!$S:$S,Data!$A:$A,$B29,Data!$C:$C,G$1)=0,"",SUMIFS(Data!$S:$S,Data!$A:$A,$B29,Data!$C:$C,G$1))</f>
        <v/>
      </c>
      <c r="H29" s="39" t="str">
        <f>IF(SUMIFS(Data!$S:$S,Data!$A:$A,$B29,Data!$C:$C,H$1)=0,"",SUMIFS(Data!$S:$S,Data!$A:$A,$B29,Data!$C:$C,H$1))</f>
        <v/>
      </c>
      <c r="I29" s="39" t="str">
        <f>IF(SUMIFS(Data!$S:$S,Data!$A:$A,$B29,Data!$C:$C,I$1)=0,"",SUMIFS(Data!$S:$S,Data!$A:$A,$B29,Data!$C:$C,I$1))</f>
        <v/>
      </c>
      <c r="J29" s="39" t="str">
        <f>IF(SUMIFS(Data!$S:$S,Data!$A:$A,$B29,Data!$C:$C,J$1)=0,"",SUMIFS(Data!$S:$S,Data!$A:$A,$B29,Data!$C:$C,J$1))</f>
        <v/>
      </c>
      <c r="K29" s="39" t="str">
        <f>IF(SUMIFS(Data!$S:$S,Data!$A:$A,$B29,Data!$C:$C,K$1)=0,"",SUMIFS(Data!$S:$S,Data!$A:$A,$B29,Data!$C:$C,K$1))</f>
        <v/>
      </c>
      <c r="L29" s="39" t="str">
        <f>IF(SUMIFS(Data!$S:$S,Data!$A:$A,$B29,Data!$C:$C,L$1)=0,"",SUMIFS(Data!$S:$S,Data!$A:$A,$B29,Data!$C:$C,L$1))</f>
        <v/>
      </c>
      <c r="M29" s="39" t="str">
        <f>IF(SUMIFS(Data!$S:$S,Data!$A:$A,$B29,Data!$C:$C,M$1)=0,"",SUMIFS(Data!$S:$S,Data!$A:$A,$B29,Data!$C:$C,M$1))</f>
        <v/>
      </c>
      <c r="N29" s="39" t="str">
        <f>IF(SUMIFS(Data!$S:$S,Data!$A:$A,$B29,Data!$C:$C,N$1)=0,"",SUMIFS(Data!$S:$S,Data!$A:$A,$B29,Data!$C:$C,N$1))</f>
        <v/>
      </c>
      <c r="O29" s="39" t="str">
        <f>IF(SUMIFS(Data!$S:$S,Data!$A:$A,$B29,Data!$C:$C,O$1)=0,"",SUMIFS(Data!$S:$S,Data!$A:$A,$B29,Data!$C:$C,O$1))</f>
        <v/>
      </c>
      <c r="P29" s="39">
        <f>IF(SUMIFS(Data!$S:$S,Data!$A:$A,$B29,Data!$C:$C,P$1)=0,"",SUMIFS(Data!$S:$S,Data!$A:$A,$B29,Data!$C:$C,P$1))</f>
        <v>3.6130952380952381</v>
      </c>
      <c r="Q29" s="39" t="str">
        <f>IF(SUMIFS(Data!$S:$S,Data!$A:$A,$B29,Data!$C:$C,Q$1)=0,"",SUMIFS(Data!$S:$S,Data!$A:$A,$B29,Data!$C:$C,Q$1))</f>
        <v/>
      </c>
      <c r="R29" s="39" t="str">
        <f>IF(SUMIFS(Data!$S:$S,Data!$A:$A,$B29,Data!$C:$C,R$1)=0,"",SUMIFS(Data!$S:$S,Data!$A:$A,$B29,Data!$C:$C,R$1))</f>
        <v/>
      </c>
      <c r="S29" s="39" t="str">
        <f>IF(SUMIFS(Data!$S:$S,Data!$A:$A,$B29,Data!$C:$C,S$1)=0,"",SUMIFS(Data!$S:$S,Data!$A:$A,$B29,Data!$C:$C,S$1))</f>
        <v/>
      </c>
      <c r="T29" s="39">
        <f>IF(SUMIFS(Data!$S:$S,Data!$A:$A,$B29,Data!$C:$C,T$1)=0,"",SUMIFS(Data!$S:$S,Data!$A:$A,$B29,Data!$C:$C,T$1))</f>
        <v>1.375</v>
      </c>
      <c r="U29" s="39">
        <f>IF(SUMIFS(Data!X:X,Data!A:A,B29)&gt;12,5,IF(SUMIFS(Data!X:X,Data!A:A,B29)&gt;9,3, IF(SUMIFS(Data!X:X,Data!A:A,B29)&gt;4,1,0)))</f>
        <v>0</v>
      </c>
      <c r="V29" s="39">
        <f t="shared" si="0"/>
        <v>4.9880952380952381</v>
      </c>
      <c r="W29" s="39">
        <f>SUMIFS(Data!D:D,Data!A:A,B29)</f>
        <v>4</v>
      </c>
    </row>
    <row r="30" spans="1:23" ht="13.8" x14ac:dyDescent="0.3">
      <c r="A30" s="151">
        <v>29</v>
      </c>
      <c r="B30" s="38"/>
      <c r="C30" s="39" t="str">
        <f>IF(SUMIFS(Data!$S:$S,Data!$A:$A,$B30,Data!$C:$C,C$1)=0,"",SUMIFS(Data!$S:$S,Data!$A:$A,$B30,Data!$C:$C,C$1))</f>
        <v/>
      </c>
      <c r="D30" s="39" t="str">
        <f>IF(SUMIFS(Data!$S:$S,Data!$A:$A,$B30,Data!$C:$C,D$1)=0,"",SUMIFS(Data!$S:$S,Data!$A:$A,$B30,Data!$C:$C,D$1))</f>
        <v/>
      </c>
      <c r="E30" s="39" t="str">
        <f>IF(SUMIFS(Data!$S:$S,Data!$A:$A,$B30,Data!$C:$C,E$1)=0,"",SUMIFS(Data!$S:$S,Data!$A:$A,$B30,Data!$C:$C,E$1))</f>
        <v/>
      </c>
      <c r="F30" s="39" t="str">
        <f>IF(SUMIFS(Data!$S:$S,Data!$A:$A,$B30,Data!$C:$C,F$1)=0,"",SUMIFS(Data!$S:$S,Data!$A:$A,$B30,Data!$C:$C,F$1))</f>
        <v/>
      </c>
      <c r="G30" s="39" t="str">
        <f>IF(SUMIFS(Data!$S:$S,Data!$A:$A,$B30,Data!$C:$C,G$1)=0,"",SUMIFS(Data!$S:$S,Data!$A:$A,$B30,Data!$C:$C,G$1))</f>
        <v/>
      </c>
      <c r="H30" s="39" t="str">
        <f>IF(SUMIFS(Data!$S:$S,Data!$A:$A,$B30,Data!$C:$C,H$1)=0,"",SUMIFS(Data!$S:$S,Data!$A:$A,$B30,Data!$C:$C,H$1))</f>
        <v/>
      </c>
      <c r="I30" s="39" t="str">
        <f>IF(SUMIFS(Data!$S:$S,Data!$A:$A,$B30,Data!$C:$C,I$1)=0,"",SUMIFS(Data!$S:$S,Data!$A:$A,$B30,Data!$C:$C,I$1))</f>
        <v/>
      </c>
      <c r="J30" s="39" t="str">
        <f>IF(SUMIFS(Data!$S:$S,Data!$A:$A,$B30,Data!$C:$C,J$1)=0,"",SUMIFS(Data!$S:$S,Data!$A:$A,$B30,Data!$C:$C,J$1))</f>
        <v/>
      </c>
      <c r="K30" s="39" t="str">
        <f>IF(SUMIFS(Data!$S:$S,Data!$A:$A,$B30,Data!$C:$C,K$1)=0,"",SUMIFS(Data!$S:$S,Data!$A:$A,$B30,Data!$C:$C,K$1))</f>
        <v/>
      </c>
      <c r="L30" s="39" t="str">
        <f>IF(SUMIFS(Data!$S:$S,Data!$A:$A,$B30,Data!$C:$C,L$1)=0,"",SUMIFS(Data!$S:$S,Data!$A:$A,$B30,Data!$C:$C,L$1))</f>
        <v/>
      </c>
      <c r="M30" s="39" t="str">
        <f>IF(SUMIFS(Data!$S:$S,Data!$A:$A,$B30,Data!$C:$C,M$1)=0,"",SUMIFS(Data!$S:$S,Data!$A:$A,$B30,Data!$C:$C,M$1))</f>
        <v/>
      </c>
      <c r="N30" s="39" t="str">
        <f>IF(SUMIFS(Data!$S:$S,Data!$A:$A,$B30,Data!$C:$C,N$1)=0,"",SUMIFS(Data!$S:$S,Data!$A:$A,$B30,Data!$C:$C,N$1))</f>
        <v/>
      </c>
      <c r="O30" s="39" t="str">
        <f>IF(SUMIFS(Data!$S:$S,Data!$A:$A,$B30,Data!$C:$C,O$1)=0,"",SUMIFS(Data!$S:$S,Data!$A:$A,$B30,Data!$C:$C,O$1))</f>
        <v/>
      </c>
      <c r="P30" s="39" t="str">
        <f>IF(SUMIFS(Data!$S:$S,Data!$A:$A,$B30,Data!$C:$C,P$1)=0,"",SUMIFS(Data!$S:$S,Data!$A:$A,$B30,Data!$C:$C,P$1))</f>
        <v/>
      </c>
      <c r="Q30" s="39" t="str">
        <f>IF(SUMIFS(Data!$S:$S,Data!$A:$A,$B30,Data!$C:$C,Q$1)=0,"",SUMIFS(Data!$S:$S,Data!$A:$A,$B30,Data!$C:$C,Q$1))</f>
        <v/>
      </c>
      <c r="R30" s="39" t="str">
        <f>IF(SUMIFS(Data!$S:$S,Data!$A:$A,$B30,Data!$C:$C,R$1)=0,"",SUMIFS(Data!$S:$S,Data!$A:$A,$B30,Data!$C:$C,R$1))</f>
        <v/>
      </c>
      <c r="S30" s="39" t="str">
        <f>IF(SUMIFS(Data!$S:$S,Data!$A:$A,$B30,Data!$C:$C,S$1)=0,"",SUMIFS(Data!$S:$S,Data!$A:$A,$B30,Data!$C:$C,S$1))</f>
        <v/>
      </c>
      <c r="T30" s="39" t="str">
        <f>IF(SUMIFS(Data!$S:$S,Data!$A:$A,$B30,Data!$C:$C,T$1)=0,"",SUMIFS(Data!$S:$S,Data!$A:$A,$B30,Data!$C:$C,T$1))</f>
        <v/>
      </c>
      <c r="U30" s="39"/>
      <c r="V30" s="39"/>
      <c r="W30" s="39"/>
    </row>
    <row r="31" spans="1:23" ht="13.8" x14ac:dyDescent="0.3">
      <c r="A31" s="151">
        <v>30</v>
      </c>
      <c r="B31" s="38"/>
      <c r="C31" s="39" t="str">
        <f>IF(SUMIFS(Data!$S:$S,Data!$A:$A,$B31,Data!$C:$C,C$1)=0,"",SUMIFS(Data!$S:$S,Data!$A:$A,$B31,Data!$C:$C,C$1))</f>
        <v/>
      </c>
      <c r="D31" s="39" t="str">
        <f>IF(SUMIFS(Data!$S:$S,Data!$A:$A,$B31,Data!$C:$C,D$1)=0,"",SUMIFS(Data!$S:$S,Data!$A:$A,$B31,Data!$C:$C,D$1))</f>
        <v/>
      </c>
      <c r="E31" s="39" t="str">
        <f>IF(SUMIFS(Data!$S:$S,Data!$A:$A,$B31,Data!$C:$C,E$1)=0,"",SUMIFS(Data!$S:$S,Data!$A:$A,$B31,Data!$C:$C,E$1))</f>
        <v/>
      </c>
      <c r="F31" s="39" t="str">
        <f>IF(SUMIFS(Data!$S:$S,Data!$A:$A,$B31,Data!$C:$C,F$1)=0,"",SUMIFS(Data!$S:$S,Data!$A:$A,$B31,Data!$C:$C,F$1))</f>
        <v/>
      </c>
      <c r="G31" s="39" t="str">
        <f>IF(SUMIFS(Data!$S:$S,Data!$A:$A,$B31,Data!$C:$C,G$1)=0,"",SUMIFS(Data!$S:$S,Data!$A:$A,$B31,Data!$C:$C,G$1))</f>
        <v/>
      </c>
      <c r="H31" s="39" t="str">
        <f>IF(SUMIFS(Data!$S:$S,Data!$A:$A,$B31,Data!$C:$C,H$1)=0,"",SUMIFS(Data!$S:$S,Data!$A:$A,$B31,Data!$C:$C,H$1))</f>
        <v/>
      </c>
      <c r="I31" s="39" t="str">
        <f>IF(SUMIFS(Data!$S:$S,Data!$A:$A,$B31,Data!$C:$C,I$1)=0,"",SUMIFS(Data!$S:$S,Data!$A:$A,$B31,Data!$C:$C,I$1))</f>
        <v/>
      </c>
      <c r="J31" s="39" t="str">
        <f>IF(SUMIFS(Data!$S:$S,Data!$A:$A,$B31,Data!$C:$C,J$1)=0,"",SUMIFS(Data!$S:$S,Data!$A:$A,$B31,Data!$C:$C,J$1))</f>
        <v/>
      </c>
      <c r="K31" s="39" t="str">
        <f>IF(SUMIFS(Data!$S:$S,Data!$A:$A,$B31,Data!$C:$C,K$1)=0,"",SUMIFS(Data!$S:$S,Data!$A:$A,$B31,Data!$C:$C,K$1))</f>
        <v/>
      </c>
      <c r="L31" s="39" t="str">
        <f>IF(SUMIFS(Data!$S:$S,Data!$A:$A,$B31,Data!$C:$C,L$1)=0,"",SUMIFS(Data!$S:$S,Data!$A:$A,$B31,Data!$C:$C,L$1))</f>
        <v/>
      </c>
      <c r="M31" s="39" t="str">
        <f>IF(SUMIFS(Data!$S:$S,Data!$A:$A,$B31,Data!$C:$C,M$1)=0,"",SUMIFS(Data!$S:$S,Data!$A:$A,$B31,Data!$C:$C,M$1))</f>
        <v/>
      </c>
      <c r="N31" s="39" t="str">
        <f>IF(SUMIFS(Data!$S:$S,Data!$A:$A,$B31,Data!$C:$C,N$1)=0,"",SUMIFS(Data!$S:$S,Data!$A:$A,$B31,Data!$C:$C,N$1))</f>
        <v/>
      </c>
      <c r="O31" s="39" t="str">
        <f>IF(SUMIFS(Data!$S:$S,Data!$A:$A,$B31,Data!$C:$C,O$1)=0,"",SUMIFS(Data!$S:$S,Data!$A:$A,$B31,Data!$C:$C,O$1))</f>
        <v/>
      </c>
      <c r="P31" s="39" t="str">
        <f>IF(SUMIFS(Data!$S:$S,Data!$A:$A,$B31,Data!$C:$C,P$1)=0,"",SUMIFS(Data!$S:$S,Data!$A:$A,$B31,Data!$C:$C,P$1))</f>
        <v/>
      </c>
      <c r="Q31" s="39" t="str">
        <f>IF(SUMIFS(Data!$S:$S,Data!$A:$A,$B31,Data!$C:$C,Q$1)=0,"",SUMIFS(Data!$S:$S,Data!$A:$A,$B31,Data!$C:$C,Q$1))</f>
        <v/>
      </c>
      <c r="R31" s="39" t="str">
        <f>IF(SUMIFS(Data!$S:$S,Data!$A:$A,$B31,Data!$C:$C,R$1)=0,"",SUMIFS(Data!$S:$S,Data!$A:$A,$B31,Data!$C:$C,R$1))</f>
        <v/>
      </c>
      <c r="S31" s="39" t="str">
        <f>IF(SUMIFS(Data!$S:$S,Data!$A:$A,$B31,Data!$C:$C,S$1)=0,"",SUMIFS(Data!$S:$S,Data!$A:$A,$B31,Data!$C:$C,S$1))</f>
        <v/>
      </c>
      <c r="T31" s="39" t="str">
        <f>IF(SUMIFS(Data!$S:$S,Data!$A:$A,$B31,Data!$C:$C,T$1)=0,"",SUMIFS(Data!$S:$S,Data!$A:$A,$B31,Data!$C:$C,T$1))</f>
        <v/>
      </c>
      <c r="U31" s="39"/>
      <c r="V31" s="39"/>
      <c r="W31" s="39"/>
    </row>
    <row r="32" spans="1:23" ht="13.8" x14ac:dyDescent="0.3">
      <c r="A32" s="151">
        <v>31</v>
      </c>
      <c r="B32" s="38"/>
      <c r="C32" s="39" t="str">
        <f>IF(SUMIFS(Data!$S:$S,Data!$A:$A,$B32,Data!$C:$C,C$1)=0,"",SUMIFS(Data!$S:$S,Data!$A:$A,$B32,Data!$C:$C,C$1))</f>
        <v/>
      </c>
      <c r="D32" s="39" t="str">
        <f>IF(SUMIFS(Data!$S:$S,Data!$A:$A,$B32,Data!$C:$C,D$1)=0,"",SUMIFS(Data!$S:$S,Data!$A:$A,$B32,Data!$C:$C,D$1))</f>
        <v/>
      </c>
      <c r="E32" s="39" t="str">
        <f>IF(SUMIFS(Data!$S:$S,Data!$A:$A,$B32,Data!$C:$C,E$1)=0,"",SUMIFS(Data!$S:$S,Data!$A:$A,$B32,Data!$C:$C,E$1))</f>
        <v/>
      </c>
      <c r="F32" s="39" t="str">
        <f>IF(SUMIFS(Data!$S:$S,Data!$A:$A,$B32,Data!$C:$C,F$1)=0,"",SUMIFS(Data!$S:$S,Data!$A:$A,$B32,Data!$C:$C,F$1))</f>
        <v/>
      </c>
      <c r="G32" s="39" t="str">
        <f>IF(SUMIFS(Data!$S:$S,Data!$A:$A,$B32,Data!$C:$C,G$1)=0,"",SUMIFS(Data!$S:$S,Data!$A:$A,$B32,Data!$C:$C,G$1))</f>
        <v/>
      </c>
      <c r="H32" s="39" t="str">
        <f>IF(SUMIFS(Data!$S:$S,Data!$A:$A,$B32,Data!$C:$C,H$1)=0,"",SUMIFS(Data!$S:$S,Data!$A:$A,$B32,Data!$C:$C,H$1))</f>
        <v/>
      </c>
      <c r="I32" s="39" t="str">
        <f>IF(SUMIFS(Data!$S:$S,Data!$A:$A,$B32,Data!$C:$C,I$1)=0,"",SUMIFS(Data!$S:$S,Data!$A:$A,$B32,Data!$C:$C,I$1))</f>
        <v/>
      </c>
      <c r="J32" s="39" t="str">
        <f>IF(SUMIFS(Data!$S:$S,Data!$A:$A,$B32,Data!$C:$C,J$1)=0,"",SUMIFS(Data!$S:$S,Data!$A:$A,$B32,Data!$C:$C,J$1))</f>
        <v/>
      </c>
      <c r="K32" s="39" t="str">
        <f>IF(SUMIFS(Data!$S:$S,Data!$A:$A,$B32,Data!$C:$C,K$1)=0,"",SUMIFS(Data!$S:$S,Data!$A:$A,$B32,Data!$C:$C,K$1))</f>
        <v/>
      </c>
      <c r="L32" s="39" t="str">
        <f>IF(SUMIFS(Data!$S:$S,Data!$A:$A,$B32,Data!$C:$C,L$1)=0,"",SUMIFS(Data!$S:$S,Data!$A:$A,$B32,Data!$C:$C,L$1))</f>
        <v/>
      </c>
      <c r="M32" s="39" t="str">
        <f>IF(SUMIFS(Data!$S:$S,Data!$A:$A,$B32,Data!$C:$C,M$1)=0,"",SUMIFS(Data!$S:$S,Data!$A:$A,$B32,Data!$C:$C,M$1))</f>
        <v/>
      </c>
      <c r="N32" s="39" t="str">
        <f>IF(SUMIFS(Data!$S:$S,Data!$A:$A,$B32,Data!$C:$C,N$1)=0,"",SUMIFS(Data!$S:$S,Data!$A:$A,$B32,Data!$C:$C,N$1))</f>
        <v/>
      </c>
      <c r="O32" s="39" t="str">
        <f>IF(SUMIFS(Data!$S:$S,Data!$A:$A,$B32,Data!$C:$C,O$1)=0,"",SUMIFS(Data!$S:$S,Data!$A:$A,$B32,Data!$C:$C,O$1))</f>
        <v/>
      </c>
      <c r="P32" s="39" t="str">
        <f>IF(SUMIFS(Data!$S:$S,Data!$A:$A,$B32,Data!$C:$C,P$1)=0,"",SUMIFS(Data!$S:$S,Data!$A:$A,$B32,Data!$C:$C,P$1))</f>
        <v/>
      </c>
      <c r="Q32" s="39" t="str">
        <f>IF(SUMIFS(Data!$S:$S,Data!$A:$A,$B32,Data!$C:$C,Q$1)=0,"",SUMIFS(Data!$S:$S,Data!$A:$A,$B32,Data!$C:$C,Q$1))</f>
        <v/>
      </c>
      <c r="R32" s="39" t="str">
        <f>IF(SUMIFS(Data!$S:$S,Data!$A:$A,$B32,Data!$C:$C,R$1)=0,"",SUMIFS(Data!$S:$S,Data!$A:$A,$B32,Data!$C:$C,R$1))</f>
        <v/>
      </c>
      <c r="S32" s="39" t="str">
        <f>IF(SUMIFS(Data!$S:$S,Data!$A:$A,$B32,Data!$C:$C,S$1)=0,"",SUMIFS(Data!$S:$S,Data!$A:$A,$B32,Data!$C:$C,S$1))</f>
        <v/>
      </c>
      <c r="T32" s="39" t="str">
        <f>IF(SUMIFS(Data!$S:$S,Data!$A:$A,$B32,Data!$C:$C,T$1)=0,"",SUMIFS(Data!$S:$S,Data!$A:$A,$B32,Data!$C:$C,T$1))</f>
        <v/>
      </c>
      <c r="U32" s="39"/>
      <c r="V32" s="39"/>
      <c r="W32" s="39"/>
    </row>
  </sheetData>
  <autoFilter ref="A1:W32"/>
  <sortState ref="B2:W29">
    <sortCondition descending="1" ref="V2:V29"/>
    <sortCondition descending="1" ref="W2:W29"/>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3"/>
  <sheetViews>
    <sheetView zoomScaleNormal="100" workbookViewId="0">
      <pane ySplit="1" topLeftCell="A2" activePane="bottomLeft" state="frozen"/>
      <selection pane="bottomLeft" activeCell="U4" sqref="U4"/>
    </sheetView>
  </sheetViews>
  <sheetFormatPr defaultColWidth="9.109375" defaultRowHeight="12" x14ac:dyDescent="0.25"/>
  <cols>
    <col min="1" max="1" width="7.88671875" style="152" bestFit="1" customWidth="1"/>
    <col min="2" max="2" width="22.109375" style="29" bestFit="1" customWidth="1"/>
    <col min="3" max="3" width="7.88671875" style="30" customWidth="1"/>
    <col min="4" max="4" width="7.5546875" style="30" customWidth="1"/>
    <col min="5" max="5" width="8" style="30" customWidth="1"/>
    <col min="6" max="6" width="7.77734375" style="30" customWidth="1"/>
    <col min="7" max="7" width="8.6640625" style="30" customWidth="1"/>
    <col min="8" max="8" width="8.21875" style="30" customWidth="1"/>
    <col min="9" max="12" width="6.5546875" style="30" bestFit="1" customWidth="1"/>
    <col min="13" max="13" width="6.77734375" style="30" customWidth="1"/>
    <col min="14" max="17" width="6.5546875" style="30" bestFit="1" customWidth="1"/>
    <col min="18" max="18" width="10.44140625" style="30" bestFit="1" customWidth="1"/>
    <col min="19" max="19" width="13.33203125" style="30" bestFit="1" customWidth="1"/>
    <col min="20" max="20" width="6.44140625" style="40" bestFit="1" customWidth="1"/>
    <col min="21" max="16384" width="9.109375" style="40"/>
  </cols>
  <sheetData>
    <row r="1" spans="1:20" ht="13.8" x14ac:dyDescent="0.3">
      <c r="A1" s="150" t="s">
        <v>69</v>
      </c>
      <c r="B1" s="36" t="s">
        <v>32</v>
      </c>
      <c r="C1" s="45">
        <v>1</v>
      </c>
      <c r="D1" s="45">
        <v>2</v>
      </c>
      <c r="E1" s="45">
        <v>3</v>
      </c>
      <c r="F1" s="45">
        <v>4</v>
      </c>
      <c r="G1" s="45">
        <v>5</v>
      </c>
      <c r="H1" s="45">
        <v>6</v>
      </c>
      <c r="I1" s="45">
        <v>7</v>
      </c>
      <c r="J1" s="45">
        <v>8</v>
      </c>
      <c r="K1" s="45">
        <v>9</v>
      </c>
      <c r="L1" s="45">
        <v>10</v>
      </c>
      <c r="M1" s="45">
        <v>11</v>
      </c>
      <c r="N1" s="45">
        <v>12</v>
      </c>
      <c r="O1" s="45">
        <v>13</v>
      </c>
      <c r="P1" s="45">
        <v>14</v>
      </c>
      <c r="Q1" s="45">
        <v>15</v>
      </c>
      <c r="R1" s="37" t="s">
        <v>71</v>
      </c>
      <c r="S1" s="37" t="s">
        <v>70</v>
      </c>
      <c r="T1" s="44" t="s">
        <v>106</v>
      </c>
    </row>
    <row r="2" spans="1:20" ht="13.8" x14ac:dyDescent="0.3">
      <c r="A2" s="151">
        <v>1</v>
      </c>
      <c r="B2" s="38" t="s">
        <v>80</v>
      </c>
      <c r="C2" s="96">
        <f>SUMIFS(Data!$H:$H,Data!$A:$A,Cataratorii!$B2,Data!$C:$C,Cataratorii!C$1)</f>
        <v>1988</v>
      </c>
      <c r="D2" s="96">
        <f>SUMIFS(Data!$H:$H,Data!$A:$A,Cataratorii!$B2,Data!$C:$C,Cataratorii!D$1)</f>
        <v>949</v>
      </c>
      <c r="E2" s="96">
        <f>SUMIFS(Data!$H:$H,Data!$A:$A,Cataratorii!$B2,Data!$C:$C,Cataratorii!E$1)</f>
        <v>3246</v>
      </c>
      <c r="F2" s="96">
        <f>SUMIFS(Data!$H:$H,Data!$A:$A,Cataratorii!$B2,Data!$C:$C,Cataratorii!F$1)</f>
        <v>517</v>
      </c>
      <c r="G2" s="96">
        <f>SUMIFS(Data!$H:$H,Data!$A:$A,Cataratorii!$B2,Data!$C:$C,Cataratorii!G$1)</f>
        <v>1411</v>
      </c>
      <c r="H2" s="96">
        <f>SUMIFS(Data!$H:$H,Data!$A:$A,Cataratorii!$B2,Data!$C:$C,Cataratorii!H$1)</f>
        <v>1877</v>
      </c>
      <c r="I2" s="96">
        <f>SUMIFS(Data!$H:$H,Data!$A:$A,Cataratorii!$B2,Data!$C:$C,Cataratorii!I$1)</f>
        <v>0</v>
      </c>
      <c r="J2" s="96">
        <f>SUMIFS(Data!$H:$H,Data!$A:$A,Cataratorii!$B2,Data!$C:$C,Cataratorii!J$1)</f>
        <v>2174</v>
      </c>
      <c r="K2" s="96">
        <f>SUMIFS(Data!$H:$H,Data!$A:$A,Cataratorii!$B2,Data!$C:$C,Cataratorii!K$1)</f>
        <v>2606</v>
      </c>
      <c r="L2" s="96">
        <f>SUMIFS(Data!$H:$H,Data!$A:$A,Cataratorii!$B2,Data!$C:$C,Cataratorii!L$1)</f>
        <v>0</v>
      </c>
      <c r="M2" s="96">
        <f>SUMIFS(Data!$H:$H,Data!$A:$A,Cataratorii!$B2,Data!$C:$C,Cataratorii!M$1)</f>
        <v>0</v>
      </c>
      <c r="N2" s="96">
        <f>SUMIFS(Data!$H:$H,Data!$A:$A,Cataratorii!$B2,Data!$C:$C,Cataratorii!N$1)</f>
        <v>0</v>
      </c>
      <c r="O2" s="96">
        <f>SUMIFS(Data!$H:$H,Data!$A:$A,Cataratorii!$B2,Data!$C:$C,Cataratorii!O$1)</f>
        <v>0</v>
      </c>
      <c r="P2" s="96">
        <f>SUMIFS(Data!$H:$H,Data!$A:$A,Cataratorii!$B2,Data!$C:$C,Cataratorii!P$1)</f>
        <v>0</v>
      </c>
      <c r="Q2" s="96">
        <f>SUMIFS(Data!$H:$H,Data!$A:$A,Cataratorii!$B2,Data!$C:$C,Cataratorii!Q$1)</f>
        <v>0</v>
      </c>
      <c r="R2" s="96">
        <f>SUM(C2:Q2)</f>
        <v>14768</v>
      </c>
      <c r="S2" s="39">
        <f>SUMIFS(Data!D:D,Data!A:A,Cataratorii!B2)</f>
        <v>331.3</v>
      </c>
      <c r="T2" s="40" t="str">
        <f>IF(VLOOKUP(B2,Participanti!A:D,4,0)=0," ","New")</f>
        <v xml:space="preserve"> </v>
      </c>
    </row>
    <row r="3" spans="1:20" ht="13.8" x14ac:dyDescent="0.3">
      <c r="A3" s="151">
        <v>2</v>
      </c>
      <c r="B3" s="38" t="s">
        <v>51</v>
      </c>
      <c r="C3" s="96">
        <f>SUMIFS(Data!$H:$H,Data!$A:$A,Cataratorii!$B3,Data!$C:$C,Cataratorii!C$1)</f>
        <v>2112</v>
      </c>
      <c r="D3" s="96">
        <f>SUMIFS(Data!$H:$H,Data!$A:$A,Cataratorii!$B3,Data!$C:$C,Cataratorii!D$1)</f>
        <v>34</v>
      </c>
      <c r="E3" s="96">
        <f>SUMIFS(Data!$H:$H,Data!$A:$A,Cataratorii!$B3,Data!$C:$C,Cataratorii!E$1)</f>
        <v>3435</v>
      </c>
      <c r="F3" s="96">
        <f>SUMIFS(Data!$H:$H,Data!$A:$A,Cataratorii!$B3,Data!$C:$C,Cataratorii!F$1)</f>
        <v>49</v>
      </c>
      <c r="G3" s="96">
        <f>SUMIFS(Data!$H:$H,Data!$A:$A,Cataratorii!$B3,Data!$C:$C,Cataratorii!G$1)</f>
        <v>108</v>
      </c>
      <c r="H3" s="96">
        <f>SUMIFS(Data!$H:$H,Data!$A:$A,Cataratorii!$B3,Data!$C:$C,Cataratorii!H$1)</f>
        <v>1426</v>
      </c>
      <c r="I3" s="96">
        <f>SUMIFS(Data!$H:$H,Data!$A:$A,Cataratorii!$B3,Data!$C:$C,Cataratorii!I$1)</f>
        <v>1870</v>
      </c>
      <c r="J3" s="96">
        <f>SUMIFS(Data!$H:$H,Data!$A:$A,Cataratorii!$B3,Data!$C:$C,Cataratorii!J$1)</f>
        <v>47</v>
      </c>
      <c r="K3" s="96">
        <f>SUMIFS(Data!$H:$H,Data!$A:$A,Cataratorii!$B3,Data!$C:$C,Cataratorii!K$1)</f>
        <v>1504</v>
      </c>
      <c r="L3" s="96">
        <f>SUMIFS(Data!$H:$H,Data!$A:$A,Cataratorii!$B3,Data!$C:$C,Cataratorii!L$1)</f>
        <v>85</v>
      </c>
      <c r="M3" s="96">
        <f>SUMIFS(Data!$H:$H,Data!$A:$A,Cataratorii!$B3,Data!$C:$C,Cataratorii!M$1)</f>
        <v>68</v>
      </c>
      <c r="N3" s="96">
        <f>SUMIFS(Data!$H:$H,Data!$A:$A,Cataratorii!$B3,Data!$C:$C,Cataratorii!N$1)</f>
        <v>735</v>
      </c>
      <c r="O3" s="96">
        <f>SUMIFS(Data!$H:$H,Data!$A:$A,Cataratorii!$B3,Data!$C:$C,Cataratorii!O$1)</f>
        <v>68</v>
      </c>
      <c r="P3" s="96">
        <f>SUMIFS(Data!$H:$H,Data!$A:$A,Cataratorii!$B3,Data!$C:$C,Cataratorii!P$1)</f>
        <v>43</v>
      </c>
      <c r="Q3" s="96">
        <f>SUMIFS(Data!$H:$H,Data!$A:$A,Cataratorii!$B3,Data!$C:$C,Cataratorii!Q$1)</f>
        <v>36</v>
      </c>
      <c r="R3" s="96">
        <f t="shared" ref="R3:R39" si="0">SUM(C3:Q3)</f>
        <v>11620</v>
      </c>
      <c r="S3" s="39">
        <f>SUMIFS(Data!D:D,Data!A:A,Cataratorii!B3)</f>
        <v>456.62</v>
      </c>
      <c r="T3" s="40" t="str">
        <f>IF(VLOOKUP(B3,Participanti!A:D,4,0)=0," ","New")</f>
        <v xml:space="preserve"> </v>
      </c>
    </row>
    <row r="4" spans="1:20" ht="13.8" x14ac:dyDescent="0.3">
      <c r="A4" s="151">
        <v>3</v>
      </c>
      <c r="B4" s="38" t="s">
        <v>244</v>
      </c>
      <c r="C4" s="96">
        <f>SUMIFS(Data!$H:$H,Data!$A:$A,Cataratorii!$B4,Data!$C:$C,Cataratorii!C$1)</f>
        <v>1273</v>
      </c>
      <c r="D4" s="96">
        <f>SUMIFS(Data!$H:$H,Data!$A:$A,Cataratorii!$B4,Data!$C:$C,Cataratorii!D$1)</f>
        <v>48</v>
      </c>
      <c r="E4" s="96">
        <f>SUMIFS(Data!$H:$H,Data!$A:$A,Cataratorii!$B4,Data!$C:$C,Cataratorii!E$1)</f>
        <v>662</v>
      </c>
      <c r="F4" s="96">
        <f>SUMIFS(Data!$H:$H,Data!$A:$A,Cataratorii!$B4,Data!$C:$C,Cataratorii!F$1)</f>
        <v>1744</v>
      </c>
      <c r="G4" s="96">
        <f>SUMIFS(Data!$H:$H,Data!$A:$A,Cataratorii!$B4,Data!$C:$C,Cataratorii!G$1)</f>
        <v>661</v>
      </c>
      <c r="H4" s="96">
        <f>SUMIFS(Data!$H:$H,Data!$A:$A,Cataratorii!$B4,Data!$C:$C,Cataratorii!H$1)</f>
        <v>0</v>
      </c>
      <c r="I4" s="96">
        <f>SUMIFS(Data!$H:$H,Data!$A:$A,Cataratorii!$B4,Data!$C:$C,Cataratorii!I$1)</f>
        <v>0</v>
      </c>
      <c r="J4" s="96">
        <f>SUMIFS(Data!$H:$H,Data!$A:$A,Cataratorii!$B4,Data!$C:$C,Cataratorii!J$1)</f>
        <v>0</v>
      </c>
      <c r="K4" s="96">
        <f>SUMIFS(Data!$H:$H,Data!$A:$A,Cataratorii!$B4,Data!$C:$C,Cataratorii!K$1)</f>
        <v>0</v>
      </c>
      <c r="L4" s="96">
        <f>SUMIFS(Data!$H:$H,Data!$A:$A,Cataratorii!$B4,Data!$C:$C,Cataratorii!L$1)</f>
        <v>1307</v>
      </c>
      <c r="M4" s="96">
        <f>SUMIFS(Data!$H:$H,Data!$A:$A,Cataratorii!$B4,Data!$C:$C,Cataratorii!M$1)</f>
        <v>0</v>
      </c>
      <c r="N4" s="96">
        <f>SUMIFS(Data!$H:$H,Data!$A:$A,Cataratorii!$B4,Data!$C:$C,Cataratorii!N$1)</f>
        <v>0</v>
      </c>
      <c r="O4" s="96">
        <f>SUMIFS(Data!$H:$H,Data!$A:$A,Cataratorii!$B4,Data!$C:$C,Cataratorii!O$1)</f>
        <v>1819</v>
      </c>
      <c r="P4" s="96">
        <f>SUMIFS(Data!$H:$H,Data!$A:$A,Cataratorii!$B4,Data!$C:$C,Cataratorii!P$1)</f>
        <v>1232</v>
      </c>
      <c r="Q4" s="96">
        <f>SUMIFS(Data!$H:$H,Data!$A:$A,Cataratorii!$B4,Data!$C:$C,Cataratorii!Q$1)</f>
        <v>964</v>
      </c>
      <c r="R4" s="96">
        <f t="shared" si="0"/>
        <v>9710</v>
      </c>
      <c r="S4" s="39">
        <f>SUMIFS(Data!D:D,Data!A:A,Cataratorii!B4)</f>
        <v>202.21</v>
      </c>
      <c r="T4" s="40" t="str">
        <f>IF(VLOOKUP(B4,Participanti!A:D,4,0)=0," ","New")</f>
        <v xml:space="preserve"> </v>
      </c>
    </row>
    <row r="5" spans="1:20" ht="13.8" x14ac:dyDescent="0.3">
      <c r="A5" s="151">
        <v>4</v>
      </c>
      <c r="B5" s="38" t="s">
        <v>53</v>
      </c>
      <c r="C5" s="96">
        <f>SUMIFS(Data!$H:$H,Data!$A:$A,Cataratorii!$B5,Data!$C:$C,Cataratorii!C$1)</f>
        <v>619</v>
      </c>
      <c r="D5" s="96">
        <f>SUMIFS(Data!$H:$H,Data!$A:$A,Cataratorii!$B5,Data!$C:$C,Cataratorii!D$1)</f>
        <v>1510</v>
      </c>
      <c r="E5" s="96">
        <f>SUMIFS(Data!$H:$H,Data!$A:$A,Cataratorii!$B5,Data!$C:$C,Cataratorii!E$1)</f>
        <v>30</v>
      </c>
      <c r="F5" s="96">
        <f>SUMIFS(Data!$H:$H,Data!$A:$A,Cataratorii!$B5,Data!$C:$C,Cataratorii!F$1)</f>
        <v>867</v>
      </c>
      <c r="G5" s="96">
        <f>SUMIFS(Data!$H:$H,Data!$A:$A,Cataratorii!$B5,Data!$C:$C,Cataratorii!G$1)</f>
        <v>1297</v>
      </c>
      <c r="H5" s="96">
        <f>SUMIFS(Data!$H:$H,Data!$A:$A,Cataratorii!$B5,Data!$C:$C,Cataratorii!H$1)</f>
        <v>0</v>
      </c>
      <c r="I5" s="96">
        <f>SUMIFS(Data!$H:$H,Data!$A:$A,Cataratorii!$B5,Data!$C:$C,Cataratorii!I$1)</f>
        <v>604</v>
      </c>
      <c r="J5" s="96">
        <f>SUMIFS(Data!$H:$H,Data!$A:$A,Cataratorii!$B5,Data!$C:$C,Cataratorii!J$1)</f>
        <v>30</v>
      </c>
      <c r="K5" s="96">
        <f>SUMIFS(Data!$H:$H,Data!$A:$A,Cataratorii!$B5,Data!$C:$C,Cataratorii!K$1)</f>
        <v>185</v>
      </c>
      <c r="L5" s="96">
        <f>SUMIFS(Data!$H:$H,Data!$A:$A,Cataratorii!$B5,Data!$C:$C,Cataratorii!L$1)</f>
        <v>13</v>
      </c>
      <c r="M5" s="96">
        <f>SUMIFS(Data!$H:$H,Data!$A:$A,Cataratorii!$B5,Data!$C:$C,Cataratorii!M$1)</f>
        <v>52</v>
      </c>
      <c r="N5" s="96">
        <f>SUMIFS(Data!$H:$H,Data!$A:$A,Cataratorii!$B5,Data!$C:$C,Cataratorii!N$1)</f>
        <v>50</v>
      </c>
      <c r="O5" s="96">
        <f>SUMIFS(Data!$H:$H,Data!$A:$A,Cataratorii!$B5,Data!$C:$C,Cataratorii!O$1)</f>
        <v>838</v>
      </c>
      <c r="P5" s="96">
        <f>SUMIFS(Data!$H:$H,Data!$A:$A,Cataratorii!$B5,Data!$C:$C,Cataratorii!P$1)</f>
        <v>613</v>
      </c>
      <c r="Q5" s="96">
        <f>SUMIFS(Data!$H:$H,Data!$A:$A,Cataratorii!$B5,Data!$C:$C,Cataratorii!Q$1)</f>
        <v>867</v>
      </c>
      <c r="R5" s="96">
        <f t="shared" si="0"/>
        <v>7575</v>
      </c>
      <c r="S5" s="39">
        <f>SUMIFS(Data!D:D,Data!A:A,Cataratorii!B5)</f>
        <v>298.27999999999997</v>
      </c>
      <c r="T5" s="40" t="str">
        <f>IF(VLOOKUP(B5,Participanti!A:D,4,0)=0," ","New")</f>
        <v xml:space="preserve"> </v>
      </c>
    </row>
    <row r="6" spans="1:20" ht="13.8" x14ac:dyDescent="0.3">
      <c r="A6" s="151">
        <v>5</v>
      </c>
      <c r="B6" s="38" t="s">
        <v>65</v>
      </c>
      <c r="C6" s="96">
        <f>SUMIFS(Data!$H:$H,Data!$A:$A,Cataratorii!$B6,Data!$C:$C,Cataratorii!C$1)</f>
        <v>18</v>
      </c>
      <c r="D6" s="96">
        <f>SUMIFS(Data!$H:$H,Data!$A:$A,Cataratorii!$B6,Data!$C:$C,Cataratorii!D$1)</f>
        <v>0</v>
      </c>
      <c r="E6" s="96">
        <f>SUMIFS(Data!$H:$H,Data!$A:$A,Cataratorii!$B6,Data!$C:$C,Cataratorii!E$1)</f>
        <v>3373</v>
      </c>
      <c r="F6" s="96">
        <f>SUMIFS(Data!$H:$H,Data!$A:$A,Cataratorii!$B6,Data!$C:$C,Cataratorii!F$1)</f>
        <v>27</v>
      </c>
      <c r="G6" s="96">
        <f>SUMIFS(Data!$H:$H,Data!$A:$A,Cataratorii!$B6,Data!$C:$C,Cataratorii!G$1)</f>
        <v>0</v>
      </c>
      <c r="H6" s="96">
        <f>SUMIFS(Data!$H:$H,Data!$A:$A,Cataratorii!$B6,Data!$C:$C,Cataratorii!H$1)</f>
        <v>0</v>
      </c>
      <c r="I6" s="96">
        <f>SUMIFS(Data!$H:$H,Data!$A:$A,Cataratorii!$B6,Data!$C:$C,Cataratorii!I$1)</f>
        <v>0</v>
      </c>
      <c r="J6" s="96">
        <f>SUMIFS(Data!$H:$H,Data!$A:$A,Cataratorii!$B6,Data!$C:$C,Cataratorii!J$1)</f>
        <v>0</v>
      </c>
      <c r="K6" s="96">
        <f>SUMIFS(Data!$H:$H,Data!$A:$A,Cataratorii!$B6,Data!$C:$C,Cataratorii!K$1)</f>
        <v>0</v>
      </c>
      <c r="L6" s="96">
        <f>SUMIFS(Data!$H:$H,Data!$A:$A,Cataratorii!$B6,Data!$C:$C,Cataratorii!L$1)</f>
        <v>0</v>
      </c>
      <c r="M6" s="96">
        <f>SUMIFS(Data!$H:$H,Data!$A:$A,Cataratorii!$B6,Data!$C:$C,Cataratorii!M$1)</f>
        <v>0</v>
      </c>
      <c r="N6" s="96">
        <f>SUMIFS(Data!$H:$H,Data!$A:$A,Cataratorii!$B6,Data!$C:$C,Cataratorii!N$1)</f>
        <v>0</v>
      </c>
      <c r="O6" s="96">
        <f>SUMIFS(Data!$H:$H,Data!$A:$A,Cataratorii!$B6,Data!$C:$C,Cataratorii!O$1)</f>
        <v>1479</v>
      </c>
      <c r="P6" s="96">
        <f>SUMIFS(Data!$H:$H,Data!$A:$A,Cataratorii!$B6,Data!$C:$C,Cataratorii!P$1)</f>
        <v>16</v>
      </c>
      <c r="Q6" s="96">
        <f>SUMIFS(Data!$H:$H,Data!$A:$A,Cataratorii!$B6,Data!$C:$C,Cataratorii!Q$1)</f>
        <v>66</v>
      </c>
      <c r="R6" s="96">
        <f t="shared" si="0"/>
        <v>4979</v>
      </c>
      <c r="S6" s="39">
        <f>SUMIFS(Data!D:D,Data!A:A,Cataratorii!B6)</f>
        <v>124.92999999999999</v>
      </c>
      <c r="T6" s="40" t="str">
        <f>IF(VLOOKUP(B6,Participanti!A:D,4,0)=0," ","New")</f>
        <v xml:space="preserve"> </v>
      </c>
    </row>
    <row r="7" spans="1:20" ht="13.8" x14ac:dyDescent="0.3">
      <c r="A7" s="151">
        <v>6</v>
      </c>
      <c r="B7" s="38" t="s">
        <v>203</v>
      </c>
      <c r="C7" s="96">
        <f>SUMIFS(Data!$H:$H,Data!$A:$A,Cataratorii!$B7,Data!$C:$C,Cataratorii!C$1)</f>
        <v>83</v>
      </c>
      <c r="D7" s="96">
        <f>SUMIFS(Data!$H:$H,Data!$A:$A,Cataratorii!$B7,Data!$C:$C,Cataratorii!D$1)</f>
        <v>158</v>
      </c>
      <c r="E7" s="96">
        <f>SUMIFS(Data!$H:$H,Data!$A:$A,Cataratorii!$B7,Data!$C:$C,Cataratorii!E$1)</f>
        <v>291</v>
      </c>
      <c r="F7" s="96">
        <f>SUMIFS(Data!$H:$H,Data!$A:$A,Cataratorii!$B7,Data!$C:$C,Cataratorii!F$1)</f>
        <v>379</v>
      </c>
      <c r="G7" s="96">
        <f>SUMIFS(Data!$H:$H,Data!$A:$A,Cataratorii!$B7,Data!$C:$C,Cataratorii!G$1)</f>
        <v>73</v>
      </c>
      <c r="H7" s="96">
        <f>SUMIFS(Data!$H:$H,Data!$A:$A,Cataratorii!$B7,Data!$C:$C,Cataratorii!H$1)</f>
        <v>596</v>
      </c>
      <c r="I7" s="96">
        <f>SUMIFS(Data!$H:$H,Data!$A:$A,Cataratorii!$B7,Data!$C:$C,Cataratorii!I$1)</f>
        <v>555</v>
      </c>
      <c r="J7" s="96">
        <f>SUMIFS(Data!$H:$H,Data!$A:$A,Cataratorii!$B7,Data!$C:$C,Cataratorii!J$1)</f>
        <v>20</v>
      </c>
      <c r="K7" s="96">
        <f>SUMIFS(Data!$H:$H,Data!$A:$A,Cataratorii!$B7,Data!$C:$C,Cataratorii!K$1)</f>
        <v>94</v>
      </c>
      <c r="L7" s="96">
        <f>SUMIFS(Data!$H:$H,Data!$A:$A,Cataratorii!$B7,Data!$C:$C,Cataratorii!L$1)</f>
        <v>93</v>
      </c>
      <c r="M7" s="96">
        <f>SUMIFS(Data!$H:$H,Data!$A:$A,Cataratorii!$B7,Data!$C:$C,Cataratorii!M$1)</f>
        <v>51</v>
      </c>
      <c r="N7" s="96">
        <f>SUMIFS(Data!$H:$H,Data!$A:$A,Cataratorii!$B7,Data!$C:$C,Cataratorii!N$1)</f>
        <v>168</v>
      </c>
      <c r="O7" s="96">
        <f>SUMIFS(Data!$H:$H,Data!$A:$A,Cataratorii!$B7,Data!$C:$C,Cataratorii!O$1)</f>
        <v>1761</v>
      </c>
      <c r="P7" s="96">
        <f>SUMIFS(Data!$H:$H,Data!$A:$A,Cataratorii!$B7,Data!$C:$C,Cataratorii!P$1)</f>
        <v>13</v>
      </c>
      <c r="Q7" s="96">
        <f>SUMIFS(Data!$H:$H,Data!$A:$A,Cataratorii!$B7,Data!$C:$C,Cataratorii!Q$1)</f>
        <v>91</v>
      </c>
      <c r="R7" s="96">
        <f t="shared" si="0"/>
        <v>4426</v>
      </c>
      <c r="S7" s="39">
        <f>SUMIFS(Data!D:D,Data!A:A,Cataratorii!B7)</f>
        <v>335.39000000000004</v>
      </c>
      <c r="T7" s="40" t="str">
        <f>IF(VLOOKUP(B7,Participanti!A:D,4,0)=0," ","New")</f>
        <v xml:space="preserve"> </v>
      </c>
    </row>
    <row r="8" spans="1:20" ht="13.8" x14ac:dyDescent="0.3">
      <c r="A8" s="151">
        <v>7</v>
      </c>
      <c r="B8" s="38" t="s">
        <v>211</v>
      </c>
      <c r="C8" s="96">
        <f>SUMIFS(Data!$H:$H,Data!$A:$A,Cataratorii!$B8,Data!$C:$C,Cataratorii!C$1)</f>
        <v>58</v>
      </c>
      <c r="D8" s="96">
        <f>SUMIFS(Data!$H:$H,Data!$A:$A,Cataratorii!$B8,Data!$C:$C,Cataratorii!D$1)</f>
        <v>2344</v>
      </c>
      <c r="E8" s="96">
        <f>SUMIFS(Data!$H:$H,Data!$A:$A,Cataratorii!$B8,Data!$C:$C,Cataratorii!E$1)</f>
        <v>51</v>
      </c>
      <c r="F8" s="96">
        <f>SUMIFS(Data!$H:$H,Data!$A:$A,Cataratorii!$B8,Data!$C:$C,Cataratorii!F$1)</f>
        <v>368</v>
      </c>
      <c r="G8" s="96">
        <f>SUMIFS(Data!$H:$H,Data!$A:$A,Cataratorii!$B8,Data!$C:$C,Cataratorii!G$1)</f>
        <v>20</v>
      </c>
      <c r="H8" s="96">
        <f>SUMIFS(Data!$H:$H,Data!$A:$A,Cataratorii!$B8,Data!$C:$C,Cataratorii!H$1)</f>
        <v>590</v>
      </c>
      <c r="I8" s="96">
        <f>SUMIFS(Data!$H:$H,Data!$A:$A,Cataratorii!$B8,Data!$C:$C,Cataratorii!I$1)</f>
        <v>68</v>
      </c>
      <c r="J8" s="96">
        <f>SUMIFS(Data!$H:$H,Data!$A:$A,Cataratorii!$B8,Data!$C:$C,Cataratorii!J$1)</f>
        <v>208</v>
      </c>
      <c r="K8" s="96">
        <f>SUMIFS(Data!$H:$H,Data!$A:$A,Cataratorii!$B8,Data!$C:$C,Cataratorii!K$1)</f>
        <v>0</v>
      </c>
      <c r="L8" s="96">
        <f>SUMIFS(Data!$H:$H,Data!$A:$A,Cataratorii!$B8,Data!$C:$C,Cataratorii!L$1)</f>
        <v>79</v>
      </c>
      <c r="M8" s="96">
        <f>SUMIFS(Data!$H:$H,Data!$A:$A,Cataratorii!$B8,Data!$C:$C,Cataratorii!M$1)</f>
        <v>110</v>
      </c>
      <c r="N8" s="96">
        <f>SUMIFS(Data!$H:$H,Data!$A:$A,Cataratorii!$B8,Data!$C:$C,Cataratorii!N$1)</f>
        <v>88</v>
      </c>
      <c r="O8" s="96">
        <f>SUMIFS(Data!$H:$H,Data!$A:$A,Cataratorii!$B8,Data!$C:$C,Cataratorii!O$1)</f>
        <v>2</v>
      </c>
      <c r="P8" s="96">
        <f>SUMIFS(Data!$H:$H,Data!$A:$A,Cataratorii!$B8,Data!$C:$C,Cataratorii!P$1)</f>
        <v>4</v>
      </c>
      <c r="Q8" s="96">
        <f>SUMIFS(Data!$H:$H,Data!$A:$A,Cataratorii!$B8,Data!$C:$C,Cataratorii!Q$1)</f>
        <v>81</v>
      </c>
      <c r="R8" s="96">
        <f t="shared" si="0"/>
        <v>4071</v>
      </c>
      <c r="S8" s="39">
        <f>SUMIFS(Data!D:D,Data!A:A,Cataratorii!B8)</f>
        <v>233.39999999999998</v>
      </c>
      <c r="T8" s="40" t="str">
        <f>IF(VLOOKUP(B8,Participanti!A:D,4,0)=0," ","New")</f>
        <v xml:space="preserve"> </v>
      </c>
    </row>
    <row r="9" spans="1:20" ht="13.8" x14ac:dyDescent="0.3">
      <c r="A9" s="151">
        <v>8</v>
      </c>
      <c r="B9" s="38" t="s">
        <v>240</v>
      </c>
      <c r="C9" s="96">
        <f>SUMIFS(Data!$H:$H,Data!$A:$A,Cataratorii!$B9,Data!$C:$C,Cataratorii!C$1)</f>
        <v>1237</v>
      </c>
      <c r="D9" s="96">
        <f>SUMIFS(Data!$H:$H,Data!$A:$A,Cataratorii!$B9,Data!$C:$C,Cataratorii!D$1)</f>
        <v>15</v>
      </c>
      <c r="E9" s="96">
        <f>SUMIFS(Data!$H:$H,Data!$A:$A,Cataratorii!$B9,Data!$C:$C,Cataratorii!E$1)</f>
        <v>23</v>
      </c>
      <c r="F9" s="96">
        <f>SUMIFS(Data!$H:$H,Data!$A:$A,Cataratorii!$B9,Data!$C:$C,Cataratorii!F$1)</f>
        <v>7</v>
      </c>
      <c r="G9" s="96">
        <f>SUMIFS(Data!$H:$H,Data!$A:$A,Cataratorii!$B9,Data!$C:$C,Cataratorii!G$1)</f>
        <v>34</v>
      </c>
      <c r="H9" s="96">
        <f>SUMIFS(Data!$H:$H,Data!$A:$A,Cataratorii!$B9,Data!$C:$C,Cataratorii!H$1)</f>
        <v>17</v>
      </c>
      <c r="I9" s="96">
        <f>SUMIFS(Data!$H:$H,Data!$A:$A,Cataratorii!$B9,Data!$C:$C,Cataratorii!I$1)</f>
        <v>13</v>
      </c>
      <c r="J9" s="96">
        <f>SUMIFS(Data!$H:$H,Data!$A:$A,Cataratorii!$B9,Data!$C:$C,Cataratorii!J$1)</f>
        <v>91</v>
      </c>
      <c r="K9" s="96">
        <f>SUMIFS(Data!$H:$H,Data!$A:$A,Cataratorii!$B9,Data!$C:$C,Cataratorii!K$1)</f>
        <v>942</v>
      </c>
      <c r="L9" s="96">
        <f>SUMIFS(Data!$H:$H,Data!$A:$A,Cataratorii!$B9,Data!$C:$C,Cataratorii!L$1)</f>
        <v>1372</v>
      </c>
      <c r="M9" s="96">
        <f>SUMIFS(Data!$H:$H,Data!$A:$A,Cataratorii!$B9,Data!$C:$C,Cataratorii!M$1)</f>
        <v>15</v>
      </c>
      <c r="N9" s="96">
        <f>SUMIFS(Data!$H:$H,Data!$A:$A,Cataratorii!$B9,Data!$C:$C,Cataratorii!N$1)</f>
        <v>78</v>
      </c>
      <c r="O9" s="96">
        <f>SUMIFS(Data!$H:$H,Data!$A:$A,Cataratorii!$B9,Data!$C:$C,Cataratorii!O$1)</f>
        <v>61</v>
      </c>
      <c r="P9" s="96">
        <f>SUMIFS(Data!$H:$H,Data!$A:$A,Cataratorii!$B9,Data!$C:$C,Cataratorii!P$1)</f>
        <v>6</v>
      </c>
      <c r="Q9" s="96">
        <f>SUMIFS(Data!$H:$H,Data!$A:$A,Cataratorii!$B9,Data!$C:$C,Cataratorii!Q$1)</f>
        <v>47</v>
      </c>
      <c r="R9" s="96">
        <f t="shared" si="0"/>
        <v>3958</v>
      </c>
      <c r="S9" s="39">
        <f>SUMIFS(Data!D:D,Data!A:A,Cataratorii!B9)</f>
        <v>250.82999999999998</v>
      </c>
      <c r="T9" s="40" t="str">
        <f>IF(VLOOKUP(B9,Participanti!A:D,4,0)=0," ","New")</f>
        <v>New</v>
      </c>
    </row>
    <row r="10" spans="1:20" ht="13.8" x14ac:dyDescent="0.3">
      <c r="A10" s="151">
        <v>9</v>
      </c>
      <c r="B10" s="38" t="s">
        <v>242</v>
      </c>
      <c r="C10" s="96">
        <f>SUMIFS(Data!$H:$H,Data!$A:$A,Cataratorii!$B10,Data!$C:$C,Cataratorii!C$1)</f>
        <v>218</v>
      </c>
      <c r="D10" s="96">
        <f>SUMIFS(Data!$H:$H,Data!$A:$A,Cataratorii!$B10,Data!$C:$C,Cataratorii!D$1)</f>
        <v>456</v>
      </c>
      <c r="E10" s="96">
        <f>SUMIFS(Data!$H:$H,Data!$A:$A,Cataratorii!$B10,Data!$C:$C,Cataratorii!E$1)</f>
        <v>27</v>
      </c>
      <c r="F10" s="96">
        <f>SUMIFS(Data!$H:$H,Data!$A:$A,Cataratorii!$B10,Data!$C:$C,Cataratorii!F$1)</f>
        <v>378</v>
      </c>
      <c r="G10" s="96">
        <f>SUMIFS(Data!$H:$H,Data!$A:$A,Cataratorii!$B10,Data!$C:$C,Cataratorii!G$1)</f>
        <v>54</v>
      </c>
      <c r="H10" s="96">
        <f>SUMIFS(Data!$H:$H,Data!$A:$A,Cataratorii!$B10,Data!$C:$C,Cataratorii!H$1)</f>
        <v>606</v>
      </c>
      <c r="I10" s="96">
        <f>SUMIFS(Data!$H:$H,Data!$A:$A,Cataratorii!$B10,Data!$C:$C,Cataratorii!I$1)</f>
        <v>52</v>
      </c>
      <c r="J10" s="96">
        <f>SUMIFS(Data!$H:$H,Data!$A:$A,Cataratorii!$B10,Data!$C:$C,Cataratorii!J$1)</f>
        <v>364</v>
      </c>
      <c r="K10" s="96">
        <f>SUMIFS(Data!$H:$H,Data!$A:$A,Cataratorii!$B10,Data!$C:$C,Cataratorii!K$1)</f>
        <v>49</v>
      </c>
      <c r="L10" s="96">
        <f>SUMIFS(Data!$H:$H,Data!$A:$A,Cataratorii!$B10,Data!$C:$C,Cataratorii!L$1)</f>
        <v>0</v>
      </c>
      <c r="M10" s="96">
        <f>SUMIFS(Data!$H:$H,Data!$A:$A,Cataratorii!$B10,Data!$C:$C,Cataratorii!M$1)</f>
        <v>266</v>
      </c>
      <c r="N10" s="96">
        <f>SUMIFS(Data!$H:$H,Data!$A:$A,Cataratorii!$B10,Data!$C:$C,Cataratorii!N$1)</f>
        <v>306</v>
      </c>
      <c r="O10" s="96">
        <f>SUMIFS(Data!$H:$H,Data!$A:$A,Cataratorii!$B10,Data!$C:$C,Cataratorii!O$1)</f>
        <v>54</v>
      </c>
      <c r="P10" s="96">
        <f>SUMIFS(Data!$H:$H,Data!$A:$A,Cataratorii!$B10,Data!$C:$C,Cataratorii!P$1)</f>
        <v>21</v>
      </c>
      <c r="Q10" s="96">
        <f>SUMIFS(Data!$H:$H,Data!$A:$A,Cataratorii!$B10,Data!$C:$C,Cataratorii!Q$1)</f>
        <v>153</v>
      </c>
      <c r="R10" s="96">
        <f t="shared" si="0"/>
        <v>3004</v>
      </c>
      <c r="S10" s="39">
        <f>SUMIFS(Data!D:D,Data!A:A,Cataratorii!B10)</f>
        <v>313.59999999999997</v>
      </c>
      <c r="T10" s="40" t="str">
        <f>IF(VLOOKUP(B10,Participanti!A:D,4,0)=0," ","New")</f>
        <v>New</v>
      </c>
    </row>
    <row r="11" spans="1:20" ht="13.8" x14ac:dyDescent="0.3">
      <c r="A11" s="151">
        <v>10</v>
      </c>
      <c r="B11" s="38" t="s">
        <v>239</v>
      </c>
      <c r="C11" s="96">
        <f>SUMIFS(Data!$H:$H,Data!$A:$A,Cataratorii!$B11,Data!$C:$C,Cataratorii!C$1)</f>
        <v>15</v>
      </c>
      <c r="D11" s="96">
        <f>SUMIFS(Data!$H:$H,Data!$A:$A,Cataratorii!$B11,Data!$C:$C,Cataratorii!D$1)</f>
        <v>9</v>
      </c>
      <c r="E11" s="96">
        <f>SUMIFS(Data!$H:$H,Data!$A:$A,Cataratorii!$B11,Data!$C:$C,Cataratorii!E$1)</f>
        <v>13</v>
      </c>
      <c r="F11" s="96">
        <f>SUMIFS(Data!$H:$H,Data!$A:$A,Cataratorii!$B11,Data!$C:$C,Cataratorii!F$1)</f>
        <v>16</v>
      </c>
      <c r="G11" s="96">
        <f>SUMIFS(Data!$H:$H,Data!$A:$A,Cataratorii!$B11,Data!$C:$C,Cataratorii!G$1)</f>
        <v>37</v>
      </c>
      <c r="H11" s="96">
        <f>SUMIFS(Data!$H:$H,Data!$A:$A,Cataratorii!$B11,Data!$C:$C,Cataratorii!H$1)</f>
        <v>1183</v>
      </c>
      <c r="I11" s="96">
        <f>SUMIFS(Data!$H:$H,Data!$A:$A,Cataratorii!$B11,Data!$C:$C,Cataratorii!I$1)</f>
        <v>40</v>
      </c>
      <c r="J11" s="96">
        <f>SUMIFS(Data!$H:$H,Data!$A:$A,Cataratorii!$B11,Data!$C:$C,Cataratorii!J$1)</f>
        <v>31</v>
      </c>
      <c r="K11" s="96">
        <f>SUMIFS(Data!$H:$H,Data!$A:$A,Cataratorii!$B11,Data!$C:$C,Cataratorii!K$1)</f>
        <v>2</v>
      </c>
      <c r="L11" s="96">
        <f>SUMIFS(Data!$H:$H,Data!$A:$A,Cataratorii!$B11,Data!$C:$C,Cataratorii!L$1)</f>
        <v>95</v>
      </c>
      <c r="M11" s="96">
        <f>SUMIFS(Data!$H:$H,Data!$A:$A,Cataratorii!$B11,Data!$C:$C,Cataratorii!M$1)</f>
        <v>429</v>
      </c>
      <c r="N11" s="96">
        <f>SUMIFS(Data!$H:$H,Data!$A:$A,Cataratorii!$B11,Data!$C:$C,Cataratorii!N$1)</f>
        <v>56</v>
      </c>
      <c r="O11" s="96">
        <f>SUMIFS(Data!$H:$H,Data!$A:$A,Cataratorii!$B11,Data!$C:$C,Cataratorii!O$1)</f>
        <v>445</v>
      </c>
      <c r="P11" s="96">
        <f>SUMIFS(Data!$H:$H,Data!$A:$A,Cataratorii!$B11,Data!$C:$C,Cataratorii!P$1)</f>
        <v>9</v>
      </c>
      <c r="Q11" s="96">
        <f>SUMIFS(Data!$H:$H,Data!$A:$A,Cataratorii!$B11,Data!$C:$C,Cataratorii!Q$1)</f>
        <v>114</v>
      </c>
      <c r="R11" s="96">
        <f t="shared" si="0"/>
        <v>2494</v>
      </c>
      <c r="S11" s="39">
        <f>SUMIFS(Data!D:D,Data!A:A,Cataratorii!B11)</f>
        <v>160.63999999999996</v>
      </c>
      <c r="T11" s="40" t="str">
        <f>IF(VLOOKUP(B11,Participanti!A:D,4,0)=0," ","New")</f>
        <v>New</v>
      </c>
    </row>
    <row r="12" spans="1:20" ht="13.8" x14ac:dyDescent="0.3">
      <c r="A12" s="151">
        <v>11</v>
      </c>
      <c r="B12" s="38" t="s">
        <v>52</v>
      </c>
      <c r="C12" s="96">
        <f>SUMIFS(Data!$H:$H,Data!$A:$A,Cataratorii!$B12,Data!$C:$C,Cataratorii!C$1)</f>
        <v>0</v>
      </c>
      <c r="D12" s="96">
        <f>SUMIFS(Data!$H:$H,Data!$A:$A,Cataratorii!$B12,Data!$C:$C,Cataratorii!D$1)</f>
        <v>26</v>
      </c>
      <c r="E12" s="96">
        <f>SUMIFS(Data!$H:$H,Data!$A:$A,Cataratorii!$B12,Data!$C:$C,Cataratorii!E$1)</f>
        <v>58</v>
      </c>
      <c r="F12" s="96">
        <f>SUMIFS(Data!$H:$H,Data!$A:$A,Cataratorii!$B12,Data!$C:$C,Cataratorii!F$1)</f>
        <v>0</v>
      </c>
      <c r="G12" s="96">
        <f>SUMIFS(Data!$H:$H,Data!$A:$A,Cataratorii!$B12,Data!$C:$C,Cataratorii!G$1)</f>
        <v>0</v>
      </c>
      <c r="H12" s="96">
        <f>SUMIFS(Data!$H:$H,Data!$A:$A,Cataratorii!$B12,Data!$C:$C,Cataratorii!H$1)</f>
        <v>0</v>
      </c>
      <c r="I12" s="96">
        <f>SUMIFS(Data!$H:$H,Data!$A:$A,Cataratorii!$B12,Data!$C:$C,Cataratorii!I$1)</f>
        <v>1121</v>
      </c>
      <c r="J12" s="96">
        <f>SUMIFS(Data!$H:$H,Data!$A:$A,Cataratorii!$B12,Data!$C:$C,Cataratorii!J$1)</f>
        <v>3</v>
      </c>
      <c r="K12" s="96">
        <f>SUMIFS(Data!$H:$H,Data!$A:$A,Cataratorii!$B12,Data!$C:$C,Cataratorii!K$1)</f>
        <v>982</v>
      </c>
      <c r="L12" s="96">
        <f>SUMIFS(Data!$H:$H,Data!$A:$A,Cataratorii!$B12,Data!$C:$C,Cataratorii!L$1)</f>
        <v>8</v>
      </c>
      <c r="M12" s="96">
        <f>SUMIFS(Data!$H:$H,Data!$A:$A,Cataratorii!$B12,Data!$C:$C,Cataratorii!M$1)</f>
        <v>10</v>
      </c>
      <c r="N12" s="96">
        <f>SUMIFS(Data!$H:$H,Data!$A:$A,Cataratorii!$B12,Data!$C:$C,Cataratorii!N$1)</f>
        <v>19</v>
      </c>
      <c r="O12" s="96">
        <f>SUMIFS(Data!$H:$H,Data!$A:$A,Cataratorii!$B12,Data!$C:$C,Cataratorii!O$1)</f>
        <v>0</v>
      </c>
      <c r="P12" s="96">
        <f>SUMIFS(Data!$H:$H,Data!$A:$A,Cataratorii!$B12,Data!$C:$C,Cataratorii!P$1)</f>
        <v>0</v>
      </c>
      <c r="Q12" s="96">
        <f>SUMIFS(Data!$H:$H,Data!$A:$A,Cataratorii!$B12,Data!$C:$C,Cataratorii!Q$1)</f>
        <v>0</v>
      </c>
      <c r="R12" s="96">
        <f t="shared" si="0"/>
        <v>2227</v>
      </c>
      <c r="S12" s="39">
        <f>SUMIFS(Data!D:D,Data!A:A,Cataratorii!B12)</f>
        <v>142.10000000000002</v>
      </c>
      <c r="T12" s="40" t="str">
        <f>IF(VLOOKUP(B12,Participanti!A:D,4,0)=0," ","New")</f>
        <v xml:space="preserve"> </v>
      </c>
    </row>
    <row r="13" spans="1:20" ht="13.8" x14ac:dyDescent="0.3">
      <c r="A13" s="151">
        <v>12</v>
      </c>
      <c r="B13" s="38" t="s">
        <v>111</v>
      </c>
      <c r="C13" s="96">
        <f>SUMIFS(Data!$H:$H,Data!$A:$A,Cataratorii!$B13,Data!$C:$C,Cataratorii!C$1)</f>
        <v>9</v>
      </c>
      <c r="D13" s="96">
        <f>SUMIFS(Data!$H:$H,Data!$A:$A,Cataratorii!$B13,Data!$C:$C,Cataratorii!D$1)</f>
        <v>9</v>
      </c>
      <c r="E13" s="96">
        <f>SUMIFS(Data!$H:$H,Data!$A:$A,Cataratorii!$B13,Data!$C:$C,Cataratorii!E$1)</f>
        <v>760</v>
      </c>
      <c r="F13" s="96">
        <f>SUMIFS(Data!$H:$H,Data!$A:$A,Cataratorii!$B13,Data!$C:$C,Cataratorii!F$1)</f>
        <v>119</v>
      </c>
      <c r="G13" s="96">
        <f>SUMIFS(Data!$H:$H,Data!$A:$A,Cataratorii!$B13,Data!$C:$C,Cataratorii!G$1)</f>
        <v>17</v>
      </c>
      <c r="H13" s="96">
        <f>SUMIFS(Data!$H:$H,Data!$A:$A,Cataratorii!$B13,Data!$C:$C,Cataratorii!H$1)</f>
        <v>27</v>
      </c>
      <c r="I13" s="96">
        <f>SUMIFS(Data!$H:$H,Data!$A:$A,Cataratorii!$B13,Data!$C:$C,Cataratorii!I$1)</f>
        <v>7</v>
      </c>
      <c r="J13" s="96">
        <f>SUMIFS(Data!$H:$H,Data!$A:$A,Cataratorii!$B13,Data!$C:$C,Cataratorii!J$1)</f>
        <v>32</v>
      </c>
      <c r="K13" s="96">
        <f>SUMIFS(Data!$H:$H,Data!$A:$A,Cataratorii!$B13,Data!$C:$C,Cataratorii!K$1)</f>
        <v>9</v>
      </c>
      <c r="L13" s="96">
        <f>SUMIFS(Data!$H:$H,Data!$A:$A,Cataratorii!$B13,Data!$C:$C,Cataratorii!L$1)</f>
        <v>10</v>
      </c>
      <c r="M13" s="96">
        <f>SUMIFS(Data!$H:$H,Data!$A:$A,Cataratorii!$B13,Data!$C:$C,Cataratorii!M$1)</f>
        <v>11</v>
      </c>
      <c r="N13" s="96">
        <f>SUMIFS(Data!$H:$H,Data!$A:$A,Cataratorii!$B13,Data!$C:$C,Cataratorii!N$1)</f>
        <v>28</v>
      </c>
      <c r="O13" s="96">
        <f>SUMIFS(Data!$H:$H,Data!$A:$A,Cataratorii!$B13,Data!$C:$C,Cataratorii!O$1)</f>
        <v>0</v>
      </c>
      <c r="P13" s="96">
        <f>SUMIFS(Data!$H:$H,Data!$A:$A,Cataratorii!$B13,Data!$C:$C,Cataratorii!P$1)</f>
        <v>586</v>
      </c>
      <c r="Q13" s="96">
        <f>SUMIFS(Data!$H:$H,Data!$A:$A,Cataratorii!$B13,Data!$C:$C,Cataratorii!Q$1)</f>
        <v>591</v>
      </c>
      <c r="R13" s="96">
        <f t="shared" si="0"/>
        <v>2215</v>
      </c>
      <c r="S13" s="39">
        <f>SUMIFS(Data!D:D,Data!A:A,Cataratorii!B13)</f>
        <v>344.69000000000005</v>
      </c>
      <c r="T13" s="40" t="str">
        <f>IF(VLOOKUP(B13,Participanti!A:D,4,0)=0," ","New")</f>
        <v xml:space="preserve"> </v>
      </c>
    </row>
    <row r="14" spans="1:20" ht="13.8" x14ac:dyDescent="0.3">
      <c r="A14" s="151">
        <v>13</v>
      </c>
      <c r="B14" s="38" t="s">
        <v>102</v>
      </c>
      <c r="C14" s="96">
        <f>SUMIFS(Data!$H:$H,Data!$A:$A,Cataratorii!$B14,Data!$C:$C,Cataratorii!C$1)</f>
        <v>19</v>
      </c>
      <c r="D14" s="96">
        <f>SUMIFS(Data!$H:$H,Data!$A:$A,Cataratorii!$B14,Data!$C:$C,Cataratorii!D$1)</f>
        <v>36</v>
      </c>
      <c r="E14" s="96">
        <f>SUMIFS(Data!$H:$H,Data!$A:$A,Cataratorii!$B14,Data!$C:$C,Cataratorii!E$1)</f>
        <v>19</v>
      </c>
      <c r="F14" s="96">
        <f>SUMIFS(Data!$H:$H,Data!$A:$A,Cataratorii!$B14,Data!$C:$C,Cataratorii!F$1)</f>
        <v>10</v>
      </c>
      <c r="G14" s="96">
        <f>SUMIFS(Data!$H:$H,Data!$A:$A,Cataratorii!$B14,Data!$C:$C,Cataratorii!G$1)</f>
        <v>17</v>
      </c>
      <c r="H14" s="96">
        <f>SUMIFS(Data!$H:$H,Data!$A:$A,Cataratorii!$B14,Data!$C:$C,Cataratorii!H$1)</f>
        <v>827</v>
      </c>
      <c r="I14" s="96">
        <f>SUMIFS(Data!$H:$H,Data!$A:$A,Cataratorii!$B14,Data!$C:$C,Cataratorii!I$1)</f>
        <v>10</v>
      </c>
      <c r="J14" s="96">
        <f>SUMIFS(Data!$H:$H,Data!$A:$A,Cataratorii!$B14,Data!$C:$C,Cataratorii!J$1)</f>
        <v>44</v>
      </c>
      <c r="K14" s="96">
        <f>SUMIFS(Data!$H:$H,Data!$A:$A,Cataratorii!$B14,Data!$C:$C,Cataratorii!K$1)</f>
        <v>934</v>
      </c>
      <c r="L14" s="96">
        <f>SUMIFS(Data!$H:$H,Data!$A:$A,Cataratorii!$B14,Data!$C:$C,Cataratorii!L$1)</f>
        <v>2</v>
      </c>
      <c r="M14" s="96">
        <f>SUMIFS(Data!$H:$H,Data!$A:$A,Cataratorii!$B14,Data!$C:$C,Cataratorii!M$1)</f>
        <v>47</v>
      </c>
      <c r="N14" s="96">
        <f>SUMIFS(Data!$H:$H,Data!$A:$A,Cataratorii!$B14,Data!$C:$C,Cataratorii!N$1)</f>
        <v>22</v>
      </c>
      <c r="O14" s="96">
        <f>SUMIFS(Data!$H:$H,Data!$A:$A,Cataratorii!$B14,Data!$C:$C,Cataratorii!O$1)</f>
        <v>94</v>
      </c>
      <c r="P14" s="96">
        <f>SUMIFS(Data!$H:$H,Data!$A:$A,Cataratorii!$B14,Data!$C:$C,Cataratorii!P$1)</f>
        <v>15</v>
      </c>
      <c r="Q14" s="96">
        <f>SUMIFS(Data!$H:$H,Data!$A:$A,Cataratorii!$B14,Data!$C:$C,Cataratorii!Q$1)</f>
        <v>8</v>
      </c>
      <c r="R14" s="96">
        <f t="shared" si="0"/>
        <v>2104</v>
      </c>
      <c r="S14" s="39">
        <f>SUMIFS(Data!D:D,Data!A:A,Cataratorii!B14)</f>
        <v>203.17999999999998</v>
      </c>
      <c r="T14" s="40" t="str">
        <f>IF(VLOOKUP(B14,Participanti!A:D,4,0)=0," ","New")</f>
        <v xml:space="preserve"> </v>
      </c>
    </row>
    <row r="15" spans="1:20" ht="13.8" x14ac:dyDescent="0.3">
      <c r="A15" s="151">
        <v>14</v>
      </c>
      <c r="B15" s="38" t="s">
        <v>50</v>
      </c>
      <c r="C15" s="96">
        <f>SUMIFS(Data!$H:$H,Data!$A:$A,Cataratorii!$B15,Data!$C:$C,Cataratorii!C$1)</f>
        <v>111</v>
      </c>
      <c r="D15" s="96">
        <f>SUMIFS(Data!$H:$H,Data!$A:$A,Cataratorii!$B15,Data!$C:$C,Cataratorii!D$1)</f>
        <v>550</v>
      </c>
      <c r="E15" s="96">
        <f>SUMIFS(Data!$H:$H,Data!$A:$A,Cataratorii!$B15,Data!$C:$C,Cataratorii!E$1)</f>
        <v>0</v>
      </c>
      <c r="F15" s="96">
        <f>SUMIFS(Data!$H:$H,Data!$A:$A,Cataratorii!$B15,Data!$C:$C,Cataratorii!F$1)</f>
        <v>0</v>
      </c>
      <c r="G15" s="96">
        <f>SUMIFS(Data!$H:$H,Data!$A:$A,Cataratorii!$B15,Data!$C:$C,Cataratorii!G$1)</f>
        <v>0</v>
      </c>
      <c r="H15" s="96">
        <f>SUMIFS(Data!$H:$H,Data!$A:$A,Cataratorii!$B15,Data!$C:$C,Cataratorii!H$1)</f>
        <v>130</v>
      </c>
      <c r="I15" s="96">
        <f>SUMIFS(Data!$H:$H,Data!$A:$A,Cataratorii!$B15,Data!$C:$C,Cataratorii!I$1)</f>
        <v>297</v>
      </c>
      <c r="J15" s="96">
        <f>SUMIFS(Data!$H:$H,Data!$A:$A,Cataratorii!$B15,Data!$C:$C,Cataratorii!J$1)</f>
        <v>174</v>
      </c>
      <c r="K15" s="96">
        <f>SUMIFS(Data!$H:$H,Data!$A:$A,Cataratorii!$B15,Data!$C:$C,Cataratorii!K$1)</f>
        <v>12</v>
      </c>
      <c r="L15" s="96">
        <f>SUMIFS(Data!$H:$H,Data!$A:$A,Cataratorii!$B15,Data!$C:$C,Cataratorii!L$1)</f>
        <v>187</v>
      </c>
      <c r="M15" s="96">
        <f>SUMIFS(Data!$H:$H,Data!$A:$A,Cataratorii!$B15,Data!$C:$C,Cataratorii!M$1)</f>
        <v>78</v>
      </c>
      <c r="N15" s="96">
        <f>SUMIFS(Data!$H:$H,Data!$A:$A,Cataratorii!$B15,Data!$C:$C,Cataratorii!N$1)</f>
        <v>134</v>
      </c>
      <c r="O15" s="96">
        <f>SUMIFS(Data!$H:$H,Data!$A:$A,Cataratorii!$B15,Data!$C:$C,Cataratorii!O$1)</f>
        <v>143</v>
      </c>
      <c r="P15" s="96">
        <f>SUMIFS(Data!$H:$H,Data!$A:$A,Cataratorii!$B15,Data!$C:$C,Cataratorii!P$1)</f>
        <v>54</v>
      </c>
      <c r="Q15" s="96">
        <f>SUMIFS(Data!$H:$H,Data!$A:$A,Cataratorii!$B15,Data!$C:$C,Cataratorii!Q$1)</f>
        <v>109</v>
      </c>
      <c r="R15" s="96">
        <f t="shared" si="0"/>
        <v>1979</v>
      </c>
      <c r="S15" s="39">
        <f>SUMIFS(Data!D:D,Data!A:A,Cataratorii!B15)</f>
        <v>145.35</v>
      </c>
      <c r="T15" s="40" t="str">
        <f>IF(VLOOKUP(B15,Participanti!A:D,4,0)=0," ","New")</f>
        <v xml:space="preserve"> </v>
      </c>
    </row>
    <row r="16" spans="1:20" ht="13.8" x14ac:dyDescent="0.3">
      <c r="A16" s="151">
        <v>15</v>
      </c>
      <c r="B16" s="38" t="s">
        <v>196</v>
      </c>
      <c r="C16" s="96">
        <f>SUMIFS(Data!$H:$H,Data!$A:$A,Cataratorii!$B16,Data!$C:$C,Cataratorii!C$1)</f>
        <v>706</v>
      </c>
      <c r="D16" s="96">
        <f>SUMIFS(Data!$H:$H,Data!$A:$A,Cataratorii!$B16,Data!$C:$C,Cataratorii!D$1)</f>
        <v>10</v>
      </c>
      <c r="E16" s="96">
        <f>SUMIFS(Data!$H:$H,Data!$A:$A,Cataratorii!$B16,Data!$C:$C,Cataratorii!E$1)</f>
        <v>57</v>
      </c>
      <c r="F16" s="96">
        <f>SUMIFS(Data!$H:$H,Data!$A:$A,Cataratorii!$B16,Data!$C:$C,Cataratorii!F$1)</f>
        <v>38</v>
      </c>
      <c r="G16" s="96">
        <f>SUMIFS(Data!$H:$H,Data!$A:$A,Cataratorii!$B16,Data!$C:$C,Cataratorii!G$1)</f>
        <v>29</v>
      </c>
      <c r="H16" s="96">
        <f>SUMIFS(Data!$H:$H,Data!$A:$A,Cataratorii!$B16,Data!$C:$C,Cataratorii!H$1)</f>
        <v>895</v>
      </c>
      <c r="I16" s="96">
        <f>SUMIFS(Data!$H:$H,Data!$A:$A,Cataratorii!$B16,Data!$C:$C,Cataratorii!I$1)</f>
        <v>0</v>
      </c>
      <c r="J16" s="96">
        <f>SUMIFS(Data!$H:$H,Data!$A:$A,Cataratorii!$B16,Data!$C:$C,Cataratorii!J$1)</f>
        <v>11</v>
      </c>
      <c r="K16" s="96">
        <f>SUMIFS(Data!$H:$H,Data!$A:$A,Cataratorii!$B16,Data!$C:$C,Cataratorii!K$1)</f>
        <v>33</v>
      </c>
      <c r="L16" s="96">
        <f>SUMIFS(Data!$H:$H,Data!$A:$A,Cataratorii!$B16,Data!$C:$C,Cataratorii!L$1)</f>
        <v>0</v>
      </c>
      <c r="M16" s="96">
        <f>SUMIFS(Data!$H:$H,Data!$A:$A,Cataratorii!$B16,Data!$C:$C,Cataratorii!M$1)</f>
        <v>32</v>
      </c>
      <c r="N16" s="96">
        <f>SUMIFS(Data!$H:$H,Data!$A:$A,Cataratorii!$B16,Data!$C:$C,Cataratorii!N$1)</f>
        <v>29</v>
      </c>
      <c r="O16" s="96">
        <f>SUMIFS(Data!$H:$H,Data!$A:$A,Cataratorii!$B16,Data!$C:$C,Cataratorii!O$1)</f>
        <v>0</v>
      </c>
      <c r="P16" s="96">
        <f>SUMIFS(Data!$H:$H,Data!$A:$A,Cataratorii!$B16,Data!$C:$C,Cataratorii!P$1)</f>
        <v>30</v>
      </c>
      <c r="Q16" s="96">
        <f>SUMIFS(Data!$H:$H,Data!$A:$A,Cataratorii!$B16,Data!$C:$C,Cataratorii!Q$1)</f>
        <v>27</v>
      </c>
      <c r="R16" s="96">
        <f t="shared" si="0"/>
        <v>1897</v>
      </c>
      <c r="S16" s="39">
        <f>SUMIFS(Data!D:D,Data!A:A,Cataratorii!B16)</f>
        <v>166.25</v>
      </c>
      <c r="T16" s="40" t="str">
        <f>IF(VLOOKUP(B16,Participanti!A:D,4,0)=0," ","New")</f>
        <v xml:space="preserve"> </v>
      </c>
    </row>
    <row r="17" spans="1:20" ht="13.8" x14ac:dyDescent="0.3">
      <c r="A17" s="151">
        <v>16</v>
      </c>
      <c r="B17" s="38" t="s">
        <v>55</v>
      </c>
      <c r="C17" s="96">
        <f>SUMIFS(Data!$H:$H,Data!$A:$A,Cataratorii!$B17,Data!$C:$C,Cataratorii!C$1)</f>
        <v>1325</v>
      </c>
      <c r="D17" s="96">
        <f>SUMIFS(Data!$H:$H,Data!$A:$A,Cataratorii!$B17,Data!$C:$C,Cataratorii!D$1)</f>
        <v>0</v>
      </c>
      <c r="E17" s="96">
        <f>SUMIFS(Data!$H:$H,Data!$A:$A,Cataratorii!$B17,Data!$C:$C,Cataratorii!E$1)</f>
        <v>212</v>
      </c>
      <c r="F17" s="96">
        <f>SUMIFS(Data!$H:$H,Data!$A:$A,Cataratorii!$B17,Data!$C:$C,Cataratorii!F$1)</f>
        <v>0</v>
      </c>
      <c r="G17" s="96">
        <f>SUMIFS(Data!$H:$H,Data!$A:$A,Cataratorii!$B17,Data!$C:$C,Cataratorii!G$1)</f>
        <v>88</v>
      </c>
      <c r="H17" s="96">
        <f>SUMIFS(Data!$H:$H,Data!$A:$A,Cataratorii!$B17,Data!$C:$C,Cataratorii!H$1)</f>
        <v>75</v>
      </c>
      <c r="I17" s="96">
        <f>SUMIFS(Data!$H:$H,Data!$A:$A,Cataratorii!$B17,Data!$C:$C,Cataratorii!I$1)</f>
        <v>75</v>
      </c>
      <c r="J17" s="96">
        <f>SUMIFS(Data!$H:$H,Data!$A:$A,Cataratorii!$B17,Data!$C:$C,Cataratorii!J$1)</f>
        <v>99</v>
      </c>
      <c r="K17" s="96">
        <f>SUMIFS(Data!$H:$H,Data!$A:$A,Cataratorii!$B17,Data!$C:$C,Cataratorii!K$1)</f>
        <v>13</v>
      </c>
      <c r="L17" s="96">
        <f>SUMIFS(Data!$H:$H,Data!$A:$A,Cataratorii!$B17,Data!$C:$C,Cataratorii!L$1)</f>
        <v>0</v>
      </c>
      <c r="M17" s="96">
        <f>SUMIFS(Data!$H:$H,Data!$A:$A,Cataratorii!$B17,Data!$C:$C,Cataratorii!M$1)</f>
        <v>0</v>
      </c>
      <c r="N17" s="96">
        <f>SUMIFS(Data!$H:$H,Data!$A:$A,Cataratorii!$B17,Data!$C:$C,Cataratorii!N$1)</f>
        <v>0</v>
      </c>
      <c r="O17" s="96">
        <f>SUMIFS(Data!$H:$H,Data!$A:$A,Cataratorii!$B17,Data!$C:$C,Cataratorii!O$1)</f>
        <v>0</v>
      </c>
      <c r="P17" s="96">
        <f>SUMIFS(Data!$H:$H,Data!$A:$A,Cataratorii!$B17,Data!$C:$C,Cataratorii!P$1)</f>
        <v>0</v>
      </c>
      <c r="Q17" s="96">
        <f>SUMIFS(Data!$H:$H,Data!$A:$A,Cataratorii!$B17,Data!$C:$C,Cataratorii!Q$1)</f>
        <v>0</v>
      </c>
      <c r="R17" s="96">
        <f t="shared" si="0"/>
        <v>1887</v>
      </c>
      <c r="S17" s="39">
        <f>SUMIFS(Data!D:D,Data!A:A,Cataratorii!B17)</f>
        <v>169.59</v>
      </c>
      <c r="T17" s="40" t="str">
        <f>IF(VLOOKUP(B17,Participanti!A:D,4,0)=0," ","New")</f>
        <v xml:space="preserve"> </v>
      </c>
    </row>
    <row r="18" spans="1:20" ht="13.8" x14ac:dyDescent="0.3">
      <c r="A18" s="151">
        <v>17</v>
      </c>
      <c r="B18" s="38" t="s">
        <v>152</v>
      </c>
      <c r="C18" s="96">
        <f>SUMIFS(Data!$H:$H,Data!$A:$A,Cataratorii!$B18,Data!$C:$C,Cataratorii!C$1)</f>
        <v>5</v>
      </c>
      <c r="D18" s="96">
        <f>SUMIFS(Data!$H:$H,Data!$A:$A,Cataratorii!$B18,Data!$C:$C,Cataratorii!D$1)</f>
        <v>61</v>
      </c>
      <c r="E18" s="96">
        <f>SUMIFS(Data!$H:$H,Data!$A:$A,Cataratorii!$B18,Data!$C:$C,Cataratorii!E$1)</f>
        <v>0</v>
      </c>
      <c r="F18" s="96">
        <f>SUMIFS(Data!$H:$H,Data!$A:$A,Cataratorii!$B18,Data!$C:$C,Cataratorii!F$1)</f>
        <v>88</v>
      </c>
      <c r="G18" s="96">
        <f>SUMIFS(Data!$H:$H,Data!$A:$A,Cataratorii!$B18,Data!$C:$C,Cataratorii!G$1)</f>
        <v>41</v>
      </c>
      <c r="H18" s="96">
        <f>SUMIFS(Data!$H:$H,Data!$A:$A,Cataratorii!$B18,Data!$C:$C,Cataratorii!H$1)</f>
        <v>731</v>
      </c>
      <c r="I18" s="96">
        <f>SUMIFS(Data!$H:$H,Data!$A:$A,Cataratorii!$B18,Data!$C:$C,Cataratorii!I$1)</f>
        <v>0</v>
      </c>
      <c r="J18" s="96">
        <f>SUMIFS(Data!$H:$H,Data!$A:$A,Cataratorii!$B18,Data!$C:$C,Cataratorii!J$1)</f>
        <v>75</v>
      </c>
      <c r="K18" s="96">
        <f>SUMIFS(Data!$H:$H,Data!$A:$A,Cataratorii!$B18,Data!$C:$C,Cataratorii!K$1)</f>
        <v>77</v>
      </c>
      <c r="L18" s="96">
        <f>SUMIFS(Data!$H:$H,Data!$A:$A,Cataratorii!$B18,Data!$C:$C,Cataratorii!L$1)</f>
        <v>-137</v>
      </c>
      <c r="M18" s="96">
        <f>SUMIFS(Data!$H:$H,Data!$A:$A,Cataratorii!$B18,Data!$C:$C,Cataratorii!M$1)</f>
        <v>0</v>
      </c>
      <c r="N18" s="96">
        <f>SUMIFS(Data!$H:$H,Data!$A:$A,Cataratorii!$B18,Data!$C:$C,Cataratorii!N$1)</f>
        <v>185</v>
      </c>
      <c r="O18" s="96">
        <f>SUMIFS(Data!$H:$H,Data!$A:$A,Cataratorii!$B18,Data!$C:$C,Cataratorii!O$1)</f>
        <v>460</v>
      </c>
      <c r="P18" s="96">
        <f>SUMIFS(Data!$H:$H,Data!$A:$A,Cataratorii!$B18,Data!$C:$C,Cataratorii!P$1)</f>
        <v>26</v>
      </c>
      <c r="Q18" s="96">
        <f>SUMIFS(Data!$H:$H,Data!$A:$A,Cataratorii!$B18,Data!$C:$C,Cataratorii!Q$1)</f>
        <v>171</v>
      </c>
      <c r="R18" s="96">
        <f t="shared" si="0"/>
        <v>1783</v>
      </c>
      <c r="S18" s="39">
        <f>SUMIFS(Data!D:D,Data!A:A,Cataratorii!B18)</f>
        <v>210.6</v>
      </c>
      <c r="T18" s="40" t="str">
        <f>IF(VLOOKUP(B18,Participanti!A:D,4,0)=0," ","New")</f>
        <v xml:space="preserve"> </v>
      </c>
    </row>
    <row r="19" spans="1:20" ht="13.8" x14ac:dyDescent="0.3">
      <c r="A19" s="151">
        <v>18</v>
      </c>
      <c r="B19" s="38" t="s">
        <v>5</v>
      </c>
      <c r="C19" s="96">
        <f>SUMIFS(Data!$H:$H,Data!$A:$A,Cataratorii!$B19,Data!$C:$C,Cataratorii!C$1)</f>
        <v>1336</v>
      </c>
      <c r="D19" s="96">
        <f>SUMIFS(Data!$H:$H,Data!$A:$A,Cataratorii!$B19,Data!$C:$C,Cataratorii!D$1)</f>
        <v>13</v>
      </c>
      <c r="E19" s="96">
        <f>SUMIFS(Data!$H:$H,Data!$A:$A,Cataratorii!$B19,Data!$C:$C,Cataratorii!E$1)</f>
        <v>11</v>
      </c>
      <c r="F19" s="96">
        <f>SUMIFS(Data!$H:$H,Data!$A:$A,Cataratorii!$B19,Data!$C:$C,Cataratorii!F$1)</f>
        <v>0</v>
      </c>
      <c r="G19" s="96">
        <f>SUMIFS(Data!$H:$H,Data!$A:$A,Cataratorii!$B19,Data!$C:$C,Cataratorii!G$1)</f>
        <v>0</v>
      </c>
      <c r="H19" s="96">
        <f>SUMIFS(Data!$H:$H,Data!$A:$A,Cataratorii!$B19,Data!$C:$C,Cataratorii!H$1)</f>
        <v>0</v>
      </c>
      <c r="I19" s="96">
        <f>SUMIFS(Data!$H:$H,Data!$A:$A,Cataratorii!$B19,Data!$C:$C,Cataratorii!I$1)</f>
        <v>0</v>
      </c>
      <c r="J19" s="96">
        <f>SUMIFS(Data!$H:$H,Data!$A:$A,Cataratorii!$B19,Data!$C:$C,Cataratorii!J$1)</f>
        <v>0</v>
      </c>
      <c r="K19" s="96">
        <f>SUMIFS(Data!$H:$H,Data!$A:$A,Cataratorii!$B19,Data!$C:$C,Cataratorii!K$1)</f>
        <v>0</v>
      </c>
      <c r="L19" s="96">
        <f>SUMIFS(Data!$H:$H,Data!$A:$A,Cataratorii!$B19,Data!$C:$C,Cataratorii!L$1)</f>
        <v>0</v>
      </c>
      <c r="M19" s="96">
        <f>SUMIFS(Data!$H:$H,Data!$A:$A,Cataratorii!$B19,Data!$C:$C,Cataratorii!M$1)</f>
        <v>0</v>
      </c>
      <c r="N19" s="96">
        <f>SUMIFS(Data!$H:$H,Data!$A:$A,Cataratorii!$B19,Data!$C:$C,Cataratorii!N$1)</f>
        <v>0</v>
      </c>
      <c r="O19" s="96">
        <f>SUMIFS(Data!$H:$H,Data!$A:$A,Cataratorii!$B19,Data!$C:$C,Cataratorii!O$1)</f>
        <v>0</v>
      </c>
      <c r="P19" s="96">
        <f>SUMIFS(Data!$H:$H,Data!$A:$A,Cataratorii!$B19,Data!$C:$C,Cataratorii!P$1)</f>
        <v>0</v>
      </c>
      <c r="Q19" s="96">
        <f>SUMIFS(Data!$H:$H,Data!$A:$A,Cataratorii!$B19,Data!$C:$C,Cataratorii!Q$1)</f>
        <v>0</v>
      </c>
      <c r="R19" s="96">
        <f t="shared" si="0"/>
        <v>1360</v>
      </c>
      <c r="S19" s="39">
        <f>SUMIFS(Data!D:D,Data!A:A,Cataratorii!B19)</f>
        <v>42.209999999999994</v>
      </c>
      <c r="T19" s="40" t="str">
        <f>IF(VLOOKUP(B19,Participanti!A:D,4,0)=0," ","New")</f>
        <v xml:space="preserve"> </v>
      </c>
    </row>
    <row r="20" spans="1:20" ht="13.8" x14ac:dyDescent="0.3">
      <c r="A20" s="151">
        <v>19</v>
      </c>
      <c r="B20" s="38" t="s">
        <v>61</v>
      </c>
      <c r="C20" s="96">
        <f>SUMIFS(Data!$H:$H,Data!$A:$A,Cataratorii!$B20,Data!$C:$C,Cataratorii!C$1)</f>
        <v>12</v>
      </c>
      <c r="D20" s="96">
        <f>SUMIFS(Data!$H:$H,Data!$A:$A,Cataratorii!$B20,Data!$C:$C,Cataratorii!D$1)</f>
        <v>8</v>
      </c>
      <c r="E20" s="96">
        <f>SUMIFS(Data!$H:$H,Data!$A:$A,Cataratorii!$B20,Data!$C:$C,Cataratorii!E$1)</f>
        <v>46</v>
      </c>
      <c r="F20" s="96">
        <f>SUMIFS(Data!$H:$H,Data!$A:$A,Cataratorii!$B20,Data!$C:$C,Cataratorii!F$1)</f>
        <v>344</v>
      </c>
      <c r="G20" s="96">
        <f>SUMIFS(Data!$H:$H,Data!$A:$A,Cataratorii!$B20,Data!$C:$C,Cataratorii!G$1)</f>
        <v>100</v>
      </c>
      <c r="H20" s="96">
        <f>SUMIFS(Data!$H:$H,Data!$A:$A,Cataratorii!$B20,Data!$C:$C,Cataratorii!H$1)</f>
        <v>0</v>
      </c>
      <c r="I20" s="96">
        <f>SUMIFS(Data!$H:$H,Data!$A:$A,Cataratorii!$B20,Data!$C:$C,Cataratorii!I$1)</f>
        <v>173</v>
      </c>
      <c r="J20" s="96">
        <f>SUMIFS(Data!$H:$H,Data!$A:$A,Cataratorii!$B20,Data!$C:$C,Cataratorii!J$1)</f>
        <v>45</v>
      </c>
      <c r="K20" s="96">
        <f>SUMIFS(Data!$H:$H,Data!$A:$A,Cataratorii!$B20,Data!$C:$C,Cataratorii!K$1)</f>
        <v>110</v>
      </c>
      <c r="L20" s="96">
        <f>SUMIFS(Data!$H:$H,Data!$A:$A,Cataratorii!$B20,Data!$C:$C,Cataratorii!L$1)</f>
        <v>0</v>
      </c>
      <c r="M20" s="96">
        <f>SUMIFS(Data!$H:$H,Data!$A:$A,Cataratorii!$B20,Data!$C:$C,Cataratorii!M$1)</f>
        <v>89</v>
      </c>
      <c r="N20" s="96">
        <f>SUMIFS(Data!$H:$H,Data!$A:$A,Cataratorii!$B20,Data!$C:$C,Cataratorii!N$1)</f>
        <v>0</v>
      </c>
      <c r="O20" s="96">
        <f>SUMIFS(Data!$H:$H,Data!$A:$A,Cataratorii!$B20,Data!$C:$C,Cataratorii!O$1)</f>
        <v>2</v>
      </c>
      <c r="P20" s="96">
        <f>SUMIFS(Data!$H:$H,Data!$A:$A,Cataratorii!$B20,Data!$C:$C,Cataratorii!P$1)</f>
        <v>20</v>
      </c>
      <c r="Q20" s="96">
        <f>SUMIFS(Data!$H:$H,Data!$A:$A,Cataratorii!$B20,Data!$C:$C,Cataratorii!Q$1)</f>
        <v>8</v>
      </c>
      <c r="R20" s="96">
        <f t="shared" si="0"/>
        <v>957</v>
      </c>
      <c r="S20" s="39">
        <f>SUMIFS(Data!D:D,Data!A:A,Cataratorii!B20)</f>
        <v>169.66000000000003</v>
      </c>
      <c r="T20" s="40" t="str">
        <f>IF(VLOOKUP(B20,Participanti!A:D,4,0)=0," ","New")</f>
        <v xml:space="preserve"> </v>
      </c>
    </row>
    <row r="21" spans="1:20" ht="13.8" x14ac:dyDescent="0.3">
      <c r="A21" s="151">
        <v>20</v>
      </c>
      <c r="B21" s="38" t="s">
        <v>118</v>
      </c>
      <c r="C21" s="96">
        <f>SUMIFS(Data!$H:$H,Data!$A:$A,Cataratorii!$B21,Data!$C:$C,Cataratorii!C$1)</f>
        <v>11</v>
      </c>
      <c r="D21" s="96">
        <f>SUMIFS(Data!$H:$H,Data!$A:$A,Cataratorii!$B21,Data!$C:$C,Cataratorii!D$1)</f>
        <v>44</v>
      </c>
      <c r="E21" s="96">
        <f>SUMIFS(Data!$H:$H,Data!$A:$A,Cataratorii!$B21,Data!$C:$C,Cataratorii!E$1)</f>
        <v>14</v>
      </c>
      <c r="F21" s="96">
        <f>SUMIFS(Data!$H:$H,Data!$A:$A,Cataratorii!$B21,Data!$C:$C,Cataratorii!F$1)</f>
        <v>15</v>
      </c>
      <c r="G21" s="96">
        <f>SUMIFS(Data!$H:$H,Data!$A:$A,Cataratorii!$B21,Data!$C:$C,Cataratorii!G$1)</f>
        <v>374</v>
      </c>
      <c r="H21" s="96">
        <f>SUMIFS(Data!$H:$H,Data!$A:$A,Cataratorii!$B21,Data!$C:$C,Cataratorii!H$1)</f>
        <v>3</v>
      </c>
      <c r="I21" s="96">
        <f>SUMIFS(Data!$H:$H,Data!$A:$A,Cataratorii!$B21,Data!$C:$C,Cataratorii!I$1)</f>
        <v>0</v>
      </c>
      <c r="J21" s="96">
        <f>SUMIFS(Data!$H:$H,Data!$A:$A,Cataratorii!$B21,Data!$C:$C,Cataratorii!J$1)</f>
        <v>91</v>
      </c>
      <c r="K21" s="96">
        <f>SUMIFS(Data!$H:$H,Data!$A:$A,Cataratorii!$B21,Data!$C:$C,Cataratorii!K$1)</f>
        <v>40</v>
      </c>
      <c r="L21" s="96">
        <f>SUMIFS(Data!$H:$H,Data!$A:$A,Cataratorii!$B21,Data!$C:$C,Cataratorii!L$1)</f>
        <v>37</v>
      </c>
      <c r="M21" s="96">
        <f>SUMIFS(Data!$H:$H,Data!$A:$A,Cataratorii!$B21,Data!$C:$C,Cataratorii!M$1)</f>
        <v>5</v>
      </c>
      <c r="N21" s="96">
        <f>SUMIFS(Data!$H:$H,Data!$A:$A,Cataratorii!$B21,Data!$C:$C,Cataratorii!N$1)</f>
        <v>53</v>
      </c>
      <c r="O21" s="96">
        <f>SUMIFS(Data!$H:$H,Data!$A:$A,Cataratorii!$B21,Data!$C:$C,Cataratorii!O$1)</f>
        <v>84</v>
      </c>
      <c r="P21" s="96">
        <f>SUMIFS(Data!$H:$H,Data!$A:$A,Cataratorii!$B21,Data!$C:$C,Cataratorii!P$1)</f>
        <v>51</v>
      </c>
      <c r="Q21" s="96">
        <f>SUMIFS(Data!$H:$H,Data!$A:$A,Cataratorii!$B21,Data!$C:$C,Cataratorii!Q$1)</f>
        <v>121</v>
      </c>
      <c r="R21" s="96">
        <f t="shared" si="0"/>
        <v>943</v>
      </c>
      <c r="S21" s="39">
        <f>SUMIFS(Data!D:D,Data!A:A,Cataratorii!B21)</f>
        <v>270.63</v>
      </c>
      <c r="T21" s="40" t="str">
        <f>IF(VLOOKUP(B21,Participanti!A:D,4,0)=0," ","New")</f>
        <v xml:space="preserve"> </v>
      </c>
    </row>
    <row r="22" spans="1:20" ht="13.8" x14ac:dyDescent="0.3">
      <c r="A22" s="151">
        <v>21</v>
      </c>
      <c r="B22" s="38" t="s">
        <v>154</v>
      </c>
      <c r="C22" s="96">
        <f>SUMIFS(Data!$H:$H,Data!$A:$A,Cataratorii!$B22,Data!$C:$C,Cataratorii!C$1)</f>
        <v>14</v>
      </c>
      <c r="D22" s="96">
        <f>SUMIFS(Data!$H:$H,Data!$A:$A,Cataratorii!$B22,Data!$C:$C,Cataratorii!D$1)</f>
        <v>17</v>
      </c>
      <c r="E22" s="96">
        <f>SUMIFS(Data!$H:$H,Data!$A:$A,Cataratorii!$B22,Data!$C:$C,Cataratorii!E$1)</f>
        <v>34</v>
      </c>
      <c r="F22" s="96">
        <f>SUMIFS(Data!$H:$H,Data!$A:$A,Cataratorii!$B22,Data!$C:$C,Cataratorii!F$1)</f>
        <v>22</v>
      </c>
      <c r="G22" s="96">
        <f>SUMIFS(Data!$H:$H,Data!$A:$A,Cataratorii!$B22,Data!$C:$C,Cataratorii!G$1)</f>
        <v>29</v>
      </c>
      <c r="H22" s="96">
        <f>SUMIFS(Data!$H:$H,Data!$A:$A,Cataratorii!$B22,Data!$C:$C,Cataratorii!H$1)</f>
        <v>0</v>
      </c>
      <c r="I22" s="96">
        <f>SUMIFS(Data!$H:$H,Data!$A:$A,Cataratorii!$B22,Data!$C:$C,Cataratorii!I$1)</f>
        <v>83</v>
      </c>
      <c r="J22" s="96">
        <f>SUMIFS(Data!$H:$H,Data!$A:$A,Cataratorii!$B22,Data!$C:$C,Cataratorii!J$1)</f>
        <v>28</v>
      </c>
      <c r="K22" s="96">
        <f>SUMIFS(Data!$H:$H,Data!$A:$A,Cataratorii!$B22,Data!$C:$C,Cataratorii!K$1)</f>
        <v>23</v>
      </c>
      <c r="L22" s="96">
        <f>SUMIFS(Data!$H:$H,Data!$A:$A,Cataratorii!$B22,Data!$C:$C,Cataratorii!L$1)</f>
        <v>47</v>
      </c>
      <c r="M22" s="96">
        <f>SUMIFS(Data!$H:$H,Data!$A:$A,Cataratorii!$B22,Data!$C:$C,Cataratorii!M$1)</f>
        <v>250</v>
      </c>
      <c r="N22" s="96">
        <f>SUMIFS(Data!$H:$H,Data!$A:$A,Cataratorii!$B22,Data!$C:$C,Cataratorii!N$1)</f>
        <v>53</v>
      </c>
      <c r="O22" s="96">
        <f>SUMIFS(Data!$H:$H,Data!$A:$A,Cataratorii!$B22,Data!$C:$C,Cataratorii!O$1)</f>
        <v>82</v>
      </c>
      <c r="P22" s="96">
        <f>SUMIFS(Data!$H:$H,Data!$A:$A,Cataratorii!$B22,Data!$C:$C,Cataratorii!P$1)</f>
        <v>0</v>
      </c>
      <c r="Q22" s="96">
        <f>SUMIFS(Data!$H:$H,Data!$A:$A,Cataratorii!$B22,Data!$C:$C,Cataratorii!Q$1)</f>
        <v>96</v>
      </c>
      <c r="R22" s="96">
        <f t="shared" si="0"/>
        <v>778</v>
      </c>
      <c r="S22" s="39">
        <f>SUMIFS(Data!D:D,Data!A:A,Cataratorii!B22)</f>
        <v>205.25999999999996</v>
      </c>
      <c r="T22" s="40" t="str">
        <f>IF(VLOOKUP(B22,Participanti!A:D,4,0)=0," ","New")</f>
        <v xml:space="preserve"> </v>
      </c>
    </row>
    <row r="23" spans="1:20" ht="13.8" x14ac:dyDescent="0.3">
      <c r="A23" s="151">
        <v>22</v>
      </c>
      <c r="B23" s="38" t="s">
        <v>153</v>
      </c>
      <c r="C23" s="96">
        <f>SUMIFS(Data!$H:$H,Data!$A:$A,Cataratorii!$B23,Data!$C:$C,Cataratorii!C$1)</f>
        <v>0</v>
      </c>
      <c r="D23" s="96">
        <f>SUMIFS(Data!$H:$H,Data!$A:$A,Cataratorii!$B23,Data!$C:$C,Cataratorii!D$1)</f>
        <v>17</v>
      </c>
      <c r="E23" s="96">
        <f>SUMIFS(Data!$H:$H,Data!$A:$A,Cataratorii!$B23,Data!$C:$C,Cataratorii!E$1)</f>
        <v>40</v>
      </c>
      <c r="F23" s="96">
        <f>SUMIFS(Data!$H:$H,Data!$A:$A,Cataratorii!$B23,Data!$C:$C,Cataratorii!F$1)</f>
        <v>144</v>
      </c>
      <c r="G23" s="96">
        <f>SUMIFS(Data!$H:$H,Data!$A:$A,Cataratorii!$B23,Data!$C:$C,Cataratorii!G$1)</f>
        <v>11</v>
      </c>
      <c r="H23" s="96">
        <f>SUMIFS(Data!$H:$H,Data!$A:$A,Cataratorii!$B23,Data!$C:$C,Cataratorii!H$1)</f>
        <v>101</v>
      </c>
      <c r="I23" s="96">
        <f>SUMIFS(Data!$H:$H,Data!$A:$A,Cataratorii!$B23,Data!$C:$C,Cataratorii!I$1)</f>
        <v>20</v>
      </c>
      <c r="J23" s="96">
        <f>SUMIFS(Data!$H:$H,Data!$A:$A,Cataratorii!$B23,Data!$C:$C,Cataratorii!J$1)</f>
        <v>0</v>
      </c>
      <c r="K23" s="96">
        <f>SUMIFS(Data!$H:$H,Data!$A:$A,Cataratorii!$B23,Data!$C:$C,Cataratorii!K$1)</f>
        <v>59</v>
      </c>
      <c r="L23" s="96">
        <f>SUMIFS(Data!$H:$H,Data!$A:$A,Cataratorii!$B23,Data!$C:$C,Cataratorii!L$1)</f>
        <v>79</v>
      </c>
      <c r="M23" s="96">
        <f>SUMIFS(Data!$H:$H,Data!$A:$A,Cataratorii!$B23,Data!$C:$C,Cataratorii!M$1)</f>
        <v>0</v>
      </c>
      <c r="N23" s="96">
        <f>SUMIFS(Data!$H:$H,Data!$A:$A,Cataratorii!$B23,Data!$C:$C,Cataratorii!N$1)</f>
        <v>2</v>
      </c>
      <c r="O23" s="96">
        <f>SUMIFS(Data!$H:$H,Data!$A:$A,Cataratorii!$B23,Data!$C:$C,Cataratorii!O$1)</f>
        <v>71</v>
      </c>
      <c r="P23" s="96">
        <f>SUMIFS(Data!$H:$H,Data!$A:$A,Cataratorii!$B23,Data!$C:$C,Cataratorii!P$1)</f>
        <v>58</v>
      </c>
      <c r="Q23" s="96">
        <f>SUMIFS(Data!$H:$H,Data!$A:$A,Cataratorii!$B23,Data!$C:$C,Cataratorii!Q$1)</f>
        <v>39</v>
      </c>
      <c r="R23" s="96">
        <f t="shared" si="0"/>
        <v>641</v>
      </c>
      <c r="S23" s="39">
        <f>SUMIFS(Data!D:D,Data!A:A,Cataratorii!B23)</f>
        <v>127.12000000000002</v>
      </c>
      <c r="T23" s="40" t="str">
        <f>IF(VLOOKUP(B23,Participanti!A:D,4,0)=0," ","New")</f>
        <v xml:space="preserve"> </v>
      </c>
    </row>
    <row r="24" spans="1:20" ht="13.8" x14ac:dyDescent="0.3">
      <c r="A24" s="151">
        <v>23</v>
      </c>
      <c r="B24" s="38" t="s">
        <v>67</v>
      </c>
      <c r="C24" s="96">
        <f>SUMIFS(Data!$H:$H,Data!$A:$A,Cataratorii!$B24,Data!$C:$C,Cataratorii!C$1)</f>
        <v>34</v>
      </c>
      <c r="D24" s="96">
        <f>SUMIFS(Data!$H:$H,Data!$A:$A,Cataratorii!$B24,Data!$C:$C,Cataratorii!D$1)</f>
        <v>21</v>
      </c>
      <c r="E24" s="96">
        <f>SUMIFS(Data!$H:$H,Data!$A:$A,Cataratorii!$B24,Data!$C:$C,Cataratorii!E$1)</f>
        <v>13</v>
      </c>
      <c r="F24" s="96">
        <f>SUMIFS(Data!$H:$H,Data!$A:$A,Cataratorii!$B24,Data!$C:$C,Cataratorii!F$1)</f>
        <v>77</v>
      </c>
      <c r="G24" s="96">
        <f>SUMIFS(Data!$H:$H,Data!$A:$A,Cataratorii!$B24,Data!$C:$C,Cataratorii!G$1)</f>
        <v>70</v>
      </c>
      <c r="H24" s="96">
        <f>SUMIFS(Data!$H:$H,Data!$A:$A,Cataratorii!$B24,Data!$C:$C,Cataratorii!H$1)</f>
        <v>35</v>
      </c>
      <c r="I24" s="96">
        <f>SUMIFS(Data!$H:$H,Data!$A:$A,Cataratorii!$B24,Data!$C:$C,Cataratorii!I$1)</f>
        <v>64</v>
      </c>
      <c r="J24" s="96">
        <f>SUMIFS(Data!$H:$H,Data!$A:$A,Cataratorii!$B24,Data!$C:$C,Cataratorii!J$1)</f>
        <v>41</v>
      </c>
      <c r="K24" s="96">
        <f>SUMIFS(Data!$H:$H,Data!$A:$A,Cataratorii!$B24,Data!$C:$C,Cataratorii!K$1)</f>
        <v>0</v>
      </c>
      <c r="L24" s="96">
        <f>SUMIFS(Data!$H:$H,Data!$A:$A,Cataratorii!$B24,Data!$C:$C,Cataratorii!L$1)</f>
        <v>18</v>
      </c>
      <c r="M24" s="96">
        <f>SUMIFS(Data!$H:$H,Data!$A:$A,Cataratorii!$B24,Data!$C:$C,Cataratorii!M$1)</f>
        <v>38</v>
      </c>
      <c r="N24" s="96">
        <f>SUMIFS(Data!$H:$H,Data!$A:$A,Cataratorii!$B24,Data!$C:$C,Cataratorii!N$1)</f>
        <v>21</v>
      </c>
      <c r="O24" s="96">
        <f>SUMIFS(Data!$H:$H,Data!$A:$A,Cataratorii!$B24,Data!$C:$C,Cataratorii!O$1)</f>
        <v>45</v>
      </c>
      <c r="P24" s="96">
        <f>SUMIFS(Data!$H:$H,Data!$A:$A,Cataratorii!$B24,Data!$C:$C,Cataratorii!P$1)</f>
        <v>39</v>
      </c>
      <c r="Q24" s="96">
        <f>SUMIFS(Data!$H:$H,Data!$A:$A,Cataratorii!$B24,Data!$C:$C,Cataratorii!Q$1)</f>
        <v>73</v>
      </c>
      <c r="R24" s="96">
        <f t="shared" si="0"/>
        <v>589</v>
      </c>
      <c r="S24" s="39">
        <f>SUMIFS(Data!D:D,Data!A:A,Cataratorii!B24)</f>
        <v>227.03</v>
      </c>
      <c r="T24" s="40" t="str">
        <f>IF(VLOOKUP(B24,Participanti!A:D,4,0)=0," ","New")</f>
        <v xml:space="preserve"> </v>
      </c>
    </row>
    <row r="25" spans="1:20" ht="13.8" x14ac:dyDescent="0.3">
      <c r="A25" s="151">
        <v>24</v>
      </c>
      <c r="B25" s="38" t="s">
        <v>49</v>
      </c>
      <c r="C25" s="96">
        <f>SUMIFS(Data!$H:$H,Data!$A:$A,Cataratorii!$B25,Data!$C:$C,Cataratorii!C$1)</f>
        <v>92</v>
      </c>
      <c r="D25" s="96">
        <f>SUMIFS(Data!$H:$H,Data!$A:$A,Cataratorii!$B25,Data!$C:$C,Cataratorii!D$1)</f>
        <v>9</v>
      </c>
      <c r="E25" s="96">
        <f>SUMIFS(Data!$H:$H,Data!$A:$A,Cataratorii!$B25,Data!$C:$C,Cataratorii!E$1)</f>
        <v>11</v>
      </c>
      <c r="F25" s="96">
        <f>SUMIFS(Data!$H:$H,Data!$A:$A,Cataratorii!$B25,Data!$C:$C,Cataratorii!F$1)</f>
        <v>18</v>
      </c>
      <c r="G25" s="96">
        <f>SUMIFS(Data!$H:$H,Data!$A:$A,Cataratorii!$B25,Data!$C:$C,Cataratorii!G$1)</f>
        <v>24</v>
      </c>
      <c r="H25" s="96">
        <f>SUMIFS(Data!$H:$H,Data!$A:$A,Cataratorii!$B25,Data!$C:$C,Cataratorii!H$1)</f>
        <v>0</v>
      </c>
      <c r="I25" s="96">
        <f>SUMIFS(Data!$H:$H,Data!$A:$A,Cataratorii!$B25,Data!$C:$C,Cataratorii!I$1)</f>
        <v>0</v>
      </c>
      <c r="J25" s="96">
        <f>SUMIFS(Data!$H:$H,Data!$A:$A,Cataratorii!$B25,Data!$C:$C,Cataratorii!J$1)</f>
        <v>40</v>
      </c>
      <c r="K25" s="96">
        <f>SUMIFS(Data!$H:$H,Data!$A:$A,Cataratorii!$B25,Data!$C:$C,Cataratorii!K$1)</f>
        <v>211</v>
      </c>
      <c r="L25" s="96">
        <f>SUMIFS(Data!$H:$H,Data!$A:$A,Cataratorii!$B25,Data!$C:$C,Cataratorii!L$1)</f>
        <v>16</v>
      </c>
      <c r="M25" s="96">
        <f>SUMIFS(Data!$H:$H,Data!$A:$A,Cataratorii!$B25,Data!$C:$C,Cataratorii!M$1)</f>
        <v>18</v>
      </c>
      <c r="N25" s="96">
        <f>SUMIFS(Data!$H:$H,Data!$A:$A,Cataratorii!$B25,Data!$C:$C,Cataratorii!N$1)</f>
        <v>15</v>
      </c>
      <c r="O25" s="96">
        <f>SUMIFS(Data!$H:$H,Data!$A:$A,Cataratorii!$B25,Data!$C:$C,Cataratorii!O$1)</f>
        <v>16</v>
      </c>
      <c r="P25" s="96">
        <f>SUMIFS(Data!$H:$H,Data!$A:$A,Cataratorii!$B25,Data!$C:$C,Cataratorii!P$1)</f>
        <v>16</v>
      </c>
      <c r="Q25" s="96">
        <f>SUMIFS(Data!$H:$H,Data!$A:$A,Cataratorii!$B25,Data!$C:$C,Cataratorii!Q$1)</f>
        <v>45</v>
      </c>
      <c r="R25" s="96">
        <f t="shared" si="0"/>
        <v>531</v>
      </c>
      <c r="S25" s="39">
        <f>SUMIFS(Data!D:D,Data!A:A,Cataratorii!B25)</f>
        <v>249.05999999999997</v>
      </c>
      <c r="T25" s="40" t="str">
        <f>IF(VLOOKUP(B25,Participanti!A:D,4,0)=0," ","New")</f>
        <v xml:space="preserve"> </v>
      </c>
    </row>
    <row r="26" spans="1:20" ht="13.8" x14ac:dyDescent="0.3">
      <c r="A26" s="151">
        <v>25</v>
      </c>
      <c r="B26" s="38" t="s">
        <v>7</v>
      </c>
      <c r="C26" s="96">
        <f>SUMIFS(Data!$H:$H,Data!$A:$A,Cataratorii!$B26,Data!$C:$C,Cataratorii!C$1)</f>
        <v>16</v>
      </c>
      <c r="D26" s="96">
        <f>SUMIFS(Data!$H:$H,Data!$A:$A,Cataratorii!$B26,Data!$C:$C,Cataratorii!D$1)</f>
        <v>15</v>
      </c>
      <c r="E26" s="96">
        <f>SUMIFS(Data!$H:$H,Data!$A:$A,Cataratorii!$B26,Data!$C:$C,Cataratorii!E$1)</f>
        <v>2</v>
      </c>
      <c r="F26" s="96">
        <f>SUMIFS(Data!$H:$H,Data!$A:$A,Cataratorii!$B26,Data!$C:$C,Cataratorii!F$1)</f>
        <v>3</v>
      </c>
      <c r="G26" s="96">
        <f>SUMIFS(Data!$H:$H,Data!$A:$A,Cataratorii!$B26,Data!$C:$C,Cataratorii!G$1)</f>
        <v>10</v>
      </c>
      <c r="H26" s="96">
        <f>SUMIFS(Data!$H:$H,Data!$A:$A,Cataratorii!$B26,Data!$C:$C,Cataratorii!H$1)</f>
        <v>17</v>
      </c>
      <c r="I26" s="96">
        <f>SUMIFS(Data!$H:$H,Data!$A:$A,Cataratorii!$B26,Data!$C:$C,Cataratorii!I$1)</f>
        <v>13</v>
      </c>
      <c r="J26" s="96">
        <f>SUMIFS(Data!$H:$H,Data!$A:$A,Cataratorii!$B26,Data!$C:$C,Cataratorii!J$1)</f>
        <v>78</v>
      </c>
      <c r="K26" s="96">
        <f>SUMIFS(Data!$H:$H,Data!$A:$A,Cataratorii!$B26,Data!$C:$C,Cataratorii!K$1)</f>
        <v>39</v>
      </c>
      <c r="L26" s="96">
        <f>SUMIFS(Data!$H:$H,Data!$A:$A,Cataratorii!$B26,Data!$C:$C,Cataratorii!L$1)</f>
        <v>17</v>
      </c>
      <c r="M26" s="96">
        <f>SUMIFS(Data!$H:$H,Data!$A:$A,Cataratorii!$B26,Data!$C:$C,Cataratorii!M$1)</f>
        <v>15</v>
      </c>
      <c r="N26" s="96">
        <f>SUMIFS(Data!$H:$H,Data!$A:$A,Cataratorii!$B26,Data!$C:$C,Cataratorii!N$1)</f>
        <v>36</v>
      </c>
      <c r="O26" s="96">
        <f>SUMIFS(Data!$H:$H,Data!$A:$A,Cataratorii!$B26,Data!$C:$C,Cataratorii!O$1)</f>
        <v>66</v>
      </c>
      <c r="P26" s="96">
        <f>SUMIFS(Data!$H:$H,Data!$A:$A,Cataratorii!$B26,Data!$C:$C,Cataratorii!P$1)</f>
        <v>31</v>
      </c>
      <c r="Q26" s="96">
        <f>SUMIFS(Data!$H:$H,Data!$A:$A,Cataratorii!$B26,Data!$C:$C,Cataratorii!Q$1)</f>
        <v>65</v>
      </c>
      <c r="R26" s="96">
        <f t="shared" si="0"/>
        <v>423</v>
      </c>
      <c r="S26" s="39">
        <f>SUMIFS(Data!D:D,Data!A:A,Cataratorii!B26)</f>
        <v>189.14</v>
      </c>
      <c r="T26" s="40" t="str">
        <f>IF(VLOOKUP(B26,Participanti!A:D,4,0)=0," ","New")</f>
        <v xml:space="preserve"> </v>
      </c>
    </row>
    <row r="27" spans="1:20" ht="13.8" x14ac:dyDescent="0.3">
      <c r="A27" s="151">
        <v>26</v>
      </c>
      <c r="B27" s="38" t="s">
        <v>100</v>
      </c>
      <c r="C27" s="96">
        <f>SUMIFS(Data!$H:$H,Data!$A:$A,Cataratorii!$B27,Data!$C:$C,Cataratorii!C$1)</f>
        <v>32</v>
      </c>
      <c r="D27" s="96">
        <f>SUMIFS(Data!$H:$H,Data!$A:$A,Cataratorii!$B27,Data!$C:$C,Cataratorii!D$1)</f>
        <v>0</v>
      </c>
      <c r="E27" s="96">
        <f>SUMIFS(Data!$H:$H,Data!$A:$A,Cataratorii!$B27,Data!$C:$C,Cataratorii!E$1)</f>
        <v>52</v>
      </c>
      <c r="F27" s="96">
        <f>SUMIFS(Data!$H:$H,Data!$A:$A,Cataratorii!$B27,Data!$C:$C,Cataratorii!F$1)</f>
        <v>22</v>
      </c>
      <c r="G27" s="96">
        <f>SUMIFS(Data!$H:$H,Data!$A:$A,Cataratorii!$B27,Data!$C:$C,Cataratorii!G$1)</f>
        <v>25</v>
      </c>
      <c r="H27" s="96">
        <f>SUMIFS(Data!$H:$H,Data!$A:$A,Cataratorii!$B27,Data!$C:$C,Cataratorii!H$1)</f>
        <v>25</v>
      </c>
      <c r="I27" s="96">
        <f>SUMIFS(Data!$H:$H,Data!$A:$A,Cataratorii!$B27,Data!$C:$C,Cataratorii!I$1)</f>
        <v>25</v>
      </c>
      <c r="J27" s="96">
        <f>SUMIFS(Data!$H:$H,Data!$A:$A,Cataratorii!$B27,Data!$C:$C,Cataratorii!J$1)</f>
        <v>23</v>
      </c>
      <c r="K27" s="96">
        <f>SUMIFS(Data!$H:$H,Data!$A:$A,Cataratorii!$B27,Data!$C:$C,Cataratorii!K$1)</f>
        <v>44</v>
      </c>
      <c r="L27" s="96">
        <f>SUMIFS(Data!$H:$H,Data!$A:$A,Cataratorii!$B27,Data!$C:$C,Cataratorii!L$1)</f>
        <v>34</v>
      </c>
      <c r="M27" s="96">
        <f>SUMIFS(Data!$H:$H,Data!$A:$A,Cataratorii!$B27,Data!$C:$C,Cataratorii!M$1)</f>
        <v>0</v>
      </c>
      <c r="N27" s="96">
        <f>SUMIFS(Data!$H:$H,Data!$A:$A,Cataratorii!$B27,Data!$C:$C,Cataratorii!N$1)</f>
        <v>0</v>
      </c>
      <c r="O27" s="96">
        <f>SUMIFS(Data!$H:$H,Data!$A:$A,Cataratorii!$B27,Data!$C:$C,Cataratorii!O$1)</f>
        <v>0</v>
      </c>
      <c r="P27" s="96">
        <f>SUMIFS(Data!$H:$H,Data!$A:$A,Cataratorii!$B27,Data!$C:$C,Cataratorii!P$1)</f>
        <v>0</v>
      </c>
      <c r="Q27" s="96">
        <f>SUMIFS(Data!$H:$H,Data!$A:$A,Cataratorii!$B27,Data!$C:$C,Cataratorii!Q$1)</f>
        <v>0</v>
      </c>
      <c r="R27" s="96">
        <f t="shared" si="0"/>
        <v>282</v>
      </c>
      <c r="S27" s="39">
        <f>SUMIFS(Data!D:D,Data!A:A,Cataratorii!B27)</f>
        <v>70.11</v>
      </c>
      <c r="T27" s="40" t="str">
        <f>IF(VLOOKUP(B27,Participanti!A:D,4,0)=0," ","New")</f>
        <v xml:space="preserve"> </v>
      </c>
    </row>
    <row r="28" spans="1:20" ht="13.8" x14ac:dyDescent="0.3">
      <c r="A28" s="151">
        <v>27</v>
      </c>
      <c r="B28" s="38" t="s">
        <v>117</v>
      </c>
      <c r="C28" s="96">
        <f>SUMIFS(Data!$H:$H,Data!$A:$A,Cataratorii!$B28,Data!$C:$C,Cataratorii!C$1)</f>
        <v>19</v>
      </c>
      <c r="D28" s="96">
        <f>SUMIFS(Data!$H:$H,Data!$A:$A,Cataratorii!$B28,Data!$C:$C,Cataratorii!D$1)</f>
        <v>0</v>
      </c>
      <c r="E28" s="96">
        <f>SUMIFS(Data!$H:$H,Data!$A:$A,Cataratorii!$B28,Data!$C:$C,Cataratorii!E$1)</f>
        <v>3</v>
      </c>
      <c r="F28" s="96">
        <f>SUMIFS(Data!$H:$H,Data!$A:$A,Cataratorii!$B28,Data!$C:$C,Cataratorii!F$1)</f>
        <v>30</v>
      </c>
      <c r="G28" s="96">
        <f>SUMIFS(Data!$H:$H,Data!$A:$A,Cataratorii!$B28,Data!$C:$C,Cataratorii!G$1)</f>
        <v>0</v>
      </c>
      <c r="H28" s="96">
        <f>SUMIFS(Data!$H:$H,Data!$A:$A,Cataratorii!$B28,Data!$C:$C,Cataratorii!H$1)</f>
        <v>2</v>
      </c>
      <c r="I28" s="96">
        <f>SUMIFS(Data!$H:$H,Data!$A:$A,Cataratorii!$B28,Data!$C:$C,Cataratorii!I$1)</f>
        <v>4</v>
      </c>
      <c r="J28" s="96">
        <f>SUMIFS(Data!$H:$H,Data!$A:$A,Cataratorii!$B28,Data!$C:$C,Cataratorii!J$1)</f>
        <v>43</v>
      </c>
      <c r="K28" s="96">
        <f>SUMIFS(Data!$H:$H,Data!$A:$A,Cataratorii!$B28,Data!$C:$C,Cataratorii!K$1)</f>
        <v>19</v>
      </c>
      <c r="L28" s="96">
        <f>SUMIFS(Data!$H:$H,Data!$A:$A,Cataratorii!$B28,Data!$C:$C,Cataratorii!L$1)</f>
        <v>55</v>
      </c>
      <c r="M28" s="96">
        <f>SUMIFS(Data!$H:$H,Data!$A:$A,Cataratorii!$B28,Data!$C:$C,Cataratorii!M$1)</f>
        <v>7</v>
      </c>
      <c r="N28" s="96">
        <f>SUMIFS(Data!$H:$H,Data!$A:$A,Cataratorii!$B28,Data!$C:$C,Cataratorii!N$1)</f>
        <v>31</v>
      </c>
      <c r="O28" s="96">
        <f>SUMIFS(Data!$H:$H,Data!$A:$A,Cataratorii!$B28,Data!$C:$C,Cataratorii!O$1)</f>
        <v>0</v>
      </c>
      <c r="P28" s="96">
        <f>SUMIFS(Data!$H:$H,Data!$A:$A,Cataratorii!$B28,Data!$C:$C,Cataratorii!P$1)</f>
        <v>9</v>
      </c>
      <c r="Q28" s="96">
        <f>SUMIFS(Data!$H:$H,Data!$A:$A,Cataratorii!$B28,Data!$C:$C,Cataratorii!Q$1)</f>
        <v>8</v>
      </c>
      <c r="R28" s="96">
        <f t="shared" si="0"/>
        <v>230</v>
      </c>
      <c r="S28" s="39">
        <f>SUMIFS(Data!D:D,Data!A:A,Cataratorii!B28)</f>
        <v>122.15</v>
      </c>
      <c r="T28" s="40" t="str">
        <f>IF(VLOOKUP(B28,Participanti!A:D,4,0)=0," ","New")</f>
        <v xml:space="preserve"> </v>
      </c>
    </row>
    <row r="29" spans="1:20" ht="13.8" x14ac:dyDescent="0.3">
      <c r="A29" s="151">
        <v>28</v>
      </c>
      <c r="B29" s="38" t="s">
        <v>202</v>
      </c>
      <c r="C29" s="96">
        <f>SUMIFS(Data!$H:$H,Data!$A:$A,Cataratorii!$B29,Data!$C:$C,Cataratorii!C$1)</f>
        <v>0</v>
      </c>
      <c r="D29" s="96">
        <f>SUMIFS(Data!$H:$H,Data!$A:$A,Cataratorii!$B29,Data!$C:$C,Cataratorii!D$1)</f>
        <v>11</v>
      </c>
      <c r="E29" s="96">
        <f>SUMIFS(Data!$H:$H,Data!$A:$A,Cataratorii!$B29,Data!$C:$C,Cataratorii!E$1)</f>
        <v>0</v>
      </c>
      <c r="F29" s="96">
        <f>SUMIFS(Data!$H:$H,Data!$A:$A,Cataratorii!$B29,Data!$C:$C,Cataratorii!F$1)</f>
        <v>15</v>
      </c>
      <c r="G29" s="96">
        <f>SUMIFS(Data!$H:$H,Data!$A:$A,Cataratorii!$B29,Data!$C:$C,Cataratorii!G$1)</f>
        <v>28</v>
      </c>
      <c r="H29" s="96">
        <f>SUMIFS(Data!$H:$H,Data!$A:$A,Cataratorii!$B29,Data!$C:$C,Cataratorii!H$1)</f>
        <v>25</v>
      </c>
      <c r="I29" s="96">
        <f>SUMIFS(Data!$H:$H,Data!$A:$A,Cataratorii!$B29,Data!$C:$C,Cataratorii!I$1)</f>
        <v>17</v>
      </c>
      <c r="J29" s="96">
        <f>SUMIFS(Data!$H:$H,Data!$A:$A,Cataratorii!$B29,Data!$C:$C,Cataratorii!J$1)</f>
        <v>25</v>
      </c>
      <c r="K29" s="96">
        <f>SUMIFS(Data!$H:$H,Data!$A:$A,Cataratorii!$B29,Data!$C:$C,Cataratorii!K$1)</f>
        <v>13</v>
      </c>
      <c r="L29" s="96">
        <f>SUMIFS(Data!$H:$H,Data!$A:$A,Cataratorii!$B29,Data!$C:$C,Cataratorii!L$1)</f>
        <v>0</v>
      </c>
      <c r="M29" s="96">
        <f>SUMIFS(Data!$H:$H,Data!$A:$A,Cataratorii!$B29,Data!$C:$C,Cataratorii!M$1)</f>
        <v>2</v>
      </c>
      <c r="N29" s="96">
        <f>SUMIFS(Data!$H:$H,Data!$A:$A,Cataratorii!$B29,Data!$C:$C,Cataratorii!N$1)</f>
        <v>50</v>
      </c>
      <c r="O29" s="96">
        <f>SUMIFS(Data!$H:$H,Data!$A:$A,Cataratorii!$B29,Data!$C:$C,Cataratorii!O$1)</f>
        <v>6</v>
      </c>
      <c r="P29" s="96">
        <f>SUMIFS(Data!$H:$H,Data!$A:$A,Cataratorii!$B29,Data!$C:$C,Cataratorii!P$1)</f>
        <v>4</v>
      </c>
      <c r="Q29" s="96">
        <f>SUMIFS(Data!$H:$H,Data!$A:$A,Cataratorii!$B29,Data!$C:$C,Cataratorii!Q$1)</f>
        <v>17</v>
      </c>
      <c r="R29" s="96">
        <f t="shared" si="0"/>
        <v>213</v>
      </c>
      <c r="S29" s="39">
        <f>SUMIFS(Data!D:D,Data!A:A,Cataratorii!B29)</f>
        <v>126.67</v>
      </c>
      <c r="T29" s="40" t="str">
        <f>IF(VLOOKUP(B29,Participanti!A:D,4,0)=0," ","New")</f>
        <v xml:space="preserve"> </v>
      </c>
    </row>
    <row r="30" spans="1:20" ht="13.8" x14ac:dyDescent="0.3">
      <c r="A30" s="151">
        <v>29</v>
      </c>
      <c r="B30" s="38" t="s">
        <v>119</v>
      </c>
      <c r="C30" s="96">
        <f>SUMIFS(Data!$H:$H,Data!$A:$A,Cataratorii!$B30,Data!$C:$C,Cataratorii!C$1)</f>
        <v>0</v>
      </c>
      <c r="D30" s="96">
        <f>SUMIFS(Data!$H:$H,Data!$A:$A,Cataratorii!$B30,Data!$C:$C,Cataratorii!D$1)</f>
        <v>9</v>
      </c>
      <c r="E30" s="96">
        <f>SUMIFS(Data!$H:$H,Data!$A:$A,Cataratorii!$B30,Data!$C:$C,Cataratorii!E$1)</f>
        <v>16</v>
      </c>
      <c r="F30" s="96">
        <f>SUMIFS(Data!$H:$H,Data!$A:$A,Cataratorii!$B30,Data!$C:$C,Cataratorii!F$1)</f>
        <v>0</v>
      </c>
      <c r="G30" s="96">
        <f>SUMIFS(Data!$H:$H,Data!$A:$A,Cataratorii!$B30,Data!$C:$C,Cataratorii!G$1)</f>
        <v>0</v>
      </c>
      <c r="H30" s="96">
        <f>SUMIFS(Data!$H:$H,Data!$A:$A,Cataratorii!$B30,Data!$C:$C,Cataratorii!H$1)</f>
        <v>16</v>
      </c>
      <c r="I30" s="96">
        <f>SUMIFS(Data!$H:$H,Data!$A:$A,Cataratorii!$B30,Data!$C:$C,Cataratorii!I$1)</f>
        <v>0</v>
      </c>
      <c r="J30" s="96">
        <f>SUMIFS(Data!$H:$H,Data!$A:$A,Cataratorii!$B30,Data!$C:$C,Cataratorii!J$1)</f>
        <v>4</v>
      </c>
      <c r="K30" s="96">
        <f>SUMIFS(Data!$H:$H,Data!$A:$A,Cataratorii!$B30,Data!$C:$C,Cataratorii!K$1)</f>
        <v>28</v>
      </c>
      <c r="L30" s="96">
        <f>SUMIFS(Data!$H:$H,Data!$A:$A,Cataratorii!$B30,Data!$C:$C,Cataratorii!L$1)</f>
        <v>0</v>
      </c>
      <c r="M30" s="96">
        <f>SUMIFS(Data!$H:$H,Data!$A:$A,Cataratorii!$B30,Data!$C:$C,Cataratorii!M$1)</f>
        <v>14</v>
      </c>
      <c r="N30" s="96">
        <f>SUMIFS(Data!$H:$H,Data!$A:$A,Cataratorii!$B30,Data!$C:$C,Cataratorii!N$1)</f>
        <v>5</v>
      </c>
      <c r="O30" s="96">
        <f>SUMIFS(Data!$H:$H,Data!$A:$A,Cataratorii!$B30,Data!$C:$C,Cataratorii!O$1)</f>
        <v>56</v>
      </c>
      <c r="P30" s="96">
        <f>SUMIFS(Data!$H:$H,Data!$A:$A,Cataratorii!$B30,Data!$C:$C,Cataratorii!P$1)</f>
        <v>38</v>
      </c>
      <c r="Q30" s="96">
        <f>SUMIFS(Data!$H:$H,Data!$A:$A,Cataratorii!$B30,Data!$C:$C,Cataratorii!Q$1)</f>
        <v>2</v>
      </c>
      <c r="R30" s="96">
        <f t="shared" si="0"/>
        <v>188</v>
      </c>
      <c r="S30" s="39">
        <f>SUMIFS(Data!D:D,Data!A:A,Cataratorii!B30)</f>
        <v>249.73999999999998</v>
      </c>
      <c r="T30" s="40" t="str">
        <f>IF(VLOOKUP(B30,Participanti!A:D,4,0)=0," ","New")</f>
        <v xml:space="preserve"> </v>
      </c>
    </row>
    <row r="31" spans="1:20" ht="13.8" x14ac:dyDescent="0.3">
      <c r="A31" s="151">
        <v>30</v>
      </c>
      <c r="B31" s="38" t="s">
        <v>241</v>
      </c>
      <c r="C31" s="96">
        <f>SUMIFS(Data!$H:$H,Data!$A:$A,Cataratorii!$B31,Data!$C:$C,Cataratorii!C$1)</f>
        <v>0</v>
      </c>
      <c r="D31" s="96">
        <f>SUMIFS(Data!$H:$H,Data!$A:$A,Cataratorii!$B31,Data!$C:$C,Cataratorii!D$1)</f>
        <v>13</v>
      </c>
      <c r="E31" s="96">
        <f>SUMIFS(Data!$H:$H,Data!$A:$A,Cataratorii!$B31,Data!$C:$C,Cataratorii!E$1)</f>
        <v>43</v>
      </c>
      <c r="F31" s="96">
        <f>SUMIFS(Data!$H:$H,Data!$A:$A,Cataratorii!$B31,Data!$C:$C,Cataratorii!F$1)</f>
        <v>0</v>
      </c>
      <c r="G31" s="96">
        <f>SUMIFS(Data!$H:$H,Data!$A:$A,Cataratorii!$B31,Data!$C:$C,Cataratorii!G$1)</f>
        <v>24</v>
      </c>
      <c r="H31" s="96">
        <f>SUMIFS(Data!$H:$H,Data!$A:$A,Cataratorii!$B31,Data!$C:$C,Cataratorii!H$1)</f>
        <v>0</v>
      </c>
      <c r="I31" s="96">
        <f>SUMIFS(Data!$H:$H,Data!$A:$A,Cataratorii!$B31,Data!$C:$C,Cataratorii!I$1)</f>
        <v>15</v>
      </c>
      <c r="J31" s="96">
        <f>SUMIFS(Data!$H:$H,Data!$A:$A,Cataratorii!$B31,Data!$C:$C,Cataratorii!J$1)</f>
        <v>0</v>
      </c>
      <c r="K31" s="96">
        <f>SUMIFS(Data!$H:$H,Data!$A:$A,Cataratorii!$B31,Data!$C:$C,Cataratorii!K$1)</f>
        <v>22</v>
      </c>
      <c r="L31" s="96">
        <f>SUMIFS(Data!$H:$H,Data!$A:$A,Cataratorii!$B31,Data!$C:$C,Cataratorii!L$1)</f>
        <v>19</v>
      </c>
      <c r="M31" s="96">
        <f>SUMIFS(Data!$H:$H,Data!$A:$A,Cataratorii!$B31,Data!$C:$C,Cataratorii!M$1)</f>
        <v>25</v>
      </c>
      <c r="N31" s="96">
        <f>SUMIFS(Data!$H:$H,Data!$A:$A,Cataratorii!$B31,Data!$C:$C,Cataratorii!N$1)</f>
        <v>6</v>
      </c>
      <c r="O31" s="96">
        <f>SUMIFS(Data!$H:$H,Data!$A:$A,Cataratorii!$B31,Data!$C:$C,Cataratorii!O$1)</f>
        <v>0</v>
      </c>
      <c r="P31" s="96">
        <f>SUMIFS(Data!$H:$H,Data!$A:$A,Cataratorii!$B31,Data!$C:$C,Cataratorii!P$1)</f>
        <v>0</v>
      </c>
      <c r="Q31" s="96">
        <f>SUMIFS(Data!$H:$H,Data!$A:$A,Cataratorii!$B31,Data!$C:$C,Cataratorii!Q$1)</f>
        <v>0</v>
      </c>
      <c r="R31" s="96">
        <f t="shared" si="0"/>
        <v>167</v>
      </c>
      <c r="S31" s="39">
        <f>SUMIFS(Data!D:D,Data!A:A,Cataratorii!B31)</f>
        <v>133.35999999999999</v>
      </c>
      <c r="T31" s="40" t="str">
        <f>IF(VLOOKUP(B31,Participanti!A:D,4,0)=0," ","New")</f>
        <v>New</v>
      </c>
    </row>
    <row r="32" spans="1:20" ht="13.8" x14ac:dyDescent="0.3">
      <c r="A32" s="151">
        <v>31</v>
      </c>
      <c r="B32" s="38" t="s">
        <v>103</v>
      </c>
      <c r="C32" s="96">
        <f>SUMIFS(Data!$H:$H,Data!$A:$A,Cataratorii!$B32,Data!$C:$C,Cataratorii!C$1)</f>
        <v>0</v>
      </c>
      <c r="D32" s="96">
        <f>SUMIFS(Data!$H:$H,Data!$A:$A,Cataratorii!$B32,Data!$C:$C,Cataratorii!D$1)</f>
        <v>20</v>
      </c>
      <c r="E32" s="96">
        <f>SUMIFS(Data!$H:$H,Data!$A:$A,Cataratorii!$B32,Data!$C:$C,Cataratorii!E$1)</f>
        <v>0</v>
      </c>
      <c r="F32" s="96">
        <f>SUMIFS(Data!$H:$H,Data!$A:$A,Cataratorii!$B32,Data!$C:$C,Cataratorii!F$1)</f>
        <v>0</v>
      </c>
      <c r="G32" s="96">
        <f>SUMIFS(Data!$H:$H,Data!$A:$A,Cataratorii!$B32,Data!$C:$C,Cataratorii!G$1)</f>
        <v>38</v>
      </c>
      <c r="H32" s="96">
        <f>SUMIFS(Data!$H:$H,Data!$A:$A,Cataratorii!$B32,Data!$C:$C,Cataratorii!H$1)</f>
        <v>8</v>
      </c>
      <c r="I32" s="96">
        <f>SUMIFS(Data!$H:$H,Data!$A:$A,Cataratorii!$B32,Data!$C:$C,Cataratorii!I$1)</f>
        <v>2</v>
      </c>
      <c r="J32" s="96">
        <f>SUMIFS(Data!$H:$H,Data!$A:$A,Cataratorii!$B32,Data!$C:$C,Cataratorii!J$1)</f>
        <v>0</v>
      </c>
      <c r="K32" s="96">
        <f>SUMIFS(Data!$H:$H,Data!$A:$A,Cataratorii!$B32,Data!$C:$C,Cataratorii!K$1)</f>
        <v>0</v>
      </c>
      <c r="L32" s="96">
        <f>SUMIFS(Data!$H:$H,Data!$A:$A,Cataratorii!$B32,Data!$C:$C,Cataratorii!L$1)</f>
        <v>0</v>
      </c>
      <c r="M32" s="96">
        <f>SUMIFS(Data!$H:$H,Data!$A:$A,Cataratorii!$B32,Data!$C:$C,Cataratorii!M$1)</f>
        <v>0</v>
      </c>
      <c r="N32" s="96">
        <f>SUMIFS(Data!$H:$H,Data!$A:$A,Cataratorii!$B32,Data!$C:$C,Cataratorii!N$1)</f>
        <v>72</v>
      </c>
      <c r="O32" s="96">
        <f>SUMIFS(Data!$H:$H,Data!$A:$A,Cataratorii!$B32,Data!$C:$C,Cataratorii!O$1)</f>
        <v>0</v>
      </c>
      <c r="P32" s="96">
        <f>SUMIFS(Data!$H:$H,Data!$A:$A,Cataratorii!$B32,Data!$C:$C,Cataratorii!P$1)</f>
        <v>8</v>
      </c>
      <c r="Q32" s="96">
        <f>SUMIFS(Data!$H:$H,Data!$A:$A,Cataratorii!$B32,Data!$C:$C,Cataratorii!Q$1)</f>
        <v>11</v>
      </c>
      <c r="R32" s="96">
        <f t="shared" si="0"/>
        <v>159</v>
      </c>
      <c r="S32" s="39">
        <f>SUMIFS(Data!D:D,Data!A:A,Cataratorii!B32)</f>
        <v>125.08000000000004</v>
      </c>
      <c r="T32" s="40" t="str">
        <f>IF(VLOOKUP(B32,Participanti!A:D,4,0)=0," ","New")</f>
        <v xml:space="preserve"> </v>
      </c>
    </row>
    <row r="33" spans="1:20" ht="13.8" x14ac:dyDescent="0.3">
      <c r="A33" s="151">
        <v>32</v>
      </c>
      <c r="B33" s="38" t="s">
        <v>101</v>
      </c>
      <c r="C33" s="96">
        <f>SUMIFS(Data!$H:$H,Data!$A:$A,Cataratorii!$B33,Data!$C:$C,Cataratorii!C$1)</f>
        <v>0</v>
      </c>
      <c r="D33" s="96">
        <f>SUMIFS(Data!$H:$H,Data!$A:$A,Cataratorii!$B33,Data!$C:$C,Cataratorii!D$1)</f>
        <v>0</v>
      </c>
      <c r="E33" s="96">
        <f>SUMIFS(Data!$H:$H,Data!$A:$A,Cataratorii!$B33,Data!$C:$C,Cataratorii!E$1)</f>
        <v>0</v>
      </c>
      <c r="F33" s="96">
        <f>SUMIFS(Data!$H:$H,Data!$A:$A,Cataratorii!$B33,Data!$C:$C,Cataratorii!F$1)</f>
        <v>0</v>
      </c>
      <c r="G33" s="96">
        <f>SUMIFS(Data!$H:$H,Data!$A:$A,Cataratorii!$B33,Data!$C:$C,Cataratorii!G$1)</f>
        <v>0</v>
      </c>
      <c r="H33" s="96">
        <f>SUMIFS(Data!$H:$H,Data!$A:$A,Cataratorii!$B33,Data!$C:$C,Cataratorii!H$1)</f>
        <v>0</v>
      </c>
      <c r="I33" s="96">
        <f>SUMIFS(Data!$H:$H,Data!$A:$A,Cataratorii!$B33,Data!$C:$C,Cataratorii!I$1)</f>
        <v>0</v>
      </c>
      <c r="J33" s="96">
        <f>SUMIFS(Data!$H:$H,Data!$A:$A,Cataratorii!$B33,Data!$C:$C,Cataratorii!J$1)</f>
        <v>63</v>
      </c>
      <c r="K33" s="96">
        <f>SUMIFS(Data!$H:$H,Data!$A:$A,Cataratorii!$B33,Data!$C:$C,Cataratorii!K$1)</f>
        <v>0</v>
      </c>
      <c r="L33" s="96">
        <f>SUMIFS(Data!$H:$H,Data!$A:$A,Cataratorii!$B33,Data!$C:$C,Cataratorii!L$1)</f>
        <v>0</v>
      </c>
      <c r="M33" s="96">
        <f>SUMIFS(Data!$H:$H,Data!$A:$A,Cataratorii!$B33,Data!$C:$C,Cataratorii!M$1)</f>
        <v>0</v>
      </c>
      <c r="N33" s="96">
        <f>SUMIFS(Data!$H:$H,Data!$A:$A,Cataratorii!$B33,Data!$C:$C,Cataratorii!N$1)</f>
        <v>0</v>
      </c>
      <c r="O33" s="96">
        <f>SUMIFS(Data!$H:$H,Data!$A:$A,Cataratorii!$B33,Data!$C:$C,Cataratorii!O$1)</f>
        <v>0</v>
      </c>
      <c r="P33" s="96">
        <f>SUMIFS(Data!$H:$H,Data!$A:$A,Cataratorii!$B33,Data!$C:$C,Cataratorii!P$1)</f>
        <v>0</v>
      </c>
      <c r="Q33" s="96">
        <f>SUMIFS(Data!$H:$H,Data!$A:$A,Cataratorii!$B33,Data!$C:$C,Cataratorii!Q$1)</f>
        <v>0</v>
      </c>
      <c r="R33" s="96">
        <f t="shared" si="0"/>
        <v>63</v>
      </c>
      <c r="S33" s="39">
        <f>SUMIFS(Data!D:D,Data!A:A,Cataratorii!B33)</f>
        <v>42.3</v>
      </c>
      <c r="T33" s="40" t="str">
        <f>IF(VLOOKUP(B33,Participanti!A:D,4,0)=0," ","New")</f>
        <v xml:space="preserve"> </v>
      </c>
    </row>
    <row r="34" spans="1:20" ht="13.8" x14ac:dyDescent="0.3">
      <c r="A34" s="151">
        <v>33</v>
      </c>
      <c r="B34" s="38" t="s">
        <v>127</v>
      </c>
      <c r="C34" s="96">
        <f>SUMIFS(Data!$H:$H,Data!$A:$A,Cataratorii!$B34,Data!$C:$C,Cataratorii!C$1)</f>
        <v>0</v>
      </c>
      <c r="D34" s="96">
        <f>SUMIFS(Data!$H:$H,Data!$A:$A,Cataratorii!$B34,Data!$C:$C,Cataratorii!D$1)</f>
        <v>9</v>
      </c>
      <c r="E34" s="96">
        <f>SUMIFS(Data!$H:$H,Data!$A:$A,Cataratorii!$B34,Data!$C:$C,Cataratorii!E$1)</f>
        <v>53</v>
      </c>
      <c r="F34" s="96">
        <f>SUMIFS(Data!$H:$H,Data!$A:$A,Cataratorii!$B34,Data!$C:$C,Cataratorii!F$1)</f>
        <v>0</v>
      </c>
      <c r="G34" s="96">
        <f>SUMIFS(Data!$H:$H,Data!$A:$A,Cataratorii!$B34,Data!$C:$C,Cataratorii!G$1)</f>
        <v>0</v>
      </c>
      <c r="H34" s="96">
        <f>SUMIFS(Data!$H:$H,Data!$A:$A,Cataratorii!$B34,Data!$C:$C,Cataratorii!H$1)</f>
        <v>0</v>
      </c>
      <c r="I34" s="96">
        <f>SUMIFS(Data!$H:$H,Data!$A:$A,Cataratorii!$B34,Data!$C:$C,Cataratorii!I$1)</f>
        <v>0</v>
      </c>
      <c r="J34" s="96">
        <f>SUMIFS(Data!$H:$H,Data!$A:$A,Cataratorii!$B34,Data!$C:$C,Cataratorii!J$1)</f>
        <v>0</v>
      </c>
      <c r="K34" s="96">
        <f>SUMIFS(Data!$H:$H,Data!$A:$A,Cataratorii!$B34,Data!$C:$C,Cataratorii!K$1)</f>
        <v>0</v>
      </c>
      <c r="L34" s="96">
        <f>SUMIFS(Data!$H:$H,Data!$A:$A,Cataratorii!$B34,Data!$C:$C,Cataratorii!L$1)</f>
        <v>0</v>
      </c>
      <c r="M34" s="96">
        <f>SUMIFS(Data!$H:$H,Data!$A:$A,Cataratorii!$B34,Data!$C:$C,Cataratorii!M$1)</f>
        <v>0</v>
      </c>
      <c r="N34" s="96">
        <f>SUMIFS(Data!$H:$H,Data!$A:$A,Cataratorii!$B34,Data!$C:$C,Cataratorii!N$1)</f>
        <v>0</v>
      </c>
      <c r="O34" s="96">
        <f>SUMIFS(Data!$H:$H,Data!$A:$A,Cataratorii!$B34,Data!$C:$C,Cataratorii!O$1)</f>
        <v>0</v>
      </c>
      <c r="P34" s="96">
        <f>SUMIFS(Data!$H:$H,Data!$A:$A,Cataratorii!$B34,Data!$C:$C,Cataratorii!P$1)</f>
        <v>0</v>
      </c>
      <c r="Q34" s="96">
        <f>SUMIFS(Data!$H:$H,Data!$A:$A,Cataratorii!$B34,Data!$C:$C,Cataratorii!Q$1)</f>
        <v>0</v>
      </c>
      <c r="R34" s="96">
        <f t="shared" si="0"/>
        <v>62</v>
      </c>
      <c r="S34" s="39">
        <f>SUMIFS(Data!D:D,Data!A:A,Cataratorii!B34)</f>
        <v>35.270000000000003</v>
      </c>
      <c r="T34" s="40" t="str">
        <f>IF(VLOOKUP(B34,Participanti!A:D,4,0)=0," ","New")</f>
        <v xml:space="preserve"> </v>
      </c>
    </row>
    <row r="35" spans="1:20" ht="13.8" x14ac:dyDescent="0.3">
      <c r="A35" s="151">
        <v>34</v>
      </c>
      <c r="B35" s="38" t="s">
        <v>43</v>
      </c>
      <c r="C35" s="96">
        <f>SUMIFS(Data!$H:$H,Data!$A:$A,Cataratorii!$B35,Data!$C:$C,Cataratorii!C$1)</f>
        <v>0</v>
      </c>
      <c r="D35" s="96">
        <f>SUMIFS(Data!$H:$H,Data!$A:$A,Cataratorii!$B35,Data!$C:$C,Cataratorii!D$1)</f>
        <v>0</v>
      </c>
      <c r="E35" s="96">
        <f>SUMIFS(Data!$H:$H,Data!$A:$A,Cataratorii!$B35,Data!$C:$C,Cataratorii!E$1)</f>
        <v>12</v>
      </c>
      <c r="F35" s="96">
        <f>SUMIFS(Data!$H:$H,Data!$A:$A,Cataratorii!$B35,Data!$C:$C,Cataratorii!F$1)</f>
        <v>16</v>
      </c>
      <c r="G35" s="96">
        <f>SUMIFS(Data!$H:$H,Data!$A:$A,Cataratorii!$B35,Data!$C:$C,Cataratorii!G$1)</f>
        <v>17</v>
      </c>
      <c r="H35" s="96">
        <f>SUMIFS(Data!$H:$H,Data!$A:$A,Cataratorii!$B35,Data!$C:$C,Cataratorii!H$1)</f>
        <v>0</v>
      </c>
      <c r="I35" s="96">
        <f>SUMIFS(Data!$H:$H,Data!$A:$A,Cataratorii!$B35,Data!$C:$C,Cataratorii!I$1)</f>
        <v>0</v>
      </c>
      <c r="J35" s="96">
        <f>SUMIFS(Data!$H:$H,Data!$A:$A,Cataratorii!$B35,Data!$C:$C,Cataratorii!J$1)</f>
        <v>0</v>
      </c>
      <c r="K35" s="96">
        <f>SUMIFS(Data!$H:$H,Data!$A:$A,Cataratorii!$B35,Data!$C:$C,Cataratorii!K$1)</f>
        <v>0</v>
      </c>
      <c r="L35" s="96">
        <f>SUMIFS(Data!$H:$H,Data!$A:$A,Cataratorii!$B35,Data!$C:$C,Cataratorii!L$1)</f>
        <v>0</v>
      </c>
      <c r="M35" s="96">
        <f>SUMIFS(Data!$H:$H,Data!$A:$A,Cataratorii!$B35,Data!$C:$C,Cataratorii!M$1)</f>
        <v>0</v>
      </c>
      <c r="N35" s="96">
        <f>SUMIFS(Data!$H:$H,Data!$A:$A,Cataratorii!$B35,Data!$C:$C,Cataratorii!N$1)</f>
        <v>0</v>
      </c>
      <c r="O35" s="96">
        <f>SUMIFS(Data!$H:$H,Data!$A:$A,Cataratorii!$B35,Data!$C:$C,Cataratorii!O$1)</f>
        <v>0</v>
      </c>
      <c r="P35" s="96">
        <f>SUMIFS(Data!$H:$H,Data!$A:$A,Cataratorii!$B35,Data!$C:$C,Cataratorii!P$1)</f>
        <v>0</v>
      </c>
      <c r="Q35" s="96">
        <f>SUMIFS(Data!$H:$H,Data!$A:$A,Cataratorii!$B35,Data!$C:$C,Cataratorii!Q$1)</f>
        <v>0</v>
      </c>
      <c r="R35" s="96">
        <f t="shared" si="0"/>
        <v>45</v>
      </c>
      <c r="S35" s="39">
        <f>SUMIFS(Data!D:D,Data!A:A,Cataratorii!B35)</f>
        <v>21.400000000000002</v>
      </c>
      <c r="T35" s="40" t="str">
        <f>IF(VLOOKUP(B35,Participanti!A:D,4,0)=0," ","New")</f>
        <v xml:space="preserve"> </v>
      </c>
    </row>
    <row r="36" spans="1:20" ht="13.8" x14ac:dyDescent="0.3">
      <c r="A36" s="151">
        <v>35</v>
      </c>
      <c r="B36" s="38" t="s">
        <v>60</v>
      </c>
      <c r="C36" s="96">
        <f>SUMIFS(Data!$H:$H,Data!$A:$A,Cataratorii!$B36,Data!$C:$C,Cataratorii!C$1)</f>
        <v>0</v>
      </c>
      <c r="D36" s="96">
        <f>SUMIFS(Data!$H:$H,Data!$A:$A,Cataratorii!$B36,Data!$C:$C,Cataratorii!D$1)</f>
        <v>0</v>
      </c>
      <c r="E36" s="96">
        <f>SUMIFS(Data!$H:$H,Data!$A:$A,Cataratorii!$B36,Data!$C:$C,Cataratorii!E$1)</f>
        <v>0</v>
      </c>
      <c r="F36" s="96">
        <f>SUMIFS(Data!$H:$H,Data!$A:$A,Cataratorii!$B36,Data!$C:$C,Cataratorii!F$1)</f>
        <v>19</v>
      </c>
      <c r="G36" s="96">
        <f>SUMIFS(Data!$H:$H,Data!$A:$A,Cataratorii!$B36,Data!$C:$C,Cataratorii!G$1)</f>
        <v>2</v>
      </c>
      <c r="H36" s="96">
        <f>SUMIFS(Data!$H:$H,Data!$A:$A,Cataratorii!$B36,Data!$C:$C,Cataratorii!H$1)</f>
        <v>0</v>
      </c>
      <c r="I36" s="96">
        <f>SUMIFS(Data!$H:$H,Data!$A:$A,Cataratorii!$B36,Data!$C:$C,Cataratorii!I$1)</f>
        <v>8</v>
      </c>
      <c r="J36" s="96">
        <f>SUMIFS(Data!$H:$H,Data!$A:$A,Cataratorii!$B36,Data!$C:$C,Cataratorii!J$1)</f>
        <v>2</v>
      </c>
      <c r="K36" s="96">
        <f>SUMIFS(Data!$H:$H,Data!$A:$A,Cataratorii!$B36,Data!$C:$C,Cataratorii!K$1)</f>
        <v>0</v>
      </c>
      <c r="L36" s="96">
        <f>SUMIFS(Data!$H:$H,Data!$A:$A,Cataratorii!$B36,Data!$C:$C,Cataratorii!L$1)</f>
        <v>0</v>
      </c>
      <c r="M36" s="96">
        <f>SUMIFS(Data!$H:$H,Data!$A:$A,Cataratorii!$B36,Data!$C:$C,Cataratorii!M$1)</f>
        <v>0</v>
      </c>
      <c r="N36" s="96">
        <f>SUMIFS(Data!$H:$H,Data!$A:$A,Cataratorii!$B36,Data!$C:$C,Cataratorii!N$1)</f>
        <v>0</v>
      </c>
      <c r="O36" s="96">
        <f>SUMIFS(Data!$H:$H,Data!$A:$A,Cataratorii!$B36,Data!$C:$C,Cataratorii!O$1)</f>
        <v>0</v>
      </c>
      <c r="P36" s="96">
        <f>SUMIFS(Data!$H:$H,Data!$A:$A,Cataratorii!$B36,Data!$C:$C,Cataratorii!P$1)</f>
        <v>2</v>
      </c>
      <c r="Q36" s="96">
        <f>SUMIFS(Data!$H:$H,Data!$A:$A,Cataratorii!$B36,Data!$C:$C,Cataratorii!Q$1)</f>
        <v>11</v>
      </c>
      <c r="R36" s="96">
        <f t="shared" si="0"/>
        <v>44</v>
      </c>
      <c r="S36" s="39">
        <f>SUMIFS(Data!D:D,Data!A:A,Cataratorii!B36)</f>
        <v>90.4</v>
      </c>
      <c r="T36" s="40" t="str">
        <f>IF(VLOOKUP(B36,Participanti!A:D,4,0)=0," ","New")</f>
        <v xml:space="preserve"> </v>
      </c>
    </row>
    <row r="37" spans="1:20" ht="13.8" x14ac:dyDescent="0.3">
      <c r="A37" s="151">
        <v>36</v>
      </c>
      <c r="B37" s="38" t="s">
        <v>66</v>
      </c>
      <c r="C37" s="96">
        <f>SUMIFS(Data!$H:$H,Data!$A:$A,Cataratorii!$B37,Data!$C:$C,Cataratorii!C$1)</f>
        <v>9</v>
      </c>
      <c r="D37" s="96">
        <f>SUMIFS(Data!$H:$H,Data!$A:$A,Cataratorii!$B37,Data!$C:$C,Cataratorii!D$1)</f>
        <v>2</v>
      </c>
      <c r="E37" s="96">
        <f>SUMIFS(Data!$H:$H,Data!$A:$A,Cataratorii!$B37,Data!$C:$C,Cataratorii!E$1)</f>
        <v>0</v>
      </c>
      <c r="F37" s="96">
        <f>SUMIFS(Data!$H:$H,Data!$A:$A,Cataratorii!$B37,Data!$C:$C,Cataratorii!F$1)</f>
        <v>0</v>
      </c>
      <c r="G37" s="96">
        <f>SUMIFS(Data!$H:$H,Data!$A:$A,Cataratorii!$B37,Data!$C:$C,Cataratorii!G$1)</f>
        <v>0</v>
      </c>
      <c r="H37" s="96">
        <f>SUMIFS(Data!$H:$H,Data!$A:$A,Cataratorii!$B37,Data!$C:$C,Cataratorii!H$1)</f>
        <v>0</v>
      </c>
      <c r="I37" s="96">
        <f>SUMIFS(Data!$H:$H,Data!$A:$A,Cataratorii!$B37,Data!$C:$C,Cataratorii!I$1)</f>
        <v>7</v>
      </c>
      <c r="J37" s="96">
        <f>SUMIFS(Data!$H:$H,Data!$A:$A,Cataratorii!$B37,Data!$C:$C,Cataratorii!J$1)</f>
        <v>0</v>
      </c>
      <c r="K37" s="96">
        <f>SUMIFS(Data!$H:$H,Data!$A:$A,Cataratorii!$B37,Data!$C:$C,Cataratorii!K$1)</f>
        <v>0</v>
      </c>
      <c r="L37" s="96">
        <f>SUMIFS(Data!$H:$H,Data!$A:$A,Cataratorii!$B37,Data!$C:$C,Cataratorii!L$1)</f>
        <v>0</v>
      </c>
      <c r="M37" s="96">
        <f>SUMIFS(Data!$H:$H,Data!$A:$A,Cataratorii!$B37,Data!$C:$C,Cataratorii!M$1)</f>
        <v>0</v>
      </c>
      <c r="N37" s="96">
        <f>SUMIFS(Data!$H:$H,Data!$A:$A,Cataratorii!$B37,Data!$C:$C,Cataratorii!N$1)</f>
        <v>0</v>
      </c>
      <c r="O37" s="96">
        <f>SUMIFS(Data!$H:$H,Data!$A:$A,Cataratorii!$B37,Data!$C:$C,Cataratorii!O$1)</f>
        <v>0</v>
      </c>
      <c r="P37" s="96">
        <f>SUMIFS(Data!$H:$H,Data!$A:$A,Cataratorii!$B37,Data!$C:$C,Cataratorii!P$1)</f>
        <v>0</v>
      </c>
      <c r="Q37" s="96">
        <f>SUMIFS(Data!$H:$H,Data!$A:$A,Cataratorii!$B37,Data!$C:$C,Cataratorii!Q$1)</f>
        <v>0</v>
      </c>
      <c r="R37" s="96">
        <f t="shared" si="0"/>
        <v>18</v>
      </c>
      <c r="S37" s="39">
        <f>SUMIFS(Data!D:D,Data!A:A,Cataratorii!B37)</f>
        <v>105.69</v>
      </c>
      <c r="T37" s="40" t="str">
        <f>IF(VLOOKUP(B37,Participanti!A:D,4,0)=0," ","New")</f>
        <v xml:space="preserve"> </v>
      </c>
    </row>
    <row r="38" spans="1:20" ht="13.8" x14ac:dyDescent="0.3">
      <c r="A38" s="151">
        <v>37</v>
      </c>
      <c r="B38" s="38" t="s">
        <v>314</v>
      </c>
      <c r="C38" s="96">
        <f>SUMIFS(Data!$H:$H,Data!$A:$A,Cataratorii!$B38,Data!$C:$C,Cataratorii!C$1)</f>
        <v>0</v>
      </c>
      <c r="D38" s="96">
        <f>SUMIFS(Data!$H:$H,Data!$A:$A,Cataratorii!$B38,Data!$C:$C,Cataratorii!D$1)</f>
        <v>0</v>
      </c>
      <c r="E38" s="96">
        <f>SUMIFS(Data!$H:$H,Data!$A:$A,Cataratorii!$B38,Data!$C:$C,Cataratorii!E$1)</f>
        <v>0</v>
      </c>
      <c r="F38" s="96">
        <f>SUMIFS(Data!$H:$H,Data!$A:$A,Cataratorii!$B38,Data!$C:$C,Cataratorii!F$1)</f>
        <v>0</v>
      </c>
      <c r="G38" s="96">
        <f>SUMIFS(Data!$H:$H,Data!$A:$A,Cataratorii!$B38,Data!$C:$C,Cataratorii!G$1)</f>
        <v>0</v>
      </c>
      <c r="H38" s="96">
        <f>SUMIFS(Data!$H:$H,Data!$A:$A,Cataratorii!$B38,Data!$C:$C,Cataratorii!H$1)</f>
        <v>0</v>
      </c>
      <c r="I38" s="96">
        <f>SUMIFS(Data!$H:$H,Data!$A:$A,Cataratorii!$B38,Data!$C:$C,Cataratorii!I$1)</f>
        <v>0</v>
      </c>
      <c r="J38" s="96">
        <f>SUMIFS(Data!$H:$H,Data!$A:$A,Cataratorii!$B38,Data!$C:$C,Cataratorii!J$1)</f>
        <v>0</v>
      </c>
      <c r="K38" s="96">
        <f>SUMIFS(Data!$H:$H,Data!$A:$A,Cataratorii!$B38,Data!$C:$C,Cataratorii!K$1)</f>
        <v>0</v>
      </c>
      <c r="L38" s="96">
        <f>SUMIFS(Data!$H:$H,Data!$A:$A,Cataratorii!$B38,Data!$C:$C,Cataratorii!L$1)</f>
        <v>0</v>
      </c>
      <c r="M38" s="96">
        <f>SUMIFS(Data!$H:$H,Data!$A:$A,Cataratorii!$B38,Data!$C:$C,Cataratorii!M$1)</f>
        <v>0</v>
      </c>
      <c r="N38" s="96">
        <f>SUMIFS(Data!$H:$H,Data!$A:$A,Cataratorii!$B38,Data!$C:$C,Cataratorii!N$1)</f>
        <v>7</v>
      </c>
      <c r="O38" s="96">
        <f>SUMIFS(Data!$H:$H,Data!$A:$A,Cataratorii!$B38,Data!$C:$C,Cataratorii!O$1)</f>
        <v>0</v>
      </c>
      <c r="P38" s="96">
        <f>SUMIFS(Data!$H:$H,Data!$A:$A,Cataratorii!$B38,Data!$C:$C,Cataratorii!P$1)</f>
        <v>0</v>
      </c>
      <c r="Q38" s="96">
        <f>SUMIFS(Data!$H:$H,Data!$A:$A,Cataratorii!$B38,Data!$C:$C,Cataratorii!Q$1)</f>
        <v>0</v>
      </c>
      <c r="R38" s="96">
        <f t="shared" si="0"/>
        <v>7</v>
      </c>
      <c r="S38" s="39">
        <f>SUMIFS(Data!D:D,Data!A:A,Cataratorii!B38)</f>
        <v>4</v>
      </c>
      <c r="T38" s="40" t="str">
        <f>IF(VLOOKUP(B38,Participanti!A:D,4,0)=0," ","New")</f>
        <v>New</v>
      </c>
    </row>
    <row r="39" spans="1:20" ht="13.8" x14ac:dyDescent="0.3">
      <c r="A39" s="151">
        <v>38</v>
      </c>
      <c r="B39" s="38" t="s">
        <v>350</v>
      </c>
      <c r="C39" s="96">
        <f>SUMIFS(Data!$H:$H,Data!$A:$A,Cataratorii!$B39,Data!$C:$C,Cataratorii!C$1)</f>
        <v>0</v>
      </c>
      <c r="D39" s="96">
        <f>SUMIFS(Data!$H:$H,Data!$A:$A,Cataratorii!$B39,Data!$C:$C,Cataratorii!D$1)</f>
        <v>0</v>
      </c>
      <c r="E39" s="96">
        <f>SUMIFS(Data!$H:$H,Data!$A:$A,Cataratorii!$B39,Data!$C:$C,Cataratorii!E$1)</f>
        <v>0</v>
      </c>
      <c r="F39" s="96">
        <f>SUMIFS(Data!$H:$H,Data!$A:$A,Cataratorii!$B39,Data!$C:$C,Cataratorii!F$1)</f>
        <v>0</v>
      </c>
      <c r="G39" s="96">
        <f>SUMIFS(Data!$H:$H,Data!$A:$A,Cataratorii!$B39,Data!$C:$C,Cataratorii!G$1)</f>
        <v>0</v>
      </c>
      <c r="H39" s="96">
        <f>SUMIFS(Data!$H:$H,Data!$A:$A,Cataratorii!$B39,Data!$C:$C,Cataratorii!H$1)</f>
        <v>0</v>
      </c>
      <c r="I39" s="96">
        <f>SUMIFS(Data!$H:$H,Data!$A:$A,Cataratorii!$B39,Data!$C:$C,Cataratorii!I$1)</f>
        <v>0</v>
      </c>
      <c r="J39" s="96">
        <f>SUMIFS(Data!$H:$H,Data!$A:$A,Cataratorii!$B39,Data!$C:$C,Cataratorii!J$1)</f>
        <v>0</v>
      </c>
      <c r="K39" s="96">
        <f>SUMIFS(Data!$H:$H,Data!$A:$A,Cataratorii!$B39,Data!$C:$C,Cataratorii!K$1)</f>
        <v>0</v>
      </c>
      <c r="L39" s="96">
        <f>SUMIFS(Data!$H:$H,Data!$A:$A,Cataratorii!$B39,Data!$C:$C,Cataratorii!L$1)</f>
        <v>0</v>
      </c>
      <c r="M39" s="96">
        <f>SUMIFS(Data!$H:$H,Data!$A:$A,Cataratorii!$B39,Data!$C:$C,Cataratorii!M$1)</f>
        <v>0</v>
      </c>
      <c r="N39" s="96">
        <f>SUMIFS(Data!$H:$H,Data!$A:$A,Cataratorii!$B39,Data!$C:$C,Cataratorii!N$1)</f>
        <v>0</v>
      </c>
      <c r="O39" s="96">
        <f>SUMIFS(Data!$H:$H,Data!$A:$A,Cataratorii!$B39,Data!$C:$C,Cataratorii!O$1)</f>
        <v>0</v>
      </c>
      <c r="P39" s="96">
        <f>SUMIFS(Data!$H:$H,Data!$A:$A,Cataratorii!$B39,Data!$C:$C,Cataratorii!P$1)</f>
        <v>0</v>
      </c>
      <c r="Q39" s="96">
        <f>SUMIFS(Data!$H:$H,Data!$A:$A,Cataratorii!$B39,Data!$C:$C,Cataratorii!Q$1)</f>
        <v>0</v>
      </c>
      <c r="R39" s="96">
        <f t="shared" si="0"/>
        <v>0</v>
      </c>
      <c r="S39" s="39">
        <f>SUMIFS(Data!D:D,Data!A:A,Cataratorii!B39)</f>
        <v>6.02</v>
      </c>
      <c r="T39" s="40" t="str">
        <f>IF(VLOOKUP(B39,Participanti!A:D,4,0)=0," ","New")</f>
        <v>New</v>
      </c>
    </row>
    <row r="40" spans="1:20" ht="13.8" x14ac:dyDescent="0.3">
      <c r="A40" s="151">
        <v>39</v>
      </c>
      <c r="B40" s="38"/>
      <c r="C40" s="96"/>
      <c r="D40" s="96"/>
      <c r="E40" s="96"/>
      <c r="F40" s="96"/>
      <c r="G40" s="96"/>
      <c r="H40" s="96" t="str">
        <f>IF(SUMIFS(Data!$S:$S,Data!$A:$A,$B40,Data!$C:$C,H$1)=0,"",SUMIFS(Data!$S:$S,Data!$A:$A,$B40,Data!$C:$C,H$1))</f>
        <v/>
      </c>
      <c r="I40" s="96" t="str">
        <f>IF(SUMIFS(Data!$S:$S,Data!$A:$A,$B40,Data!$C:$C,I$1)=0,"",SUMIFS(Data!$S:$S,Data!$A:$A,$B40,Data!$C:$C,I$1))</f>
        <v/>
      </c>
      <c r="J40" s="96" t="str">
        <f>IF(SUMIFS(Data!$S:$S,Data!$A:$A,$B40,Data!$C:$C,J$1)=0,"",SUMIFS(Data!$S:$S,Data!$A:$A,$B40,Data!$C:$C,J$1))</f>
        <v/>
      </c>
      <c r="K40" s="96" t="str">
        <f>IF(SUMIFS(Data!$S:$S,Data!$A:$A,$B40,Data!$C:$C,K$1)=0,"",SUMIFS(Data!$S:$S,Data!$A:$A,$B40,Data!$C:$C,K$1))</f>
        <v/>
      </c>
      <c r="L40" s="96" t="str">
        <f>IF(SUMIFS(Data!$S:$S,Data!$A:$A,$B40,Data!$C:$C,L$1)=0,"",SUMIFS(Data!$S:$S,Data!$A:$A,$B40,Data!$C:$C,L$1))</f>
        <v/>
      </c>
      <c r="M40" s="96" t="str">
        <f>IF(SUMIFS(Data!$S:$S,Data!$A:$A,$B40,Data!$C:$C,M$1)=0,"",SUMIFS(Data!$S:$S,Data!$A:$A,$B40,Data!$C:$C,M$1))</f>
        <v/>
      </c>
      <c r="N40" s="96" t="str">
        <f>IF(SUMIFS(Data!$S:$S,Data!$A:$A,$B40,Data!$C:$C,N$1)=0,"",SUMIFS(Data!$S:$S,Data!$A:$A,$B40,Data!$C:$C,N$1))</f>
        <v/>
      </c>
      <c r="O40" s="96" t="str">
        <f>IF(SUMIFS(Data!$S:$S,Data!$A:$A,$B40,Data!$C:$C,O$1)=0,"",SUMIFS(Data!$S:$S,Data!$A:$A,$B40,Data!$C:$C,O$1))</f>
        <v/>
      </c>
      <c r="P40" s="96" t="str">
        <f>IF(SUMIFS(Data!$S:$S,Data!$A:$A,$B40,Data!$C:$C,P$1)=0,"",SUMIFS(Data!$S:$S,Data!$A:$A,$B40,Data!$C:$C,P$1))</f>
        <v/>
      </c>
      <c r="Q40" s="96"/>
      <c r="R40" s="96"/>
      <c r="S40" s="39"/>
    </row>
    <row r="41" spans="1:20" ht="13.8" x14ac:dyDescent="0.3">
      <c r="A41" s="151">
        <v>40</v>
      </c>
      <c r="B41" s="38"/>
      <c r="C41" s="96"/>
      <c r="D41" s="96"/>
      <c r="E41" s="96"/>
      <c r="F41" s="96"/>
      <c r="G41" s="96"/>
      <c r="H41" s="96" t="str">
        <f>IF(SUMIFS(Data!$S:$S,Data!$A:$A,$B41,Data!$C:$C,H$1)=0,"",SUMIFS(Data!$S:$S,Data!$A:$A,$B41,Data!$C:$C,H$1))</f>
        <v/>
      </c>
      <c r="I41" s="96" t="str">
        <f>IF(SUMIFS(Data!$S:$S,Data!$A:$A,$B41,Data!$C:$C,I$1)=0,"",SUMIFS(Data!$S:$S,Data!$A:$A,$B41,Data!$C:$C,I$1))</f>
        <v/>
      </c>
      <c r="J41" s="96" t="str">
        <f>IF(SUMIFS(Data!$S:$S,Data!$A:$A,$B41,Data!$C:$C,J$1)=0,"",SUMIFS(Data!$S:$S,Data!$A:$A,$B41,Data!$C:$C,J$1))</f>
        <v/>
      </c>
      <c r="K41" s="96" t="str">
        <f>IF(SUMIFS(Data!$S:$S,Data!$A:$A,$B41,Data!$C:$C,K$1)=0,"",SUMIFS(Data!$S:$S,Data!$A:$A,$B41,Data!$C:$C,K$1))</f>
        <v/>
      </c>
      <c r="L41" s="96" t="str">
        <f>IF(SUMIFS(Data!$S:$S,Data!$A:$A,$B41,Data!$C:$C,L$1)=0,"",SUMIFS(Data!$S:$S,Data!$A:$A,$B41,Data!$C:$C,L$1))</f>
        <v/>
      </c>
      <c r="M41" s="96" t="str">
        <f>IF(SUMIFS(Data!$S:$S,Data!$A:$A,$B41,Data!$C:$C,M$1)=0,"",SUMIFS(Data!$S:$S,Data!$A:$A,$B41,Data!$C:$C,M$1))</f>
        <v/>
      </c>
      <c r="N41" s="96" t="str">
        <f>IF(SUMIFS(Data!$S:$S,Data!$A:$A,$B41,Data!$C:$C,N$1)=0,"",SUMIFS(Data!$S:$S,Data!$A:$A,$B41,Data!$C:$C,N$1))</f>
        <v/>
      </c>
      <c r="O41" s="96" t="str">
        <f>IF(SUMIFS(Data!$S:$S,Data!$A:$A,$B41,Data!$C:$C,O$1)=0,"",SUMIFS(Data!$S:$S,Data!$A:$A,$B41,Data!$C:$C,O$1))</f>
        <v/>
      </c>
      <c r="P41" s="96" t="str">
        <f>IF(SUMIFS(Data!$S:$S,Data!$A:$A,$B41,Data!$C:$C,P$1)=0,"",SUMIFS(Data!$S:$S,Data!$A:$A,$B41,Data!$C:$C,P$1))</f>
        <v/>
      </c>
      <c r="Q41" s="96"/>
      <c r="R41" s="96"/>
      <c r="S41" s="39"/>
    </row>
    <row r="42" spans="1:20" ht="13.8" x14ac:dyDescent="0.3">
      <c r="A42" s="151">
        <v>41</v>
      </c>
      <c r="B42" s="38"/>
      <c r="C42" s="96"/>
      <c r="D42" s="96"/>
      <c r="E42" s="96"/>
      <c r="F42" s="96"/>
      <c r="G42" s="96"/>
      <c r="H42" s="96" t="str">
        <f>IF(SUMIFS(Data!$S:$S,Data!$A:$A,$B42,Data!$C:$C,H$1)=0,"",SUMIFS(Data!$S:$S,Data!$A:$A,$B42,Data!$C:$C,H$1))</f>
        <v/>
      </c>
      <c r="I42" s="96" t="str">
        <f>IF(SUMIFS(Data!$S:$S,Data!$A:$A,$B42,Data!$C:$C,I$1)=0,"",SUMIFS(Data!$S:$S,Data!$A:$A,$B42,Data!$C:$C,I$1))</f>
        <v/>
      </c>
      <c r="J42" s="96" t="str">
        <f>IF(SUMIFS(Data!$S:$S,Data!$A:$A,$B42,Data!$C:$C,J$1)=0,"",SUMIFS(Data!$S:$S,Data!$A:$A,$B42,Data!$C:$C,J$1))</f>
        <v/>
      </c>
      <c r="K42" s="96" t="str">
        <f>IF(SUMIFS(Data!$S:$S,Data!$A:$A,$B42,Data!$C:$C,K$1)=0,"",SUMIFS(Data!$S:$S,Data!$A:$A,$B42,Data!$C:$C,K$1))</f>
        <v/>
      </c>
      <c r="L42" s="96" t="str">
        <f>IF(SUMIFS(Data!$S:$S,Data!$A:$A,$B42,Data!$C:$C,L$1)=0,"",SUMIFS(Data!$S:$S,Data!$A:$A,$B42,Data!$C:$C,L$1))</f>
        <v/>
      </c>
      <c r="M42" s="96" t="str">
        <f>IF(SUMIFS(Data!$S:$S,Data!$A:$A,$B42,Data!$C:$C,M$1)=0,"",SUMIFS(Data!$S:$S,Data!$A:$A,$B42,Data!$C:$C,M$1))</f>
        <v/>
      </c>
      <c r="N42" s="96" t="str">
        <f>IF(SUMIFS(Data!$S:$S,Data!$A:$A,$B42,Data!$C:$C,N$1)=0,"",SUMIFS(Data!$S:$S,Data!$A:$A,$B42,Data!$C:$C,N$1))</f>
        <v/>
      </c>
      <c r="O42" s="96" t="str">
        <f>IF(SUMIFS(Data!$S:$S,Data!$A:$A,$B42,Data!$C:$C,O$1)=0,"",SUMIFS(Data!$S:$S,Data!$A:$A,$B42,Data!$C:$C,O$1))</f>
        <v/>
      </c>
      <c r="P42" s="96" t="str">
        <f>IF(SUMIFS(Data!$S:$S,Data!$A:$A,$B42,Data!$C:$C,P$1)=0,"",SUMIFS(Data!$S:$S,Data!$A:$A,$B42,Data!$C:$C,P$1))</f>
        <v/>
      </c>
      <c r="Q42" s="96"/>
      <c r="R42" s="96"/>
      <c r="S42" s="39"/>
    </row>
    <row r="43" spans="1:20" ht="13.8" x14ac:dyDescent="0.3">
      <c r="A43" s="151">
        <v>42</v>
      </c>
      <c r="B43" s="38"/>
      <c r="C43" s="96"/>
      <c r="D43" s="96"/>
      <c r="E43" s="96"/>
      <c r="F43" s="96"/>
      <c r="G43" s="96"/>
      <c r="H43" s="96" t="str">
        <f>IF(SUMIFS(Data!$S:$S,Data!$A:$A,$B43,Data!$C:$C,H$1)=0,"",SUMIFS(Data!$S:$S,Data!$A:$A,$B43,Data!$C:$C,H$1))</f>
        <v/>
      </c>
      <c r="I43" s="96" t="str">
        <f>IF(SUMIFS(Data!$S:$S,Data!$A:$A,$B43,Data!$C:$C,I$1)=0,"",SUMIFS(Data!$S:$S,Data!$A:$A,$B43,Data!$C:$C,I$1))</f>
        <v/>
      </c>
      <c r="J43" s="96" t="str">
        <f>IF(SUMIFS(Data!$S:$S,Data!$A:$A,$B43,Data!$C:$C,J$1)=0,"",SUMIFS(Data!$S:$S,Data!$A:$A,$B43,Data!$C:$C,J$1))</f>
        <v/>
      </c>
      <c r="K43" s="96" t="str">
        <f>IF(SUMIFS(Data!$S:$S,Data!$A:$A,$B43,Data!$C:$C,K$1)=0,"",SUMIFS(Data!$S:$S,Data!$A:$A,$B43,Data!$C:$C,K$1))</f>
        <v/>
      </c>
      <c r="L43" s="96" t="str">
        <f>IF(SUMIFS(Data!$S:$S,Data!$A:$A,$B43,Data!$C:$C,L$1)=0,"",SUMIFS(Data!$S:$S,Data!$A:$A,$B43,Data!$C:$C,L$1))</f>
        <v/>
      </c>
      <c r="M43" s="96" t="str">
        <f>IF(SUMIFS(Data!$S:$S,Data!$A:$A,$B43,Data!$C:$C,M$1)=0,"",SUMIFS(Data!$S:$S,Data!$A:$A,$B43,Data!$C:$C,M$1))</f>
        <v/>
      </c>
      <c r="N43" s="96" t="str">
        <f>IF(SUMIFS(Data!$S:$S,Data!$A:$A,$B43,Data!$C:$C,N$1)=0,"",SUMIFS(Data!$S:$S,Data!$A:$A,$B43,Data!$C:$C,N$1))</f>
        <v/>
      </c>
      <c r="O43" s="96" t="str">
        <f>IF(SUMIFS(Data!$S:$S,Data!$A:$A,$B43,Data!$C:$C,O$1)=0,"",SUMIFS(Data!$S:$S,Data!$A:$A,$B43,Data!$C:$C,O$1))</f>
        <v/>
      </c>
      <c r="P43" s="96" t="str">
        <f>IF(SUMIFS(Data!$S:$S,Data!$A:$A,$B43,Data!$C:$C,P$1)=0,"",SUMIFS(Data!$S:$S,Data!$A:$A,$B43,Data!$C:$C,P$1))</f>
        <v/>
      </c>
      <c r="Q43" s="96"/>
      <c r="R43" s="96"/>
      <c r="S43" s="39"/>
    </row>
  </sheetData>
  <autoFilter ref="A1:T43"/>
  <sortState ref="B2:T39">
    <sortCondition descending="1" ref="R2:R39"/>
    <sortCondition descending="1" ref="S2:S39"/>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43"/>
  <sheetViews>
    <sheetView zoomScaleNormal="100" workbookViewId="0">
      <pane ySplit="1" topLeftCell="A2" activePane="bottomLeft" state="frozen"/>
      <selection pane="bottomLeft" activeCell="B4" sqref="B4"/>
    </sheetView>
  </sheetViews>
  <sheetFormatPr defaultColWidth="9.109375" defaultRowHeight="12" x14ac:dyDescent="0.25"/>
  <cols>
    <col min="1" max="1" width="7.88671875" style="152" bestFit="1" customWidth="1"/>
    <col min="2" max="2" width="22.109375" style="29" bestFit="1" customWidth="1"/>
    <col min="3" max="13" width="6.109375" style="30" customWidth="1"/>
    <col min="14" max="17" width="5.33203125" style="30" customWidth="1"/>
    <col min="18" max="18" width="10.44140625" style="30" bestFit="1" customWidth="1"/>
    <col min="19" max="19" width="13.33203125" style="30" bestFit="1" customWidth="1"/>
    <col min="20" max="20" width="7.5546875" style="40" bestFit="1" customWidth="1"/>
    <col min="21" max="16384" width="9.109375" style="40"/>
  </cols>
  <sheetData>
    <row r="1" spans="1:20" ht="13.8" x14ac:dyDescent="0.3">
      <c r="A1" s="150" t="s">
        <v>69</v>
      </c>
      <c r="B1" s="36" t="s">
        <v>32</v>
      </c>
      <c r="C1" s="45">
        <v>1</v>
      </c>
      <c r="D1" s="45">
        <v>2</v>
      </c>
      <c r="E1" s="45">
        <v>3</v>
      </c>
      <c r="F1" s="45">
        <v>4</v>
      </c>
      <c r="G1" s="45">
        <v>5</v>
      </c>
      <c r="H1" s="45">
        <v>6</v>
      </c>
      <c r="I1" s="45">
        <v>7</v>
      </c>
      <c r="J1" s="45">
        <v>8</v>
      </c>
      <c r="K1" s="45">
        <v>9</v>
      </c>
      <c r="L1" s="45">
        <v>10</v>
      </c>
      <c r="M1" s="45">
        <v>11</v>
      </c>
      <c r="N1" s="45">
        <v>12</v>
      </c>
      <c r="O1" s="45">
        <v>13</v>
      </c>
      <c r="P1" s="45">
        <v>14</v>
      </c>
      <c r="Q1" s="45">
        <v>15</v>
      </c>
      <c r="R1" s="37" t="s">
        <v>71</v>
      </c>
      <c r="S1" s="37" t="s">
        <v>70</v>
      </c>
      <c r="T1" s="44" t="s">
        <v>205</v>
      </c>
    </row>
    <row r="2" spans="1:20" ht="13.8" x14ac:dyDescent="0.3">
      <c r="A2" s="151">
        <v>1</v>
      </c>
      <c r="B2" s="38" t="s">
        <v>242</v>
      </c>
      <c r="C2" s="39">
        <f>IFERROR(IF(SUMIFS(Data!$K:$K,Data!$A:$A,Vitezistii!$B2,Data!$C:$C,Vitezistii!C$1)=0," ",SUMIFS(Data!$K:$K,Data!$A:$A,Vitezistii!$B2,Data!$C:$C,Vitezistii!C$1))+SUMIFS(Data!$Q:$Q,Data!$A:$A,Vitezistii!$B2,Data!$C:$C,Vitezistii!C$1),0)</f>
        <v>4.5</v>
      </c>
      <c r="D2" s="39">
        <f>IFERROR(IF(SUMIFS(Data!$K:$K,Data!$A:$A,Vitezistii!$B2,Data!$C:$C,Vitezistii!D$1)=0," ",SUMIFS(Data!$K:$K,Data!$A:$A,Vitezistii!$B2,Data!$C:$C,Vitezistii!D$1))+SUMIFS(Data!$Q:$Q,Data!$A:$A,Vitezistii!$B2,Data!$C:$C,Vitezistii!D$1),0)</f>
        <v>4</v>
      </c>
      <c r="E2" s="39">
        <f>IFERROR(IF(SUMIFS(Data!$K:$K,Data!$A:$A,Vitezistii!$B2,Data!$C:$C,Vitezistii!E$1)=0," ",SUMIFS(Data!$K:$K,Data!$A:$A,Vitezistii!$B2,Data!$C:$C,Vitezistii!E$1))+SUMIFS(Data!$Q:$Q,Data!$A:$A,Vitezistii!$B2,Data!$C:$C,Vitezistii!E$1),0)</f>
        <v>10.4</v>
      </c>
      <c r="F2" s="39">
        <f>IFERROR(IF(SUMIFS(Data!$K:$K,Data!$A:$A,Vitezistii!$B2,Data!$C:$C,Vitezistii!F$1)=0," ",SUMIFS(Data!$K:$K,Data!$A:$A,Vitezistii!$B2,Data!$C:$C,Vitezistii!F$1))+SUMIFS(Data!$Q:$Q,Data!$A:$A,Vitezistii!$B2,Data!$C:$C,Vitezistii!F$1),0)</f>
        <v>5.45</v>
      </c>
      <c r="G2" s="39">
        <f>IFERROR(IF(SUMIFS(Data!$K:$K,Data!$A:$A,Vitezistii!$B2,Data!$C:$C,Vitezistii!G$1)=0," ",SUMIFS(Data!$K:$K,Data!$A:$A,Vitezistii!$B2,Data!$C:$C,Vitezistii!G$1))+SUMIFS(Data!$Q:$Q,Data!$A:$A,Vitezistii!$B2,Data!$C:$C,Vitezistii!G$1),0)</f>
        <v>8.15</v>
      </c>
      <c r="H2" s="39">
        <f>IFERROR(IF(SUMIFS(Data!$K:$K,Data!$A:$A,Vitezistii!$B2,Data!$C:$C,Vitezistii!H$1)=0," ",SUMIFS(Data!$K:$K,Data!$A:$A,Vitezistii!$B2,Data!$C:$C,Vitezistii!H$1))+SUMIFS(Data!$Q:$Q,Data!$A:$A,Vitezistii!$B2,Data!$C:$C,Vitezistii!H$1),0)</f>
        <v>4</v>
      </c>
      <c r="I2" s="39">
        <f>IFERROR(IF(SUMIFS(Data!$K:$K,Data!$A:$A,Vitezistii!$B2,Data!$C:$C,Vitezistii!I$1)=0," ",SUMIFS(Data!$K:$K,Data!$A:$A,Vitezistii!$B2,Data!$C:$C,Vitezistii!I$1))+SUMIFS(Data!$Q:$Q,Data!$A:$A,Vitezistii!$B2,Data!$C:$C,Vitezistii!I$1),0)</f>
        <v>9.1999999999999993</v>
      </c>
      <c r="J2" s="39">
        <f>IFERROR(IF(SUMIFS(Data!$K:$K,Data!$A:$A,Vitezistii!$B2,Data!$C:$C,Vitezistii!J$1)=0," ",SUMIFS(Data!$K:$K,Data!$A:$A,Vitezistii!$B2,Data!$C:$C,Vitezistii!J$1))+SUMIFS(Data!$Q:$Q,Data!$A:$A,Vitezistii!$B2,Data!$C:$C,Vitezistii!J$1),0)</f>
        <v>4</v>
      </c>
      <c r="K2" s="39">
        <f>IFERROR(IF(SUMIFS(Data!$K:$K,Data!$A:$A,Vitezistii!$B2,Data!$C:$C,Vitezistii!K$1)=0," ",SUMIFS(Data!$K:$K,Data!$A:$A,Vitezistii!$B2,Data!$C:$C,Vitezistii!K$1))+SUMIFS(Data!$Q:$Q,Data!$A:$A,Vitezistii!$B2,Data!$C:$C,Vitezistii!K$1),0)</f>
        <v>7.25</v>
      </c>
      <c r="L2" s="39">
        <f>IFERROR(IF(SUMIFS(Data!$K:$K,Data!$A:$A,Vitezistii!$B2,Data!$C:$C,Vitezistii!L$1)=0," ",SUMIFS(Data!$K:$K,Data!$A:$A,Vitezistii!$B2,Data!$C:$C,Vitezistii!L$1))+SUMIFS(Data!$Q:$Q,Data!$A:$A,Vitezistii!$B2,Data!$C:$C,Vitezistii!L$1),0)</f>
        <v>9.1999999999999993</v>
      </c>
      <c r="M2" s="39">
        <f>IFERROR(IF(SUMIFS(Data!$K:$K,Data!$A:$A,Vitezistii!$B2,Data!$C:$C,Vitezistii!M$1)=0," ",SUMIFS(Data!$K:$K,Data!$A:$A,Vitezistii!$B2,Data!$C:$C,Vitezistii!M$1))+SUMIFS(Data!$Q:$Q,Data!$A:$A,Vitezistii!$B2,Data!$C:$C,Vitezistii!M$1),0)</f>
        <v>4</v>
      </c>
      <c r="N2" s="39">
        <f>IFERROR(IF(SUMIFS(Data!$K:$K,Data!$A:$A,Vitezistii!$B2,Data!$C:$C,Vitezistii!N$1)=0," ",SUMIFS(Data!$K:$K,Data!$A:$A,Vitezistii!$B2,Data!$C:$C,Vitezistii!N$1))+SUMIFS(Data!$Q:$Q,Data!$A:$A,Vitezistii!$B2,Data!$C:$C,Vitezistii!N$1),0)</f>
        <v>4</v>
      </c>
      <c r="O2" s="39">
        <f>IFERROR(IF(SUMIFS(Data!$K:$K,Data!$A:$A,Vitezistii!$B2,Data!$C:$C,Vitezistii!O$1)=0," ",SUMIFS(Data!$K:$K,Data!$A:$A,Vitezistii!$B2,Data!$C:$C,Vitezistii!O$1))+SUMIFS(Data!$Q:$Q,Data!$A:$A,Vitezistii!$B2,Data!$C:$C,Vitezistii!O$1),0)</f>
        <v>6.5</v>
      </c>
      <c r="P2" s="39">
        <f>IFERROR(IF(SUMIFS(Data!$K:$K,Data!$A:$A,Vitezistii!$B2,Data!$C:$C,Vitezistii!P$1)=0," ",SUMIFS(Data!$K:$K,Data!$A:$A,Vitezistii!$B2,Data!$C:$C,Vitezistii!P$1))+SUMIFS(Data!$Q:$Q,Data!$A:$A,Vitezistii!$B2,Data!$C:$C,Vitezistii!P$1),0)</f>
        <v>9.1999999999999993</v>
      </c>
      <c r="Q2" s="39">
        <f>IFERROR(IF(SUMIFS(Data!$K:$K,Data!$A:$A,Vitezistii!$B2,Data!$C:$C,Vitezistii!Q$1)=0," ",SUMIFS(Data!$K:$K,Data!$A:$A,Vitezistii!$B2,Data!$C:$C,Vitezistii!Q$1))+SUMIFS(Data!$Q:$Q,Data!$A:$A,Vitezistii!$B2,Data!$C:$C,Vitezistii!Q$1),0)</f>
        <v>5.9</v>
      </c>
      <c r="R2" s="39">
        <f>SUM(C2:Q2)</f>
        <v>95.750000000000014</v>
      </c>
      <c r="S2" s="39">
        <f>SUMIFS(Data!D:D,Data!A:A,Vitezistii!B2)</f>
        <v>313.59999999999997</v>
      </c>
      <c r="T2" s="14">
        <f>SUMIFS(Data!I:I,Data!A:A,Vitezistii!B2)/COUNTIF(Data!A:A,Vitezistii!B2)</f>
        <v>2.2503920238996513E-3</v>
      </c>
    </row>
    <row r="3" spans="1:20" ht="13.8" x14ac:dyDescent="0.3">
      <c r="A3" s="151">
        <v>2</v>
      </c>
      <c r="B3" s="38" t="s">
        <v>152</v>
      </c>
      <c r="C3" s="39">
        <f>IFERROR(IF(SUMIFS(Data!$K:$K,Data!$A:$A,Vitezistii!$B3,Data!$C:$C,Vitezistii!C$1)=0," ",SUMIFS(Data!$K:$K,Data!$A:$A,Vitezistii!$B3,Data!$C:$C,Vitezistii!C$1))+SUMIFS(Data!$Q:$Q,Data!$A:$A,Vitezistii!$B3,Data!$C:$C,Vitezistii!C$1),0)</f>
        <v>5.45</v>
      </c>
      <c r="D3" s="39">
        <f>IFERROR(IF(SUMIFS(Data!$K:$K,Data!$A:$A,Vitezistii!$B3,Data!$C:$C,Vitezistii!D$1)=0," ",SUMIFS(Data!$K:$K,Data!$A:$A,Vitezistii!$B3,Data!$C:$C,Vitezistii!D$1))+SUMIFS(Data!$Q:$Q,Data!$A:$A,Vitezistii!$B3,Data!$C:$C,Vitezistii!D$1),0)</f>
        <v>4</v>
      </c>
      <c r="E3" s="39">
        <f>IFERROR(IF(SUMIFS(Data!$K:$K,Data!$A:$A,Vitezistii!$B3,Data!$C:$C,Vitezistii!E$1)=0," ",SUMIFS(Data!$K:$K,Data!$A:$A,Vitezistii!$B3,Data!$C:$C,Vitezistii!E$1))+SUMIFS(Data!$Q:$Q,Data!$A:$A,Vitezistii!$B3,Data!$C:$C,Vitezistii!E$1),0)</f>
        <v>8.15</v>
      </c>
      <c r="F3" s="39">
        <f>IFERROR(IF(SUMIFS(Data!$K:$K,Data!$A:$A,Vitezistii!$B3,Data!$C:$C,Vitezistii!F$1)=0," ",SUMIFS(Data!$K:$K,Data!$A:$A,Vitezistii!$B3,Data!$C:$C,Vitezistii!F$1))+SUMIFS(Data!$Q:$Q,Data!$A:$A,Vitezistii!$B3,Data!$C:$C,Vitezistii!F$1),0)</f>
        <v>4</v>
      </c>
      <c r="G3" s="39">
        <f>IFERROR(IF(SUMIFS(Data!$K:$K,Data!$A:$A,Vitezistii!$B3,Data!$C:$C,Vitezistii!G$1)=0," ",SUMIFS(Data!$K:$K,Data!$A:$A,Vitezistii!$B3,Data!$C:$C,Vitezistii!G$1))+SUMIFS(Data!$Q:$Q,Data!$A:$A,Vitezistii!$B3,Data!$C:$C,Vitezistii!G$1),0)</f>
        <v>3.5</v>
      </c>
      <c r="H3" s="39">
        <f>IFERROR(IF(SUMIFS(Data!$K:$K,Data!$A:$A,Vitezistii!$B3,Data!$C:$C,Vitezistii!H$1)=0," ",SUMIFS(Data!$K:$K,Data!$A:$A,Vitezistii!$B3,Data!$C:$C,Vitezistii!H$1))+SUMIFS(Data!$Q:$Q,Data!$A:$A,Vitezistii!$B3,Data!$C:$C,Vitezistii!H$1),0)</f>
        <v>2.5</v>
      </c>
      <c r="I3" s="39">
        <f>IFERROR(IF(SUMIFS(Data!$K:$K,Data!$A:$A,Vitezistii!$B3,Data!$C:$C,Vitezistii!I$1)=0," ",SUMIFS(Data!$K:$K,Data!$A:$A,Vitezistii!$B3,Data!$C:$C,Vitezistii!I$1))+SUMIFS(Data!$Q:$Q,Data!$A:$A,Vitezistii!$B3,Data!$C:$C,Vitezistii!I$1),0)</f>
        <v>11.75</v>
      </c>
      <c r="J3" s="39">
        <f>IFERROR(IF(SUMIFS(Data!$K:$K,Data!$A:$A,Vitezistii!$B3,Data!$C:$C,Vitezistii!J$1)=0," ",SUMIFS(Data!$K:$K,Data!$A:$A,Vitezistii!$B3,Data!$C:$C,Vitezistii!J$1))+SUMIFS(Data!$Q:$Q,Data!$A:$A,Vitezistii!$B3,Data!$C:$C,Vitezistii!J$1),0)</f>
        <v>4.5</v>
      </c>
      <c r="K3" s="39">
        <f>IFERROR(IF(SUMIFS(Data!$K:$K,Data!$A:$A,Vitezistii!$B3,Data!$C:$C,Vitezistii!K$1)=0," ",SUMIFS(Data!$K:$K,Data!$A:$A,Vitezistii!$B3,Data!$C:$C,Vitezistii!K$1))+SUMIFS(Data!$Q:$Q,Data!$A:$A,Vitezistii!$B3,Data!$C:$C,Vitezistii!K$1),0)</f>
        <v>2.5</v>
      </c>
      <c r="L3" s="39">
        <f>IFERROR(IF(SUMIFS(Data!$K:$K,Data!$A:$A,Vitezistii!$B3,Data!$C:$C,Vitezistii!L$1)=0," ",SUMIFS(Data!$K:$K,Data!$A:$A,Vitezistii!$B3,Data!$C:$C,Vitezistii!L$1))+SUMIFS(Data!$Q:$Q,Data!$A:$A,Vitezistii!$B3,Data!$C:$C,Vitezistii!L$1),0)</f>
        <v>11.75</v>
      </c>
      <c r="M3" s="39">
        <f>IFERROR(IF(SUMIFS(Data!$K:$K,Data!$A:$A,Vitezistii!$B3,Data!$C:$C,Vitezistii!M$1)=0," ",SUMIFS(Data!$K:$K,Data!$A:$A,Vitezistii!$B3,Data!$C:$C,Vitezistii!M$1))+SUMIFS(Data!$Q:$Q,Data!$A:$A,Vitezistii!$B3,Data!$C:$C,Vitezistii!M$1),0)</f>
        <v>4.5</v>
      </c>
      <c r="N3" s="39">
        <f>IFERROR(IF(SUMIFS(Data!$K:$K,Data!$A:$A,Vitezistii!$B3,Data!$C:$C,Vitezistii!N$1)=0," ",SUMIFS(Data!$K:$K,Data!$A:$A,Vitezistii!$B3,Data!$C:$C,Vitezistii!N$1))+SUMIFS(Data!$Q:$Q,Data!$A:$A,Vitezistii!$B3,Data!$C:$C,Vitezistii!N$1),0)</f>
        <v>4</v>
      </c>
      <c r="O3" s="39">
        <f>IFERROR(IF(SUMIFS(Data!$K:$K,Data!$A:$A,Vitezistii!$B3,Data!$C:$C,Vitezistii!O$1)=0," ",SUMIFS(Data!$K:$K,Data!$A:$A,Vitezistii!$B3,Data!$C:$C,Vitezistii!O$1))+SUMIFS(Data!$Q:$Q,Data!$A:$A,Vitezistii!$B3,Data!$C:$C,Vitezistii!O$1),0)</f>
        <v>2.5</v>
      </c>
      <c r="P3" s="39">
        <f>IFERROR(IF(SUMIFS(Data!$K:$K,Data!$A:$A,Vitezistii!$B3,Data!$C:$C,Vitezistii!P$1)=0," ",SUMIFS(Data!$K:$K,Data!$A:$A,Vitezistii!$B3,Data!$C:$C,Vitezistii!P$1))+SUMIFS(Data!$Q:$Q,Data!$A:$A,Vitezistii!$B3,Data!$C:$C,Vitezistii!P$1),0)</f>
        <v>7.25</v>
      </c>
      <c r="Q3" s="39">
        <f>IFERROR(IF(SUMIFS(Data!$K:$K,Data!$A:$A,Vitezistii!$B3,Data!$C:$C,Vitezistii!Q$1)=0," ",SUMIFS(Data!$K:$K,Data!$A:$A,Vitezistii!$B3,Data!$C:$C,Vitezistii!Q$1))+SUMIFS(Data!$Q:$Q,Data!$A:$A,Vitezistii!$B3,Data!$C:$C,Vitezistii!Q$1),0)</f>
        <v>3</v>
      </c>
      <c r="R3" s="39">
        <f t="shared" ref="R3:R39" si="0">SUM(C3:Q3)</f>
        <v>79.349999999999994</v>
      </c>
      <c r="S3" s="39">
        <f>SUMIFS(Data!D:D,Data!A:A,Vitezistii!B3)</f>
        <v>210.6</v>
      </c>
      <c r="T3" s="14">
        <f>SUMIFS(Data!I:I,Data!A:A,Vitezistii!B3)/COUNTIF(Data!A:A,Vitezistii!B3)</f>
        <v>2.7646625690262785E-3</v>
      </c>
    </row>
    <row r="4" spans="1:20" ht="13.8" x14ac:dyDescent="0.3">
      <c r="A4" s="151">
        <v>3</v>
      </c>
      <c r="B4" s="38" t="s">
        <v>203</v>
      </c>
      <c r="C4" s="39">
        <f>IFERROR(IF(SUMIFS(Data!$K:$K,Data!$A:$A,Vitezistii!$B4,Data!$C:$C,Vitezistii!C$1)=0," ",SUMIFS(Data!$K:$K,Data!$A:$A,Vitezistii!$B4,Data!$C:$C,Vitezistii!C$1))+SUMIFS(Data!$Q:$Q,Data!$A:$A,Vitezistii!$B4,Data!$C:$C,Vitezistii!C$1),0)</f>
        <v>5.15</v>
      </c>
      <c r="D4" s="39">
        <f>IFERROR(IF(SUMIFS(Data!$K:$K,Data!$A:$A,Vitezistii!$B4,Data!$C:$C,Vitezistii!D$1)=0," ",SUMIFS(Data!$K:$K,Data!$A:$A,Vitezistii!$B4,Data!$C:$C,Vitezistii!D$1))+SUMIFS(Data!$Q:$Q,Data!$A:$A,Vitezistii!$B4,Data!$C:$C,Vitezistii!D$1),0)</f>
        <v>4</v>
      </c>
      <c r="E4" s="39">
        <f>IFERROR(IF(SUMIFS(Data!$K:$K,Data!$A:$A,Vitezistii!$B4,Data!$C:$C,Vitezistii!E$1)=0," ",SUMIFS(Data!$K:$K,Data!$A:$A,Vitezistii!$B4,Data!$C:$C,Vitezistii!E$1))+SUMIFS(Data!$Q:$Q,Data!$A:$A,Vitezistii!$B4,Data!$C:$C,Vitezistii!E$1),0)</f>
        <v>3</v>
      </c>
      <c r="F4" s="39">
        <f>IFERROR(IF(SUMIFS(Data!$K:$K,Data!$A:$A,Vitezistii!$B4,Data!$C:$C,Vitezistii!F$1)=0," ",SUMIFS(Data!$K:$K,Data!$A:$A,Vitezistii!$B4,Data!$C:$C,Vitezistii!F$1))+SUMIFS(Data!$Q:$Q,Data!$A:$A,Vitezistii!$B4,Data!$C:$C,Vitezistii!F$1),0)</f>
        <v>4</v>
      </c>
      <c r="G4" s="39">
        <f>IFERROR(IF(SUMIFS(Data!$K:$K,Data!$A:$A,Vitezistii!$B4,Data!$C:$C,Vitezistii!G$1)=0," ",SUMIFS(Data!$K:$K,Data!$A:$A,Vitezistii!$B4,Data!$C:$C,Vitezistii!G$1))+SUMIFS(Data!$Q:$Q,Data!$A:$A,Vitezistii!$B4,Data!$C:$C,Vitezistii!G$1),0)</f>
        <v>5.15</v>
      </c>
      <c r="H4" s="39">
        <f>IFERROR(IF(SUMIFS(Data!$K:$K,Data!$A:$A,Vitezistii!$B4,Data!$C:$C,Vitezistii!H$1)=0," ",SUMIFS(Data!$K:$K,Data!$A:$A,Vitezistii!$B4,Data!$C:$C,Vitezistii!H$1))+SUMIFS(Data!$Q:$Q,Data!$A:$A,Vitezistii!$B4,Data!$C:$C,Vitezistii!H$1),0)</f>
        <v>3.5</v>
      </c>
      <c r="I4" s="39">
        <f>IFERROR(IF(SUMIFS(Data!$K:$K,Data!$A:$A,Vitezistii!$B4,Data!$C:$C,Vitezistii!I$1)=0," ",SUMIFS(Data!$K:$K,Data!$A:$A,Vitezistii!$B4,Data!$C:$C,Vitezistii!I$1))+SUMIFS(Data!$Q:$Q,Data!$A:$A,Vitezistii!$B4,Data!$C:$C,Vitezistii!I$1),0)</f>
        <v>4</v>
      </c>
      <c r="J4" s="39">
        <f>IFERROR(IF(SUMIFS(Data!$K:$K,Data!$A:$A,Vitezistii!$B4,Data!$C:$C,Vitezistii!J$1)=0," ",SUMIFS(Data!$K:$K,Data!$A:$A,Vitezistii!$B4,Data!$C:$C,Vitezistii!J$1))+SUMIFS(Data!$Q:$Q,Data!$A:$A,Vitezistii!$B4,Data!$C:$C,Vitezistii!J$1),0)</f>
        <v>6.5</v>
      </c>
      <c r="K4" s="39">
        <f>IFERROR(IF(SUMIFS(Data!$K:$K,Data!$A:$A,Vitezistii!$B4,Data!$C:$C,Vitezistii!K$1)=0," ",SUMIFS(Data!$K:$K,Data!$A:$A,Vitezistii!$B4,Data!$C:$C,Vitezistii!K$1))+SUMIFS(Data!$Q:$Q,Data!$A:$A,Vitezistii!$B4,Data!$C:$C,Vitezistii!K$1),0)</f>
        <v>4.5</v>
      </c>
      <c r="L4" s="39">
        <f>IFERROR(IF(SUMIFS(Data!$K:$K,Data!$A:$A,Vitezistii!$B4,Data!$C:$C,Vitezistii!L$1)=0," ",SUMIFS(Data!$K:$K,Data!$A:$A,Vitezistii!$B4,Data!$C:$C,Vitezistii!L$1))+SUMIFS(Data!$Q:$Q,Data!$A:$A,Vitezistii!$B4,Data!$C:$C,Vitezistii!L$1),0)</f>
        <v>5.15</v>
      </c>
      <c r="M4" s="39">
        <f>IFERROR(IF(SUMIFS(Data!$K:$K,Data!$A:$A,Vitezistii!$B4,Data!$C:$C,Vitezistii!M$1)=0," ",SUMIFS(Data!$K:$K,Data!$A:$A,Vitezistii!$B4,Data!$C:$C,Vitezistii!M$1))+SUMIFS(Data!$Q:$Q,Data!$A:$A,Vitezistii!$B4,Data!$C:$C,Vitezistii!M$1),0)</f>
        <v>4</v>
      </c>
      <c r="N4" s="39">
        <f>IFERROR(IF(SUMIFS(Data!$K:$K,Data!$A:$A,Vitezistii!$B4,Data!$C:$C,Vitezistii!N$1)=0," ",SUMIFS(Data!$K:$K,Data!$A:$A,Vitezistii!$B4,Data!$C:$C,Vitezistii!N$1))+SUMIFS(Data!$Q:$Q,Data!$A:$A,Vitezistii!$B4,Data!$C:$C,Vitezistii!N$1),0)</f>
        <v>4.5</v>
      </c>
      <c r="O4" s="39">
        <f>IFERROR(IF(SUMIFS(Data!$K:$K,Data!$A:$A,Vitezistii!$B4,Data!$C:$C,Vitezistii!O$1)=0," ",SUMIFS(Data!$K:$K,Data!$A:$A,Vitezistii!$B4,Data!$C:$C,Vitezistii!O$1))+SUMIFS(Data!$Q:$Q,Data!$A:$A,Vitezistii!$B4,Data!$C:$C,Vitezistii!O$1),0)</f>
        <v>1.5</v>
      </c>
      <c r="P4" s="39">
        <f>IFERROR(IF(SUMIFS(Data!$K:$K,Data!$A:$A,Vitezistii!$B4,Data!$C:$C,Vitezistii!P$1)=0," ",SUMIFS(Data!$K:$K,Data!$A:$A,Vitezistii!$B4,Data!$C:$C,Vitezistii!P$1))+SUMIFS(Data!$Q:$Q,Data!$A:$A,Vitezistii!$B4,Data!$C:$C,Vitezistii!P$1),0)</f>
        <v>5.9</v>
      </c>
      <c r="Q4" s="39">
        <f>IFERROR(IF(SUMIFS(Data!$K:$K,Data!$A:$A,Vitezistii!$B4,Data!$C:$C,Vitezistii!Q$1)=0," ",SUMIFS(Data!$K:$K,Data!$A:$A,Vitezistii!$B4,Data!$C:$C,Vitezistii!Q$1))+SUMIFS(Data!$Q:$Q,Data!$A:$A,Vitezistii!$B4,Data!$C:$C,Vitezistii!Q$1),0)</f>
        <v>4</v>
      </c>
      <c r="R4" s="39">
        <f t="shared" si="0"/>
        <v>64.849999999999994</v>
      </c>
      <c r="S4" s="39">
        <f>SUMIFS(Data!D:D,Data!A:A,Vitezistii!B4)</f>
        <v>335.39000000000004</v>
      </c>
      <c r="T4" s="14">
        <f>SUMIFS(Data!I:I,Data!A:A,Vitezistii!B4)/COUNTIF(Data!A:A,Vitezistii!B4)</f>
        <v>2.5003067897607181E-3</v>
      </c>
    </row>
    <row r="5" spans="1:20" ht="13.8" x14ac:dyDescent="0.3">
      <c r="A5" s="151">
        <v>4</v>
      </c>
      <c r="B5" s="38" t="s">
        <v>119</v>
      </c>
      <c r="C5" s="39">
        <f>IFERROR(IF(SUMIFS(Data!$K:$K,Data!$A:$A,Vitezistii!$B5,Data!$C:$C,Vitezistii!C$1)=0," ",SUMIFS(Data!$K:$K,Data!$A:$A,Vitezistii!$B5,Data!$C:$C,Vitezistii!C$1))+SUMIFS(Data!$Q:$Q,Data!$A:$A,Vitezistii!$B5,Data!$C:$C,Vitezistii!C$1),0)</f>
        <v>3.5</v>
      </c>
      <c r="D5" s="39">
        <f>IFERROR(IF(SUMIFS(Data!$K:$K,Data!$A:$A,Vitezistii!$B5,Data!$C:$C,Vitezistii!D$1)=0," ",SUMIFS(Data!$K:$K,Data!$A:$A,Vitezistii!$B5,Data!$C:$C,Vitezistii!D$1))+SUMIFS(Data!$Q:$Q,Data!$A:$A,Vitezistii!$B5,Data!$C:$C,Vitezistii!D$1),0)</f>
        <v>6.5</v>
      </c>
      <c r="E5" s="39">
        <f>IFERROR(IF(SUMIFS(Data!$K:$K,Data!$A:$A,Vitezistii!$B5,Data!$C:$C,Vitezistii!E$1)=0," ",SUMIFS(Data!$K:$K,Data!$A:$A,Vitezistii!$B5,Data!$C:$C,Vitezistii!E$1))+SUMIFS(Data!$Q:$Q,Data!$A:$A,Vitezistii!$B5,Data!$C:$C,Vitezistii!E$1),0)</f>
        <v>3.5</v>
      </c>
      <c r="F5" s="39">
        <f>IFERROR(IF(SUMIFS(Data!$K:$K,Data!$A:$A,Vitezistii!$B5,Data!$C:$C,Vitezistii!F$1)=0," ",SUMIFS(Data!$K:$K,Data!$A:$A,Vitezistii!$B5,Data!$C:$C,Vitezistii!F$1))+SUMIFS(Data!$Q:$Q,Data!$A:$A,Vitezistii!$B5,Data!$C:$C,Vitezistii!F$1),0)</f>
        <v>4.5</v>
      </c>
      <c r="G5" s="39">
        <f>IFERROR(IF(SUMIFS(Data!$K:$K,Data!$A:$A,Vitezistii!$B5,Data!$C:$C,Vitezistii!G$1)=0," ",SUMIFS(Data!$K:$K,Data!$A:$A,Vitezistii!$B5,Data!$C:$C,Vitezistii!G$1))+SUMIFS(Data!$Q:$Q,Data!$A:$A,Vitezistii!$B5,Data!$C:$C,Vitezistii!G$1),0)</f>
        <v>5.9</v>
      </c>
      <c r="H5" s="39">
        <f>IFERROR(IF(SUMIFS(Data!$K:$K,Data!$A:$A,Vitezistii!$B5,Data!$C:$C,Vitezistii!H$1)=0," ",SUMIFS(Data!$K:$K,Data!$A:$A,Vitezistii!$B5,Data!$C:$C,Vitezistii!H$1))+SUMIFS(Data!$Q:$Q,Data!$A:$A,Vitezistii!$B5,Data!$C:$C,Vitezistii!H$1),0)</f>
        <v>3.5</v>
      </c>
      <c r="I5" s="39">
        <f>IFERROR(IF(SUMIFS(Data!$K:$K,Data!$A:$A,Vitezistii!$B5,Data!$C:$C,Vitezistii!I$1)=0," ",SUMIFS(Data!$K:$K,Data!$A:$A,Vitezistii!$B5,Data!$C:$C,Vitezistii!I$1))+SUMIFS(Data!$Q:$Q,Data!$A:$A,Vitezistii!$B5,Data!$C:$C,Vitezistii!I$1),0)</f>
        <v>5.15</v>
      </c>
      <c r="J5" s="39">
        <f>IFERROR(IF(SUMIFS(Data!$K:$K,Data!$A:$A,Vitezistii!$B5,Data!$C:$C,Vitezistii!J$1)=0," ",SUMIFS(Data!$K:$K,Data!$A:$A,Vitezistii!$B5,Data!$C:$C,Vitezistii!J$1))+SUMIFS(Data!$Q:$Q,Data!$A:$A,Vitezistii!$B5,Data!$C:$C,Vitezistii!J$1),0)</f>
        <v>2.5</v>
      </c>
      <c r="K5" s="39">
        <f>IFERROR(IF(SUMIFS(Data!$K:$K,Data!$A:$A,Vitezistii!$B5,Data!$C:$C,Vitezistii!K$1)=0," ",SUMIFS(Data!$K:$K,Data!$A:$A,Vitezistii!$B5,Data!$C:$C,Vitezistii!K$1))+SUMIFS(Data!$Q:$Q,Data!$A:$A,Vitezistii!$B5,Data!$C:$C,Vitezistii!K$1),0)</f>
        <v>4.5</v>
      </c>
      <c r="L5" s="39">
        <f>IFERROR(IF(SUMIFS(Data!$K:$K,Data!$A:$A,Vitezistii!$B5,Data!$C:$C,Vitezistii!L$1)=0," ",SUMIFS(Data!$K:$K,Data!$A:$A,Vitezistii!$B5,Data!$C:$C,Vitezistii!L$1))+SUMIFS(Data!$Q:$Q,Data!$A:$A,Vitezistii!$B5,Data!$C:$C,Vitezistii!L$1),0)</f>
        <v>4</v>
      </c>
      <c r="M5" s="39">
        <f>IFERROR(IF(SUMIFS(Data!$K:$K,Data!$A:$A,Vitezistii!$B5,Data!$C:$C,Vitezistii!M$1)=0," ",SUMIFS(Data!$K:$K,Data!$A:$A,Vitezistii!$B5,Data!$C:$C,Vitezistii!M$1))+SUMIFS(Data!$Q:$Q,Data!$A:$A,Vitezistii!$B5,Data!$C:$C,Vitezistii!M$1),0)</f>
        <v>4</v>
      </c>
      <c r="N5" s="39">
        <f>IFERROR(IF(SUMIFS(Data!$K:$K,Data!$A:$A,Vitezistii!$B5,Data!$C:$C,Vitezistii!N$1)=0," ",SUMIFS(Data!$K:$K,Data!$A:$A,Vitezistii!$B5,Data!$C:$C,Vitezistii!N$1))+SUMIFS(Data!$Q:$Q,Data!$A:$A,Vitezistii!$B5,Data!$C:$C,Vitezistii!N$1),0)</f>
        <v>4</v>
      </c>
      <c r="O5" s="39">
        <f>IFERROR(IF(SUMIFS(Data!$K:$K,Data!$A:$A,Vitezistii!$B5,Data!$C:$C,Vitezistii!O$1)=0," ",SUMIFS(Data!$K:$K,Data!$A:$A,Vitezistii!$B5,Data!$C:$C,Vitezistii!O$1))+SUMIFS(Data!$Q:$Q,Data!$A:$A,Vitezistii!$B5,Data!$C:$C,Vitezistii!O$1),0)</f>
        <v>4.5</v>
      </c>
      <c r="P5" s="39">
        <f>IFERROR(IF(SUMIFS(Data!$K:$K,Data!$A:$A,Vitezistii!$B5,Data!$C:$C,Vitezistii!P$1)=0," ",SUMIFS(Data!$K:$K,Data!$A:$A,Vitezistii!$B5,Data!$C:$C,Vitezistii!P$1))+SUMIFS(Data!$Q:$Q,Data!$A:$A,Vitezistii!$B5,Data!$C:$C,Vitezistii!P$1),0)</f>
        <v>3</v>
      </c>
      <c r="Q5" s="39">
        <f>IFERROR(IF(SUMIFS(Data!$K:$K,Data!$A:$A,Vitezistii!$B5,Data!$C:$C,Vitezistii!Q$1)=0," ",SUMIFS(Data!$K:$K,Data!$A:$A,Vitezistii!$B5,Data!$C:$C,Vitezistii!Q$1))+SUMIFS(Data!$Q:$Q,Data!$A:$A,Vitezistii!$B5,Data!$C:$C,Vitezistii!Q$1),0)</f>
        <v>2.5</v>
      </c>
      <c r="R5" s="39">
        <f t="shared" si="0"/>
        <v>61.55</v>
      </c>
      <c r="S5" s="39">
        <f>SUMIFS(Data!D:D,Data!A:A,Vitezistii!B5)</f>
        <v>249.73999999999998</v>
      </c>
      <c r="T5" s="14">
        <f>SUMIFS(Data!I:I,Data!A:A,Vitezistii!B5)/COUNTIF(Data!A:A,Vitezistii!B5)</f>
        <v>2.5446055810309574E-3</v>
      </c>
    </row>
    <row r="6" spans="1:20" ht="13.8" x14ac:dyDescent="0.3">
      <c r="A6" s="151">
        <v>5</v>
      </c>
      <c r="B6" s="38" t="s">
        <v>211</v>
      </c>
      <c r="C6" s="39">
        <f>IFERROR(IF(SUMIFS(Data!$K:$K,Data!$A:$A,Vitezistii!$B6,Data!$C:$C,Vitezistii!C$1)=0," ",SUMIFS(Data!$K:$K,Data!$A:$A,Vitezistii!$B6,Data!$C:$C,Vitezistii!C$1))+SUMIFS(Data!$Q:$Q,Data!$A:$A,Vitezistii!$B6,Data!$C:$C,Vitezistii!C$1),0)</f>
        <v>4</v>
      </c>
      <c r="D6" s="39">
        <f>IFERROR(IF(SUMIFS(Data!$K:$K,Data!$A:$A,Vitezistii!$B6,Data!$C:$C,Vitezistii!D$1)=0," ",SUMIFS(Data!$K:$K,Data!$A:$A,Vitezistii!$B6,Data!$C:$C,Vitezistii!D$1))+SUMIFS(Data!$Q:$Q,Data!$A:$A,Vitezistii!$B6,Data!$C:$C,Vitezistii!D$1),0)</f>
        <v>1</v>
      </c>
      <c r="E6" s="39">
        <f>IFERROR(IF(SUMIFS(Data!$K:$K,Data!$A:$A,Vitezistii!$B6,Data!$C:$C,Vitezistii!E$1)=0," ",SUMIFS(Data!$K:$K,Data!$A:$A,Vitezistii!$B6,Data!$C:$C,Vitezistii!E$1))+SUMIFS(Data!$Q:$Q,Data!$A:$A,Vitezistii!$B6,Data!$C:$C,Vitezistii!E$1),0)</f>
        <v>3.5</v>
      </c>
      <c r="F6" s="39">
        <f>IFERROR(IF(SUMIFS(Data!$K:$K,Data!$A:$A,Vitezistii!$B6,Data!$C:$C,Vitezistii!F$1)=0," ",SUMIFS(Data!$K:$K,Data!$A:$A,Vitezistii!$B6,Data!$C:$C,Vitezistii!F$1))+SUMIFS(Data!$Q:$Q,Data!$A:$A,Vitezistii!$B6,Data!$C:$C,Vitezistii!F$1),0)</f>
        <v>4.5</v>
      </c>
      <c r="G6" s="39">
        <f>IFERROR(IF(SUMIFS(Data!$K:$K,Data!$A:$A,Vitezistii!$B6,Data!$C:$C,Vitezistii!G$1)=0," ",SUMIFS(Data!$K:$K,Data!$A:$A,Vitezistii!$B6,Data!$C:$C,Vitezistii!G$1))+SUMIFS(Data!$Q:$Q,Data!$A:$A,Vitezistii!$B6,Data!$C:$C,Vitezistii!G$1),0)</f>
        <v>6.5</v>
      </c>
      <c r="H6" s="39">
        <f>IFERROR(IF(SUMIFS(Data!$K:$K,Data!$A:$A,Vitezistii!$B6,Data!$C:$C,Vitezistii!H$1)=0," ",SUMIFS(Data!$K:$K,Data!$A:$A,Vitezistii!$B6,Data!$C:$C,Vitezistii!H$1))+SUMIFS(Data!$Q:$Q,Data!$A:$A,Vitezistii!$B6,Data!$C:$C,Vitezistii!H$1),0)</f>
        <v>3</v>
      </c>
      <c r="I6" s="39">
        <f>IFERROR(IF(SUMIFS(Data!$K:$K,Data!$A:$A,Vitezistii!$B6,Data!$C:$C,Vitezistii!I$1)=0," ",SUMIFS(Data!$K:$K,Data!$A:$A,Vitezistii!$B6,Data!$C:$C,Vitezistii!I$1))+SUMIFS(Data!$Q:$Q,Data!$A:$A,Vitezistii!$B6,Data!$C:$C,Vitezistii!I$1),0)</f>
        <v>8.15</v>
      </c>
      <c r="J6" s="39">
        <f>IFERROR(IF(SUMIFS(Data!$K:$K,Data!$A:$A,Vitezistii!$B6,Data!$C:$C,Vitezistii!J$1)=0," ",SUMIFS(Data!$K:$K,Data!$A:$A,Vitezistii!$B6,Data!$C:$C,Vitezistii!J$1))+SUMIFS(Data!$Q:$Q,Data!$A:$A,Vitezistii!$B6,Data!$C:$C,Vitezistii!J$1),0)</f>
        <v>2</v>
      </c>
      <c r="K6" s="39">
        <f>IFERROR(IF(SUMIFS(Data!$K:$K,Data!$A:$A,Vitezistii!$B6,Data!$C:$C,Vitezistii!K$1)=0," ",SUMIFS(Data!$K:$K,Data!$A:$A,Vitezistii!$B6,Data!$C:$C,Vitezistii!K$1))+SUMIFS(Data!$Q:$Q,Data!$A:$A,Vitezistii!$B6,Data!$C:$C,Vitezistii!K$1),0)</f>
        <v>5.45</v>
      </c>
      <c r="L6" s="39">
        <f>IFERROR(IF(SUMIFS(Data!$K:$K,Data!$A:$A,Vitezistii!$B6,Data!$C:$C,Vitezistii!L$1)=0," ",SUMIFS(Data!$K:$K,Data!$A:$A,Vitezistii!$B6,Data!$C:$C,Vitezistii!L$1))+SUMIFS(Data!$Q:$Q,Data!$A:$A,Vitezistii!$B6,Data!$C:$C,Vitezistii!L$1),0)</f>
        <v>3</v>
      </c>
      <c r="M6" s="39">
        <f>IFERROR(IF(SUMIFS(Data!$K:$K,Data!$A:$A,Vitezistii!$B6,Data!$C:$C,Vitezistii!M$1)=0," ",SUMIFS(Data!$K:$K,Data!$A:$A,Vitezistii!$B6,Data!$C:$C,Vitezistii!M$1))+SUMIFS(Data!$Q:$Q,Data!$A:$A,Vitezistii!$B6,Data!$C:$C,Vitezistii!M$1),0)</f>
        <v>3.5</v>
      </c>
      <c r="N6" s="39">
        <f>IFERROR(IF(SUMIFS(Data!$K:$K,Data!$A:$A,Vitezistii!$B6,Data!$C:$C,Vitezistii!N$1)=0," ",SUMIFS(Data!$K:$K,Data!$A:$A,Vitezistii!$B6,Data!$C:$C,Vitezistii!N$1))+SUMIFS(Data!$Q:$Q,Data!$A:$A,Vitezistii!$B6,Data!$C:$C,Vitezistii!N$1),0)</f>
        <v>4</v>
      </c>
      <c r="O6" s="39">
        <f>IFERROR(IF(SUMIFS(Data!$K:$K,Data!$A:$A,Vitezistii!$B6,Data!$C:$C,Vitezistii!O$1)=0," ",SUMIFS(Data!$K:$K,Data!$A:$A,Vitezistii!$B6,Data!$C:$C,Vitezistii!O$1))+SUMIFS(Data!$Q:$Q,Data!$A:$A,Vitezistii!$B6,Data!$C:$C,Vitezistii!O$1),0)</f>
        <v>4.5</v>
      </c>
      <c r="P6" s="39">
        <f>IFERROR(IF(SUMIFS(Data!$K:$K,Data!$A:$A,Vitezistii!$B6,Data!$C:$C,Vitezistii!P$1)=0," ",SUMIFS(Data!$K:$K,Data!$A:$A,Vitezistii!$B6,Data!$C:$C,Vitezistii!P$1))+SUMIFS(Data!$Q:$Q,Data!$A:$A,Vitezistii!$B6,Data!$C:$C,Vitezistii!P$1),0)</f>
        <v>4.5</v>
      </c>
      <c r="Q6" s="39">
        <f>IFERROR(IF(SUMIFS(Data!$K:$K,Data!$A:$A,Vitezistii!$B6,Data!$C:$C,Vitezistii!Q$1)=0," ",SUMIFS(Data!$K:$K,Data!$A:$A,Vitezistii!$B6,Data!$C:$C,Vitezistii!Q$1))+SUMIFS(Data!$Q:$Q,Data!$A:$A,Vitezistii!$B6,Data!$C:$C,Vitezistii!Q$1),0)</f>
        <v>4</v>
      </c>
      <c r="R6" s="39">
        <f t="shared" si="0"/>
        <v>61.6</v>
      </c>
      <c r="S6" s="39">
        <f>SUMIFS(Data!D:D,Data!A:A,Vitezistii!B6)</f>
        <v>233.39999999999998</v>
      </c>
      <c r="T6" s="14">
        <f>SUMIFS(Data!I:I,Data!A:A,Vitezistii!B6)/COUNTIF(Data!A:A,Vitezistii!B6)</f>
        <v>2.9091044294699722E-3</v>
      </c>
    </row>
    <row r="7" spans="1:20" ht="13.8" x14ac:dyDescent="0.3">
      <c r="A7" s="151">
        <v>6</v>
      </c>
      <c r="B7" s="38" t="s">
        <v>153</v>
      </c>
      <c r="C7" s="39">
        <f>IFERROR(IF(SUMIFS(Data!$K:$K,Data!$A:$A,Vitezistii!$B7,Data!$C:$C,Vitezistii!C$1)=0," ",SUMIFS(Data!$K:$K,Data!$A:$A,Vitezistii!$B7,Data!$C:$C,Vitezistii!C$1))+SUMIFS(Data!$Q:$Q,Data!$A:$A,Vitezistii!$B7,Data!$C:$C,Vitezistii!C$1),0)</f>
        <v>3</v>
      </c>
      <c r="D7" s="39">
        <f>IFERROR(IF(SUMIFS(Data!$K:$K,Data!$A:$A,Vitezistii!$B7,Data!$C:$C,Vitezistii!D$1)=0," ",SUMIFS(Data!$K:$K,Data!$A:$A,Vitezistii!$B7,Data!$C:$C,Vitezistii!D$1))+SUMIFS(Data!$Q:$Q,Data!$A:$A,Vitezistii!$B7,Data!$C:$C,Vitezistii!D$1),0)</f>
        <v>3.5</v>
      </c>
      <c r="E7" s="39">
        <f>IFERROR(IF(SUMIFS(Data!$K:$K,Data!$A:$A,Vitezistii!$B7,Data!$C:$C,Vitezistii!E$1)=0," ",SUMIFS(Data!$K:$K,Data!$A:$A,Vitezistii!$B7,Data!$C:$C,Vitezistii!E$1))+SUMIFS(Data!$Q:$Q,Data!$A:$A,Vitezistii!$B7,Data!$C:$C,Vitezistii!E$1),0)</f>
        <v>3</v>
      </c>
      <c r="F7" s="39">
        <f>IFERROR(IF(SUMIFS(Data!$K:$K,Data!$A:$A,Vitezistii!$B7,Data!$C:$C,Vitezistii!F$1)=0," ",SUMIFS(Data!$K:$K,Data!$A:$A,Vitezistii!$B7,Data!$C:$C,Vitezistii!F$1))+SUMIFS(Data!$Q:$Q,Data!$A:$A,Vitezistii!$B7,Data!$C:$C,Vitezistii!F$1),0)</f>
        <v>3.5</v>
      </c>
      <c r="G7" s="39">
        <f>IFERROR(IF(SUMIFS(Data!$K:$K,Data!$A:$A,Vitezistii!$B7,Data!$C:$C,Vitezistii!G$1)=0," ",SUMIFS(Data!$K:$K,Data!$A:$A,Vitezistii!$B7,Data!$C:$C,Vitezistii!G$1))+SUMIFS(Data!$Q:$Q,Data!$A:$A,Vitezistii!$B7,Data!$C:$C,Vitezistii!G$1),0)</f>
        <v>3.5</v>
      </c>
      <c r="H7" s="39">
        <f>IFERROR(IF(SUMIFS(Data!$K:$K,Data!$A:$A,Vitezistii!$B7,Data!$C:$C,Vitezistii!H$1)=0," ",SUMIFS(Data!$K:$K,Data!$A:$A,Vitezistii!$B7,Data!$C:$C,Vitezistii!H$1))+SUMIFS(Data!$Q:$Q,Data!$A:$A,Vitezistii!$B7,Data!$C:$C,Vitezistii!H$1),0)</f>
        <v>0</v>
      </c>
      <c r="I7" s="39">
        <f>IFERROR(IF(SUMIFS(Data!$K:$K,Data!$A:$A,Vitezistii!$B7,Data!$C:$C,Vitezistii!I$1)=0," ",SUMIFS(Data!$K:$K,Data!$A:$A,Vitezistii!$B7,Data!$C:$C,Vitezistii!I$1))+SUMIFS(Data!$Q:$Q,Data!$A:$A,Vitezistii!$B7,Data!$C:$C,Vitezistii!I$1),0)</f>
        <v>3.5</v>
      </c>
      <c r="J7" s="39">
        <f>IFERROR(IF(SUMIFS(Data!$K:$K,Data!$A:$A,Vitezistii!$B7,Data!$C:$C,Vitezistii!J$1)=0," ",SUMIFS(Data!$K:$K,Data!$A:$A,Vitezistii!$B7,Data!$C:$C,Vitezistii!J$1))+SUMIFS(Data!$Q:$Q,Data!$A:$A,Vitezistii!$B7,Data!$C:$C,Vitezistii!J$1),0)</f>
        <v>13.25</v>
      </c>
      <c r="K7" s="39">
        <f>IFERROR(IF(SUMIFS(Data!$K:$K,Data!$A:$A,Vitezistii!$B7,Data!$C:$C,Vitezistii!K$1)=0," ",SUMIFS(Data!$K:$K,Data!$A:$A,Vitezistii!$B7,Data!$C:$C,Vitezistii!K$1))+SUMIFS(Data!$Q:$Q,Data!$A:$A,Vitezistii!$B7,Data!$C:$C,Vitezistii!K$1),0)</f>
        <v>2.5</v>
      </c>
      <c r="L7" s="39">
        <f>IFERROR(IF(SUMIFS(Data!$K:$K,Data!$A:$A,Vitezistii!$B7,Data!$C:$C,Vitezistii!L$1)=0," ",SUMIFS(Data!$K:$K,Data!$A:$A,Vitezistii!$B7,Data!$C:$C,Vitezistii!L$1))+SUMIFS(Data!$Q:$Q,Data!$A:$A,Vitezistii!$B7,Data!$C:$C,Vitezistii!L$1),0)</f>
        <v>2.5</v>
      </c>
      <c r="M7" s="39">
        <f>IFERROR(IF(SUMIFS(Data!$K:$K,Data!$A:$A,Vitezistii!$B7,Data!$C:$C,Vitezistii!M$1)=0," ",SUMIFS(Data!$K:$K,Data!$A:$A,Vitezistii!$B7,Data!$C:$C,Vitezistii!M$1))+SUMIFS(Data!$Q:$Q,Data!$A:$A,Vitezistii!$B7,Data!$C:$C,Vitezistii!M$1),0)</f>
        <v>0</v>
      </c>
      <c r="N7" s="39">
        <f>IFERROR(IF(SUMIFS(Data!$K:$K,Data!$A:$A,Vitezistii!$B7,Data!$C:$C,Vitezistii!N$1)=0," ",SUMIFS(Data!$K:$K,Data!$A:$A,Vitezistii!$B7,Data!$C:$C,Vitezistii!N$1))+SUMIFS(Data!$Q:$Q,Data!$A:$A,Vitezistii!$B7,Data!$C:$C,Vitezistii!N$1),0)</f>
        <v>4.5</v>
      </c>
      <c r="O7" s="39">
        <f>IFERROR(IF(SUMIFS(Data!$K:$K,Data!$A:$A,Vitezistii!$B7,Data!$C:$C,Vitezistii!O$1)=0," ",SUMIFS(Data!$K:$K,Data!$A:$A,Vitezistii!$B7,Data!$C:$C,Vitezistii!O$1))+SUMIFS(Data!$Q:$Q,Data!$A:$A,Vitezistii!$B7,Data!$C:$C,Vitezistii!O$1),0)</f>
        <v>3</v>
      </c>
      <c r="P7" s="39">
        <f>IFERROR(IF(SUMIFS(Data!$K:$K,Data!$A:$A,Vitezistii!$B7,Data!$C:$C,Vitezistii!P$1)=0," ",SUMIFS(Data!$K:$K,Data!$A:$A,Vitezistii!$B7,Data!$C:$C,Vitezistii!P$1))+SUMIFS(Data!$Q:$Q,Data!$A:$A,Vitezistii!$B7,Data!$C:$C,Vitezistii!P$1),0)</f>
        <v>3.5</v>
      </c>
      <c r="Q7" s="39">
        <f>IFERROR(IF(SUMIFS(Data!$K:$K,Data!$A:$A,Vitezistii!$B7,Data!$C:$C,Vitezistii!Q$1)=0," ",SUMIFS(Data!$K:$K,Data!$A:$A,Vitezistii!$B7,Data!$C:$C,Vitezistii!Q$1))+SUMIFS(Data!$Q:$Q,Data!$A:$A,Vitezistii!$B7,Data!$C:$C,Vitezistii!Q$1),0)</f>
        <v>3.5</v>
      </c>
      <c r="R7" s="39">
        <f t="shared" si="0"/>
        <v>52.75</v>
      </c>
      <c r="S7" s="39">
        <f>SUMIFS(Data!D:D,Data!A:A,Vitezistii!B7)</f>
        <v>127.12000000000002</v>
      </c>
      <c r="T7" s="14">
        <f>SUMIFS(Data!I:I,Data!A:A,Vitezistii!B7)/COUNTIF(Data!A:A,Vitezistii!B7)</f>
        <v>3.1055295637934209E-3</v>
      </c>
    </row>
    <row r="8" spans="1:20" ht="13.8" x14ac:dyDescent="0.3">
      <c r="A8" s="151">
        <v>7</v>
      </c>
      <c r="B8" s="38" t="s">
        <v>102</v>
      </c>
      <c r="C8" s="39">
        <f>IFERROR(IF(SUMIFS(Data!$K:$K,Data!$A:$A,Vitezistii!$B8,Data!$C:$C,Vitezistii!C$1)=0," ",SUMIFS(Data!$K:$K,Data!$A:$A,Vitezistii!$B8,Data!$C:$C,Vitezistii!C$1))+SUMIFS(Data!$Q:$Q,Data!$A:$A,Vitezistii!$B8,Data!$C:$C,Vitezistii!C$1),0)</f>
        <v>2.5</v>
      </c>
      <c r="D8" s="39">
        <f>IFERROR(IF(SUMIFS(Data!$K:$K,Data!$A:$A,Vitezistii!$B8,Data!$C:$C,Vitezistii!D$1)=0," ",SUMIFS(Data!$K:$K,Data!$A:$A,Vitezistii!$B8,Data!$C:$C,Vitezistii!D$1))+SUMIFS(Data!$Q:$Q,Data!$A:$A,Vitezistii!$B8,Data!$C:$C,Vitezistii!D$1),0)</f>
        <v>5.45</v>
      </c>
      <c r="E8" s="39">
        <f>IFERROR(IF(SUMIFS(Data!$K:$K,Data!$A:$A,Vitezistii!$B8,Data!$C:$C,Vitezistii!E$1)=0," ",SUMIFS(Data!$K:$K,Data!$A:$A,Vitezistii!$B8,Data!$C:$C,Vitezistii!E$1))+SUMIFS(Data!$Q:$Q,Data!$A:$A,Vitezistii!$B8,Data!$C:$C,Vitezistii!E$1),0)</f>
        <v>3.5</v>
      </c>
      <c r="F8" s="39">
        <f>IFERROR(IF(SUMIFS(Data!$K:$K,Data!$A:$A,Vitezistii!$B8,Data!$C:$C,Vitezistii!F$1)=0," ",SUMIFS(Data!$K:$K,Data!$A:$A,Vitezistii!$B8,Data!$C:$C,Vitezistii!F$1))+SUMIFS(Data!$Q:$Q,Data!$A:$A,Vitezistii!$B8,Data!$C:$C,Vitezistii!F$1),0)</f>
        <v>4.5</v>
      </c>
      <c r="G8" s="39">
        <f>IFERROR(IF(SUMIFS(Data!$K:$K,Data!$A:$A,Vitezistii!$B8,Data!$C:$C,Vitezistii!G$1)=0," ",SUMIFS(Data!$K:$K,Data!$A:$A,Vitezistii!$B8,Data!$C:$C,Vitezistii!G$1))+SUMIFS(Data!$Q:$Q,Data!$A:$A,Vitezistii!$B8,Data!$C:$C,Vitezistii!G$1),0)</f>
        <v>4</v>
      </c>
      <c r="H8" s="39">
        <f>IFERROR(IF(SUMIFS(Data!$K:$K,Data!$A:$A,Vitezistii!$B8,Data!$C:$C,Vitezistii!H$1)=0," ",SUMIFS(Data!$K:$K,Data!$A:$A,Vitezistii!$B8,Data!$C:$C,Vitezistii!H$1))+SUMIFS(Data!$Q:$Q,Data!$A:$A,Vitezistii!$B8,Data!$C:$C,Vitezistii!H$1),0)</f>
        <v>1</v>
      </c>
      <c r="I8" s="39">
        <f>IFERROR(IF(SUMIFS(Data!$K:$K,Data!$A:$A,Vitezistii!$B8,Data!$C:$C,Vitezistii!I$1)=0," ",SUMIFS(Data!$K:$K,Data!$A:$A,Vitezistii!$B8,Data!$C:$C,Vitezistii!I$1))+SUMIFS(Data!$Q:$Q,Data!$A:$A,Vitezistii!$B8,Data!$C:$C,Vitezistii!I$1),0)</f>
        <v>3.5</v>
      </c>
      <c r="J8" s="39">
        <f>IFERROR(IF(SUMIFS(Data!$K:$K,Data!$A:$A,Vitezistii!$B8,Data!$C:$C,Vitezistii!J$1)=0," ",SUMIFS(Data!$K:$K,Data!$A:$A,Vitezistii!$B8,Data!$C:$C,Vitezistii!J$1))+SUMIFS(Data!$Q:$Q,Data!$A:$A,Vitezistii!$B8,Data!$C:$C,Vitezistii!J$1),0)</f>
        <v>5.9</v>
      </c>
      <c r="K8" s="39">
        <f>IFERROR(IF(SUMIFS(Data!$K:$K,Data!$A:$A,Vitezistii!$B8,Data!$C:$C,Vitezistii!K$1)=0," ",SUMIFS(Data!$K:$K,Data!$A:$A,Vitezistii!$B8,Data!$C:$C,Vitezistii!K$1))+SUMIFS(Data!$Q:$Q,Data!$A:$A,Vitezistii!$B8,Data!$C:$C,Vitezistii!K$1),0)</f>
        <v>1</v>
      </c>
      <c r="L8" s="39">
        <f>IFERROR(IF(SUMIFS(Data!$K:$K,Data!$A:$A,Vitezistii!$B8,Data!$C:$C,Vitezistii!L$1)=0," ",SUMIFS(Data!$K:$K,Data!$A:$A,Vitezistii!$B8,Data!$C:$C,Vitezistii!L$1))+SUMIFS(Data!$Q:$Q,Data!$A:$A,Vitezistii!$B8,Data!$C:$C,Vitezistii!L$1),0)</f>
        <v>1.5</v>
      </c>
      <c r="M8" s="39">
        <f>IFERROR(IF(SUMIFS(Data!$K:$K,Data!$A:$A,Vitezistii!$B8,Data!$C:$C,Vitezistii!M$1)=0," ",SUMIFS(Data!$K:$K,Data!$A:$A,Vitezistii!$B8,Data!$C:$C,Vitezistii!M$1))+SUMIFS(Data!$Q:$Q,Data!$A:$A,Vitezistii!$B8,Data!$C:$C,Vitezistii!M$1),0)</f>
        <v>2.5</v>
      </c>
      <c r="N8" s="39">
        <f>IFERROR(IF(SUMIFS(Data!$K:$K,Data!$A:$A,Vitezistii!$B8,Data!$C:$C,Vitezistii!N$1)=0," ",SUMIFS(Data!$K:$K,Data!$A:$A,Vitezistii!$B8,Data!$C:$C,Vitezistii!N$1))+SUMIFS(Data!$Q:$Q,Data!$A:$A,Vitezistii!$B8,Data!$C:$C,Vitezistii!N$1),0)</f>
        <v>4</v>
      </c>
      <c r="O8" s="39">
        <f>IFERROR(IF(SUMIFS(Data!$K:$K,Data!$A:$A,Vitezistii!$B8,Data!$C:$C,Vitezistii!O$1)=0," ",SUMIFS(Data!$K:$K,Data!$A:$A,Vitezistii!$B8,Data!$C:$C,Vitezistii!O$1))+SUMIFS(Data!$Q:$Q,Data!$A:$A,Vitezistii!$B8,Data!$C:$C,Vitezistii!O$1),0)</f>
        <v>4.5</v>
      </c>
      <c r="P8" s="39">
        <f>IFERROR(IF(SUMIFS(Data!$K:$K,Data!$A:$A,Vitezistii!$B8,Data!$C:$C,Vitezistii!P$1)=0," ",SUMIFS(Data!$K:$K,Data!$A:$A,Vitezistii!$B8,Data!$C:$C,Vitezistii!P$1))+SUMIFS(Data!$Q:$Q,Data!$A:$A,Vitezistii!$B8,Data!$C:$C,Vitezistii!P$1),0)</f>
        <v>3.5</v>
      </c>
      <c r="Q8" s="39">
        <f>IFERROR(IF(SUMIFS(Data!$K:$K,Data!$A:$A,Vitezistii!$B8,Data!$C:$C,Vitezistii!Q$1)=0," ",SUMIFS(Data!$K:$K,Data!$A:$A,Vitezistii!$B8,Data!$C:$C,Vitezistii!Q$1))+SUMIFS(Data!$Q:$Q,Data!$A:$A,Vitezistii!$B8,Data!$C:$C,Vitezistii!Q$1),0)</f>
        <v>0</v>
      </c>
      <c r="R8" s="39">
        <f t="shared" si="0"/>
        <v>47.35</v>
      </c>
      <c r="S8" s="39">
        <f>SUMIFS(Data!D:D,Data!A:A,Vitezistii!B8)</f>
        <v>203.17999999999998</v>
      </c>
      <c r="T8" s="14">
        <f>SUMIFS(Data!I:I,Data!A:A,Vitezistii!B8)/COUNTIF(Data!A:A,Vitezistii!B8)</f>
        <v>2.8681612500399936E-3</v>
      </c>
    </row>
    <row r="9" spans="1:20" ht="13.8" x14ac:dyDescent="0.3">
      <c r="A9" s="151">
        <v>8</v>
      </c>
      <c r="B9" s="38" t="s">
        <v>61</v>
      </c>
      <c r="C9" s="39">
        <f>IFERROR(IF(SUMIFS(Data!$K:$K,Data!$A:$A,Vitezistii!$B9,Data!$C:$C,Vitezistii!C$1)=0," ",SUMIFS(Data!$K:$K,Data!$A:$A,Vitezistii!$B9,Data!$C:$C,Vitezistii!C$1))+SUMIFS(Data!$Q:$Q,Data!$A:$A,Vitezistii!$B9,Data!$C:$C,Vitezistii!C$1),0)</f>
        <v>4.5</v>
      </c>
      <c r="D9" s="39">
        <f>IFERROR(IF(SUMIFS(Data!$K:$K,Data!$A:$A,Vitezistii!$B9,Data!$C:$C,Vitezistii!D$1)=0," ",SUMIFS(Data!$K:$K,Data!$A:$A,Vitezistii!$B9,Data!$C:$C,Vitezistii!D$1))+SUMIFS(Data!$Q:$Q,Data!$A:$A,Vitezistii!$B9,Data!$C:$C,Vitezistii!D$1),0)</f>
        <v>4</v>
      </c>
      <c r="E9" s="39">
        <f>IFERROR(IF(SUMIFS(Data!$K:$K,Data!$A:$A,Vitezistii!$B9,Data!$C:$C,Vitezistii!E$1)=0," ",SUMIFS(Data!$K:$K,Data!$A:$A,Vitezistii!$B9,Data!$C:$C,Vitezistii!E$1))+SUMIFS(Data!$Q:$Q,Data!$A:$A,Vitezistii!$B9,Data!$C:$C,Vitezistii!E$1),0)</f>
        <v>4</v>
      </c>
      <c r="F9" s="39">
        <f>IFERROR(IF(SUMIFS(Data!$K:$K,Data!$A:$A,Vitezistii!$B9,Data!$C:$C,Vitezistii!F$1)=0," ",SUMIFS(Data!$K:$K,Data!$A:$A,Vitezistii!$B9,Data!$C:$C,Vitezistii!F$1))+SUMIFS(Data!$Q:$Q,Data!$A:$A,Vitezistii!$B9,Data!$C:$C,Vitezistii!F$1),0)</f>
        <v>1</v>
      </c>
      <c r="G9" s="39">
        <f>IFERROR(IF(SUMIFS(Data!$K:$K,Data!$A:$A,Vitezistii!$B9,Data!$C:$C,Vitezistii!G$1)=0," ",SUMIFS(Data!$K:$K,Data!$A:$A,Vitezistii!$B9,Data!$C:$C,Vitezistii!G$1))+SUMIFS(Data!$Q:$Q,Data!$A:$A,Vitezistii!$B9,Data!$C:$C,Vitezistii!G$1),0)</f>
        <v>3.5</v>
      </c>
      <c r="H9" s="39">
        <f>IFERROR(IF(SUMIFS(Data!$K:$K,Data!$A:$A,Vitezistii!$B9,Data!$C:$C,Vitezistii!H$1)=0," ",SUMIFS(Data!$K:$K,Data!$A:$A,Vitezistii!$B9,Data!$C:$C,Vitezistii!H$1))+SUMIFS(Data!$Q:$Q,Data!$A:$A,Vitezistii!$B9,Data!$C:$C,Vitezistii!H$1),0)</f>
        <v>3.5</v>
      </c>
      <c r="I9" s="39">
        <f>IFERROR(IF(SUMIFS(Data!$K:$K,Data!$A:$A,Vitezistii!$B9,Data!$C:$C,Vitezistii!I$1)=0," ",SUMIFS(Data!$K:$K,Data!$A:$A,Vitezistii!$B9,Data!$C:$C,Vitezistii!I$1))+SUMIFS(Data!$Q:$Q,Data!$A:$A,Vitezistii!$B9,Data!$C:$C,Vitezistii!I$1),0)</f>
        <v>3.5</v>
      </c>
      <c r="J9" s="39">
        <f>IFERROR(IF(SUMIFS(Data!$K:$K,Data!$A:$A,Vitezistii!$B9,Data!$C:$C,Vitezistii!J$1)=0," ",SUMIFS(Data!$K:$K,Data!$A:$A,Vitezistii!$B9,Data!$C:$C,Vitezistii!J$1))+SUMIFS(Data!$Q:$Q,Data!$A:$A,Vitezistii!$B9,Data!$C:$C,Vitezistii!J$1),0)</f>
        <v>4</v>
      </c>
      <c r="K9" s="39">
        <f>IFERROR(IF(SUMIFS(Data!$K:$K,Data!$A:$A,Vitezistii!$B9,Data!$C:$C,Vitezistii!K$1)=0," ",SUMIFS(Data!$K:$K,Data!$A:$A,Vitezistii!$B9,Data!$C:$C,Vitezistii!K$1))+SUMIFS(Data!$Q:$Q,Data!$A:$A,Vitezistii!$B9,Data!$C:$C,Vitezistii!K$1),0)</f>
        <v>3.5</v>
      </c>
      <c r="L9" s="39">
        <f>IFERROR(IF(SUMIFS(Data!$K:$K,Data!$A:$A,Vitezistii!$B9,Data!$C:$C,Vitezistii!L$1)=0," ",SUMIFS(Data!$K:$K,Data!$A:$A,Vitezistii!$B9,Data!$C:$C,Vitezistii!L$1))+SUMIFS(Data!$Q:$Q,Data!$A:$A,Vitezistii!$B9,Data!$C:$C,Vitezistii!L$1),0)</f>
        <v>0</v>
      </c>
      <c r="M9" s="39">
        <f>IFERROR(IF(SUMIFS(Data!$K:$K,Data!$A:$A,Vitezistii!$B9,Data!$C:$C,Vitezistii!M$1)=0," ",SUMIFS(Data!$K:$K,Data!$A:$A,Vitezistii!$B9,Data!$C:$C,Vitezistii!M$1))+SUMIFS(Data!$Q:$Q,Data!$A:$A,Vitezistii!$B9,Data!$C:$C,Vitezistii!M$1),0)</f>
        <v>3</v>
      </c>
      <c r="N9" s="39">
        <f>IFERROR(IF(SUMIFS(Data!$K:$K,Data!$A:$A,Vitezistii!$B9,Data!$C:$C,Vitezistii!N$1)=0," ",SUMIFS(Data!$K:$K,Data!$A:$A,Vitezistii!$B9,Data!$C:$C,Vitezistii!N$1))+SUMIFS(Data!$Q:$Q,Data!$A:$A,Vitezistii!$B9,Data!$C:$C,Vitezistii!N$1),0)</f>
        <v>3</v>
      </c>
      <c r="O9" s="39">
        <f>IFERROR(IF(SUMIFS(Data!$K:$K,Data!$A:$A,Vitezistii!$B9,Data!$C:$C,Vitezistii!O$1)=0," ",SUMIFS(Data!$K:$K,Data!$A:$A,Vitezistii!$B9,Data!$C:$C,Vitezistii!O$1))+SUMIFS(Data!$Q:$Q,Data!$A:$A,Vitezistii!$B9,Data!$C:$C,Vitezistii!O$1),0)</f>
        <v>4</v>
      </c>
      <c r="P9" s="39">
        <f>IFERROR(IF(SUMIFS(Data!$K:$K,Data!$A:$A,Vitezistii!$B9,Data!$C:$C,Vitezistii!P$1)=0," ",SUMIFS(Data!$K:$K,Data!$A:$A,Vitezistii!$B9,Data!$C:$C,Vitezistii!P$1))+SUMIFS(Data!$Q:$Q,Data!$A:$A,Vitezistii!$B9,Data!$C:$C,Vitezistii!P$1),0)</f>
        <v>3.5</v>
      </c>
      <c r="Q9" s="39">
        <f>IFERROR(IF(SUMIFS(Data!$K:$K,Data!$A:$A,Vitezistii!$B9,Data!$C:$C,Vitezistii!Q$1)=0," ",SUMIFS(Data!$K:$K,Data!$A:$A,Vitezistii!$B9,Data!$C:$C,Vitezistii!Q$1))+SUMIFS(Data!$Q:$Q,Data!$A:$A,Vitezistii!$B9,Data!$C:$C,Vitezistii!Q$1),0)</f>
        <v>3.5</v>
      </c>
      <c r="R9" s="39">
        <f t="shared" si="0"/>
        <v>48.5</v>
      </c>
      <c r="S9" s="39">
        <f>SUMIFS(Data!D:D,Data!A:A,Vitezistii!B9)</f>
        <v>169.66000000000003</v>
      </c>
      <c r="T9" s="14">
        <f>SUMIFS(Data!I:I,Data!A:A,Vitezistii!B9)/COUNTIF(Data!A:A,Vitezistii!B9)</f>
        <v>2.7026190460678582E-3</v>
      </c>
    </row>
    <row r="10" spans="1:20" ht="13.8" x14ac:dyDescent="0.3">
      <c r="A10" s="151">
        <v>9</v>
      </c>
      <c r="B10" s="38" t="s">
        <v>118</v>
      </c>
      <c r="C10" s="39">
        <f>IFERROR(IF(SUMIFS(Data!$K:$K,Data!$A:$A,Vitezistii!$B10,Data!$C:$C,Vitezistii!C$1)=0," ",SUMIFS(Data!$K:$K,Data!$A:$A,Vitezistii!$B10,Data!$C:$C,Vitezistii!C$1))+SUMIFS(Data!$Q:$Q,Data!$A:$A,Vitezistii!$B10,Data!$C:$C,Vitezistii!C$1),0)</f>
        <v>1</v>
      </c>
      <c r="D10" s="39">
        <f>IFERROR(IF(SUMIFS(Data!$K:$K,Data!$A:$A,Vitezistii!$B10,Data!$C:$C,Vitezistii!D$1)=0," ",SUMIFS(Data!$K:$K,Data!$A:$A,Vitezistii!$B10,Data!$C:$C,Vitezistii!D$1))+SUMIFS(Data!$Q:$Q,Data!$A:$A,Vitezistii!$B10,Data!$C:$C,Vitezistii!D$1),0)</f>
        <v>3.5</v>
      </c>
      <c r="E10" s="39">
        <f>IFERROR(IF(SUMIFS(Data!$K:$K,Data!$A:$A,Vitezistii!$B10,Data!$C:$C,Vitezistii!E$1)=0," ",SUMIFS(Data!$K:$K,Data!$A:$A,Vitezistii!$B10,Data!$C:$C,Vitezistii!E$1))+SUMIFS(Data!$Q:$Q,Data!$A:$A,Vitezistii!$B10,Data!$C:$C,Vitezistii!E$1),0)</f>
        <v>5.45</v>
      </c>
      <c r="F10" s="39">
        <f>IFERROR(IF(SUMIFS(Data!$K:$K,Data!$A:$A,Vitezistii!$B10,Data!$C:$C,Vitezistii!F$1)=0," ",SUMIFS(Data!$K:$K,Data!$A:$A,Vitezistii!$B10,Data!$C:$C,Vitezistii!F$1))+SUMIFS(Data!$Q:$Q,Data!$A:$A,Vitezistii!$B10,Data!$C:$C,Vitezistii!F$1),0)</f>
        <v>4</v>
      </c>
      <c r="G10" s="39">
        <f>IFERROR(IF(SUMIFS(Data!$K:$K,Data!$A:$A,Vitezistii!$B10,Data!$C:$C,Vitezistii!G$1)=0," ",SUMIFS(Data!$K:$K,Data!$A:$A,Vitezistii!$B10,Data!$C:$C,Vitezistii!G$1))+SUMIFS(Data!$Q:$Q,Data!$A:$A,Vitezistii!$B10,Data!$C:$C,Vitezistii!G$1),0)</f>
        <v>1.5</v>
      </c>
      <c r="H10" s="39">
        <f>IFERROR(IF(SUMIFS(Data!$K:$K,Data!$A:$A,Vitezistii!$B10,Data!$C:$C,Vitezistii!H$1)=0," ",SUMIFS(Data!$K:$K,Data!$A:$A,Vitezistii!$B10,Data!$C:$C,Vitezistii!H$1))+SUMIFS(Data!$Q:$Q,Data!$A:$A,Vitezistii!$B10,Data!$C:$C,Vitezistii!H$1),0)</f>
        <v>5.9</v>
      </c>
      <c r="I10" s="39">
        <f>IFERROR(IF(SUMIFS(Data!$K:$K,Data!$A:$A,Vitezistii!$B10,Data!$C:$C,Vitezistii!I$1)=0," ",SUMIFS(Data!$K:$K,Data!$A:$A,Vitezistii!$B10,Data!$C:$C,Vitezistii!I$1))+SUMIFS(Data!$Q:$Q,Data!$A:$A,Vitezistii!$B10,Data!$C:$C,Vitezistii!I$1),0)</f>
        <v>0</v>
      </c>
      <c r="J10" s="39">
        <f>IFERROR(IF(SUMIFS(Data!$K:$K,Data!$A:$A,Vitezistii!$B10,Data!$C:$C,Vitezistii!J$1)=0," ",SUMIFS(Data!$K:$K,Data!$A:$A,Vitezistii!$B10,Data!$C:$C,Vitezistii!J$1))+SUMIFS(Data!$Q:$Q,Data!$A:$A,Vitezistii!$B10,Data!$C:$C,Vitezistii!J$1),0)</f>
        <v>2</v>
      </c>
      <c r="K10" s="39">
        <f>IFERROR(IF(SUMIFS(Data!$K:$K,Data!$A:$A,Vitezistii!$B10,Data!$C:$C,Vitezistii!K$1)=0," ",SUMIFS(Data!$K:$K,Data!$A:$A,Vitezistii!$B10,Data!$C:$C,Vitezistii!K$1))+SUMIFS(Data!$Q:$Q,Data!$A:$A,Vitezistii!$B10,Data!$C:$C,Vitezistii!K$1),0)</f>
        <v>4</v>
      </c>
      <c r="L10" s="39">
        <f>IFERROR(IF(SUMIFS(Data!$K:$K,Data!$A:$A,Vitezistii!$B10,Data!$C:$C,Vitezistii!L$1)=0," ",SUMIFS(Data!$K:$K,Data!$A:$A,Vitezistii!$B10,Data!$C:$C,Vitezistii!L$1))+SUMIFS(Data!$Q:$Q,Data!$A:$A,Vitezistii!$B10,Data!$C:$C,Vitezistii!L$1),0)</f>
        <v>3.5</v>
      </c>
      <c r="M10" s="39">
        <f>IFERROR(IF(SUMIFS(Data!$K:$K,Data!$A:$A,Vitezistii!$B10,Data!$C:$C,Vitezistii!M$1)=0," ",SUMIFS(Data!$K:$K,Data!$A:$A,Vitezistii!$B10,Data!$C:$C,Vitezistii!M$1))+SUMIFS(Data!$Q:$Q,Data!$A:$A,Vitezistii!$B10,Data!$C:$C,Vitezistii!M$1),0)</f>
        <v>5.45</v>
      </c>
      <c r="N10" s="39">
        <f>IFERROR(IF(SUMIFS(Data!$K:$K,Data!$A:$A,Vitezistii!$B10,Data!$C:$C,Vitezistii!N$1)=0," ",SUMIFS(Data!$K:$K,Data!$A:$A,Vitezistii!$B10,Data!$C:$C,Vitezistii!N$1))+SUMIFS(Data!$Q:$Q,Data!$A:$A,Vitezistii!$B10,Data!$C:$C,Vitezistii!N$1),0)</f>
        <v>2.5</v>
      </c>
      <c r="O10" s="39">
        <f>IFERROR(IF(SUMIFS(Data!$K:$K,Data!$A:$A,Vitezistii!$B10,Data!$C:$C,Vitezistii!O$1)=0," ",SUMIFS(Data!$K:$K,Data!$A:$A,Vitezistii!$B10,Data!$C:$C,Vitezistii!O$1))+SUMIFS(Data!$Q:$Q,Data!$A:$A,Vitezistii!$B10,Data!$C:$C,Vitezistii!O$1),0)</f>
        <v>4</v>
      </c>
      <c r="P10" s="39">
        <f>IFERROR(IF(SUMIFS(Data!$K:$K,Data!$A:$A,Vitezistii!$B10,Data!$C:$C,Vitezistii!P$1)=0," ",SUMIFS(Data!$K:$K,Data!$A:$A,Vitezistii!$B10,Data!$C:$C,Vitezistii!P$1))+SUMIFS(Data!$Q:$Q,Data!$A:$A,Vitezistii!$B10,Data!$C:$C,Vitezistii!P$1),0)</f>
        <v>1</v>
      </c>
      <c r="Q10" s="39">
        <f>IFERROR(IF(SUMIFS(Data!$K:$K,Data!$A:$A,Vitezistii!$B10,Data!$C:$C,Vitezistii!Q$1)=0," ",SUMIFS(Data!$K:$K,Data!$A:$A,Vitezistii!$B10,Data!$C:$C,Vitezistii!Q$1))+SUMIFS(Data!$Q:$Q,Data!$A:$A,Vitezistii!$B10,Data!$C:$C,Vitezistii!Q$1),0)</f>
        <v>3</v>
      </c>
      <c r="R10" s="39">
        <f t="shared" si="0"/>
        <v>46.800000000000004</v>
      </c>
      <c r="S10" s="39">
        <f>SUMIFS(Data!D:D,Data!A:A,Vitezistii!B10)</f>
        <v>270.63</v>
      </c>
      <c r="T10" s="14">
        <f>SUMIFS(Data!I:I,Data!A:A,Vitezistii!B10)/COUNTIF(Data!A:A,Vitezistii!B10)</f>
        <v>2.7696961311586936E-3</v>
      </c>
    </row>
    <row r="11" spans="1:20" ht="13.8" x14ac:dyDescent="0.3">
      <c r="A11" s="151">
        <v>10</v>
      </c>
      <c r="B11" s="38" t="s">
        <v>240</v>
      </c>
      <c r="C11" s="39">
        <f>IFERROR(IF(SUMIFS(Data!$K:$K,Data!$A:$A,Vitezistii!$B11,Data!$C:$C,Vitezistii!C$1)=0," ",SUMIFS(Data!$K:$K,Data!$A:$A,Vitezistii!$B11,Data!$C:$C,Vitezistii!C$1))+SUMIFS(Data!$Q:$Q,Data!$A:$A,Vitezistii!$B11,Data!$C:$C,Vitezistii!C$1),0)</f>
        <v>0</v>
      </c>
      <c r="D11" s="39">
        <f>IFERROR(IF(SUMIFS(Data!$K:$K,Data!$A:$A,Vitezistii!$B11,Data!$C:$C,Vitezistii!D$1)=0," ",SUMIFS(Data!$K:$K,Data!$A:$A,Vitezistii!$B11,Data!$C:$C,Vitezistii!D$1))+SUMIFS(Data!$Q:$Q,Data!$A:$A,Vitezistii!$B11,Data!$C:$C,Vitezistii!D$1),0)</f>
        <v>4</v>
      </c>
      <c r="E11" s="39">
        <f>IFERROR(IF(SUMIFS(Data!$K:$K,Data!$A:$A,Vitezistii!$B11,Data!$C:$C,Vitezistii!E$1)=0," ",SUMIFS(Data!$K:$K,Data!$A:$A,Vitezistii!$B11,Data!$C:$C,Vitezistii!E$1))+SUMIFS(Data!$Q:$Q,Data!$A:$A,Vitezistii!$B11,Data!$C:$C,Vitezistii!E$1),0)</f>
        <v>4.5</v>
      </c>
      <c r="F11" s="39">
        <f>IFERROR(IF(SUMIFS(Data!$K:$K,Data!$A:$A,Vitezistii!$B11,Data!$C:$C,Vitezistii!F$1)=0," ",SUMIFS(Data!$K:$K,Data!$A:$A,Vitezistii!$B11,Data!$C:$C,Vitezistii!F$1))+SUMIFS(Data!$Q:$Q,Data!$A:$A,Vitezistii!$B11,Data!$C:$C,Vitezistii!F$1),0)</f>
        <v>4</v>
      </c>
      <c r="G11" s="39">
        <f>IFERROR(IF(SUMIFS(Data!$K:$K,Data!$A:$A,Vitezistii!$B11,Data!$C:$C,Vitezistii!G$1)=0," ",SUMIFS(Data!$K:$K,Data!$A:$A,Vitezistii!$B11,Data!$C:$C,Vitezistii!G$1))+SUMIFS(Data!$Q:$Q,Data!$A:$A,Vitezistii!$B11,Data!$C:$C,Vitezistii!G$1),0)</f>
        <v>4</v>
      </c>
      <c r="H11" s="39">
        <f>IFERROR(IF(SUMIFS(Data!$K:$K,Data!$A:$A,Vitezistii!$B11,Data!$C:$C,Vitezistii!H$1)=0," ",SUMIFS(Data!$K:$K,Data!$A:$A,Vitezistii!$B11,Data!$C:$C,Vitezistii!H$1))+SUMIFS(Data!$Q:$Q,Data!$A:$A,Vitezistii!$B11,Data!$C:$C,Vitezistii!H$1),0)</f>
        <v>3</v>
      </c>
      <c r="I11" s="39">
        <f>IFERROR(IF(SUMIFS(Data!$K:$K,Data!$A:$A,Vitezistii!$B11,Data!$C:$C,Vitezistii!I$1)=0," ",SUMIFS(Data!$K:$K,Data!$A:$A,Vitezistii!$B11,Data!$C:$C,Vitezistii!I$1))+SUMIFS(Data!$Q:$Q,Data!$A:$A,Vitezistii!$B11,Data!$C:$C,Vitezistii!I$1),0)</f>
        <v>4</v>
      </c>
      <c r="J11" s="39">
        <f>IFERROR(IF(SUMIFS(Data!$K:$K,Data!$A:$A,Vitezistii!$B11,Data!$C:$C,Vitezistii!J$1)=0," ",SUMIFS(Data!$K:$K,Data!$A:$A,Vitezistii!$B11,Data!$C:$C,Vitezistii!J$1))+SUMIFS(Data!$Q:$Q,Data!$A:$A,Vitezistii!$B11,Data!$C:$C,Vitezistii!J$1),0)</f>
        <v>3.5</v>
      </c>
      <c r="K11" s="39">
        <f>IFERROR(IF(SUMIFS(Data!$K:$K,Data!$A:$A,Vitezistii!$B11,Data!$C:$C,Vitezistii!K$1)=0," ",SUMIFS(Data!$K:$K,Data!$A:$A,Vitezistii!$B11,Data!$C:$C,Vitezistii!K$1))+SUMIFS(Data!$Q:$Q,Data!$A:$A,Vitezistii!$B11,Data!$C:$C,Vitezistii!K$1),0)</f>
        <v>1</v>
      </c>
      <c r="L11" s="39">
        <f>IFERROR(IF(SUMIFS(Data!$K:$K,Data!$A:$A,Vitezistii!$B11,Data!$C:$C,Vitezistii!L$1)=0," ",SUMIFS(Data!$K:$K,Data!$A:$A,Vitezistii!$B11,Data!$C:$C,Vitezistii!L$1))+SUMIFS(Data!$Q:$Q,Data!$A:$A,Vitezistii!$B11,Data!$C:$C,Vitezistii!L$1),0)</f>
        <v>0</v>
      </c>
      <c r="M11" s="39">
        <f>IFERROR(IF(SUMIFS(Data!$K:$K,Data!$A:$A,Vitezistii!$B11,Data!$C:$C,Vitezistii!M$1)=0," ",SUMIFS(Data!$K:$K,Data!$A:$A,Vitezistii!$B11,Data!$C:$C,Vitezistii!M$1))+SUMIFS(Data!$Q:$Q,Data!$A:$A,Vitezistii!$B11,Data!$C:$C,Vitezistii!M$1),0)</f>
        <v>3.5</v>
      </c>
      <c r="N11" s="39">
        <f>IFERROR(IF(SUMIFS(Data!$K:$K,Data!$A:$A,Vitezistii!$B11,Data!$C:$C,Vitezistii!N$1)=0," ",SUMIFS(Data!$K:$K,Data!$A:$A,Vitezistii!$B11,Data!$C:$C,Vitezistii!N$1))+SUMIFS(Data!$Q:$Q,Data!$A:$A,Vitezistii!$B11,Data!$C:$C,Vitezistii!N$1),0)</f>
        <v>3</v>
      </c>
      <c r="O11" s="39">
        <f>IFERROR(IF(SUMIFS(Data!$K:$K,Data!$A:$A,Vitezistii!$B11,Data!$C:$C,Vitezistii!O$1)=0," ",SUMIFS(Data!$K:$K,Data!$A:$A,Vitezistii!$B11,Data!$C:$C,Vitezistii!O$1))+SUMIFS(Data!$Q:$Q,Data!$A:$A,Vitezistii!$B11,Data!$C:$C,Vitezistii!O$1),0)</f>
        <v>4</v>
      </c>
      <c r="P11" s="39">
        <f>IFERROR(IF(SUMIFS(Data!$K:$K,Data!$A:$A,Vitezistii!$B11,Data!$C:$C,Vitezistii!P$1)=0," ",SUMIFS(Data!$K:$K,Data!$A:$A,Vitezistii!$B11,Data!$C:$C,Vitezistii!P$1))+SUMIFS(Data!$Q:$Q,Data!$A:$A,Vitezistii!$B11,Data!$C:$C,Vitezistii!P$1),0)</f>
        <v>4.5</v>
      </c>
      <c r="Q11" s="39">
        <f>IFERROR(IF(SUMIFS(Data!$K:$K,Data!$A:$A,Vitezistii!$B11,Data!$C:$C,Vitezistii!Q$1)=0," ",SUMIFS(Data!$K:$K,Data!$A:$A,Vitezistii!$B11,Data!$C:$C,Vitezistii!Q$1))+SUMIFS(Data!$Q:$Q,Data!$A:$A,Vitezistii!$B11,Data!$C:$C,Vitezistii!Q$1),0)</f>
        <v>3</v>
      </c>
      <c r="R11" s="39">
        <f t="shared" si="0"/>
        <v>46</v>
      </c>
      <c r="S11" s="39">
        <f>SUMIFS(Data!D:D,Data!A:A,Vitezistii!B11)</f>
        <v>250.82999999999998</v>
      </c>
      <c r="T11" s="14">
        <f>SUMIFS(Data!I:I,Data!A:A,Vitezistii!B11)/COUNTIF(Data!A:A,Vitezistii!B11)</f>
        <v>3.1487486254315037E-3</v>
      </c>
    </row>
    <row r="12" spans="1:20" ht="13.8" x14ac:dyDescent="0.3">
      <c r="A12" s="151">
        <v>11</v>
      </c>
      <c r="B12" s="38" t="s">
        <v>49</v>
      </c>
      <c r="C12" s="39">
        <f>IFERROR(IF(SUMIFS(Data!$K:$K,Data!$A:$A,Vitezistii!$B12,Data!$C:$C,Vitezistii!C$1)=0," ",SUMIFS(Data!$K:$K,Data!$A:$A,Vitezistii!$B12,Data!$C:$C,Vitezistii!C$1))+SUMIFS(Data!$Q:$Q,Data!$A:$A,Vitezistii!$B12,Data!$C:$C,Vitezistii!C$1),0)</f>
        <v>3.5</v>
      </c>
      <c r="D12" s="39">
        <f>IFERROR(IF(SUMIFS(Data!$K:$K,Data!$A:$A,Vitezistii!$B12,Data!$C:$C,Vitezistii!D$1)=0," ",SUMIFS(Data!$K:$K,Data!$A:$A,Vitezistii!$B12,Data!$C:$C,Vitezistii!D$1))+SUMIFS(Data!$Q:$Q,Data!$A:$A,Vitezistii!$B12,Data!$C:$C,Vitezistii!D$1),0)</f>
        <v>4.5</v>
      </c>
      <c r="E12" s="39">
        <f>IFERROR(IF(SUMIFS(Data!$K:$K,Data!$A:$A,Vitezistii!$B12,Data!$C:$C,Vitezistii!E$1)=0," ",SUMIFS(Data!$K:$K,Data!$A:$A,Vitezistii!$B12,Data!$C:$C,Vitezistii!E$1))+SUMIFS(Data!$Q:$Q,Data!$A:$A,Vitezistii!$B12,Data!$C:$C,Vitezistii!E$1),0)</f>
        <v>2</v>
      </c>
      <c r="F12" s="39">
        <f>IFERROR(IF(SUMIFS(Data!$K:$K,Data!$A:$A,Vitezistii!$B12,Data!$C:$C,Vitezistii!F$1)=0," ",SUMIFS(Data!$K:$K,Data!$A:$A,Vitezistii!$B12,Data!$C:$C,Vitezistii!F$1))+SUMIFS(Data!$Q:$Q,Data!$A:$A,Vitezistii!$B12,Data!$C:$C,Vitezistii!F$1),0)</f>
        <v>1.5</v>
      </c>
      <c r="G12" s="39">
        <f>IFERROR(IF(SUMIFS(Data!$K:$K,Data!$A:$A,Vitezistii!$B12,Data!$C:$C,Vitezistii!G$1)=0," ",SUMIFS(Data!$K:$K,Data!$A:$A,Vitezistii!$B12,Data!$C:$C,Vitezistii!G$1))+SUMIFS(Data!$Q:$Q,Data!$A:$A,Vitezistii!$B12,Data!$C:$C,Vitezistii!G$1),0)</f>
        <v>1.5</v>
      </c>
      <c r="H12" s="39">
        <f>IFERROR(IF(SUMIFS(Data!$K:$K,Data!$A:$A,Vitezistii!$B12,Data!$C:$C,Vitezistii!H$1)=0," ",SUMIFS(Data!$K:$K,Data!$A:$A,Vitezistii!$B12,Data!$C:$C,Vitezistii!H$1))+SUMIFS(Data!$Q:$Q,Data!$A:$A,Vitezistii!$B12,Data!$C:$C,Vitezistii!H$1),0)</f>
        <v>4</v>
      </c>
      <c r="I12" s="39">
        <f>IFERROR(IF(SUMIFS(Data!$K:$K,Data!$A:$A,Vitezistii!$B12,Data!$C:$C,Vitezistii!I$1)=0," ",SUMIFS(Data!$K:$K,Data!$A:$A,Vitezistii!$B12,Data!$C:$C,Vitezistii!I$1))+SUMIFS(Data!$Q:$Q,Data!$A:$A,Vitezistii!$B12,Data!$C:$C,Vitezistii!I$1),0)</f>
        <v>4</v>
      </c>
      <c r="J12" s="39">
        <f>IFERROR(IF(SUMIFS(Data!$K:$K,Data!$A:$A,Vitezistii!$B12,Data!$C:$C,Vitezistii!J$1)=0," ",SUMIFS(Data!$K:$K,Data!$A:$A,Vitezistii!$B12,Data!$C:$C,Vitezistii!J$1))+SUMIFS(Data!$Q:$Q,Data!$A:$A,Vitezistii!$B12,Data!$C:$C,Vitezistii!J$1),0)</f>
        <v>4.5</v>
      </c>
      <c r="K12" s="39">
        <f>IFERROR(IF(SUMIFS(Data!$K:$K,Data!$A:$A,Vitezistii!$B12,Data!$C:$C,Vitezistii!K$1)=0," ",SUMIFS(Data!$K:$K,Data!$A:$A,Vitezistii!$B12,Data!$C:$C,Vitezistii!K$1))+SUMIFS(Data!$Q:$Q,Data!$A:$A,Vitezistii!$B12,Data!$C:$C,Vitezistii!K$1),0)</f>
        <v>1.5</v>
      </c>
      <c r="L12" s="39">
        <f>IFERROR(IF(SUMIFS(Data!$K:$K,Data!$A:$A,Vitezistii!$B12,Data!$C:$C,Vitezistii!L$1)=0," ",SUMIFS(Data!$K:$K,Data!$A:$A,Vitezistii!$B12,Data!$C:$C,Vitezistii!L$1))+SUMIFS(Data!$Q:$Q,Data!$A:$A,Vitezistii!$B12,Data!$C:$C,Vitezistii!L$1),0)</f>
        <v>3</v>
      </c>
      <c r="M12" s="39">
        <f>IFERROR(IF(SUMIFS(Data!$K:$K,Data!$A:$A,Vitezistii!$B12,Data!$C:$C,Vitezistii!M$1)=0," ",SUMIFS(Data!$K:$K,Data!$A:$A,Vitezistii!$B12,Data!$C:$C,Vitezistii!M$1))+SUMIFS(Data!$Q:$Q,Data!$A:$A,Vitezistii!$B12,Data!$C:$C,Vitezistii!M$1),0)</f>
        <v>3</v>
      </c>
      <c r="N12" s="39">
        <f>IFERROR(IF(SUMIFS(Data!$K:$K,Data!$A:$A,Vitezistii!$B12,Data!$C:$C,Vitezistii!N$1)=0," ",SUMIFS(Data!$K:$K,Data!$A:$A,Vitezistii!$B12,Data!$C:$C,Vitezistii!N$1))+SUMIFS(Data!$Q:$Q,Data!$A:$A,Vitezistii!$B12,Data!$C:$C,Vitezistii!N$1),0)</f>
        <v>3.5</v>
      </c>
      <c r="O12" s="39">
        <f>IFERROR(IF(SUMIFS(Data!$K:$K,Data!$A:$A,Vitezistii!$B12,Data!$C:$C,Vitezistii!O$1)=0," ",SUMIFS(Data!$K:$K,Data!$A:$A,Vitezistii!$B12,Data!$C:$C,Vitezistii!O$1))+SUMIFS(Data!$Q:$Q,Data!$A:$A,Vitezistii!$B12,Data!$C:$C,Vitezistii!O$1),0)</f>
        <v>2.5</v>
      </c>
      <c r="P12" s="39">
        <f>IFERROR(IF(SUMIFS(Data!$K:$K,Data!$A:$A,Vitezistii!$B12,Data!$C:$C,Vitezistii!P$1)=0," ",SUMIFS(Data!$K:$K,Data!$A:$A,Vitezistii!$B12,Data!$C:$C,Vitezistii!P$1))+SUMIFS(Data!$Q:$Q,Data!$A:$A,Vitezistii!$B12,Data!$C:$C,Vitezistii!P$1),0)</f>
        <v>2</v>
      </c>
      <c r="Q12" s="39">
        <f>IFERROR(IF(SUMIFS(Data!$K:$K,Data!$A:$A,Vitezistii!$B12,Data!$C:$C,Vitezistii!Q$1)=0," ",SUMIFS(Data!$K:$K,Data!$A:$A,Vitezistii!$B12,Data!$C:$C,Vitezistii!Q$1))+SUMIFS(Data!$Q:$Q,Data!$A:$A,Vitezistii!$B12,Data!$C:$C,Vitezistii!Q$1),0)</f>
        <v>3.5</v>
      </c>
      <c r="R12" s="39">
        <f t="shared" si="0"/>
        <v>44.5</v>
      </c>
      <c r="S12" s="39">
        <f>SUMIFS(Data!D:D,Data!A:A,Vitezistii!B12)</f>
        <v>249.05999999999997</v>
      </c>
      <c r="T12" s="14">
        <f>SUMIFS(Data!I:I,Data!A:A,Vitezistii!B12)/COUNTIF(Data!A:A,Vitezistii!B12)</f>
        <v>2.8585103493629343E-3</v>
      </c>
    </row>
    <row r="13" spans="1:20" ht="13.8" x14ac:dyDescent="0.3">
      <c r="A13" s="151">
        <v>12</v>
      </c>
      <c r="B13" s="38" t="s">
        <v>239</v>
      </c>
      <c r="C13" s="39">
        <f>IFERROR(IF(SUMIFS(Data!$K:$K,Data!$A:$A,Vitezistii!$B13,Data!$C:$C,Vitezistii!C$1)=0," ",SUMIFS(Data!$K:$K,Data!$A:$A,Vitezistii!$B13,Data!$C:$C,Vitezistii!C$1))+SUMIFS(Data!$Q:$Q,Data!$A:$A,Vitezistii!$B13,Data!$C:$C,Vitezistii!C$1),0)</f>
        <v>1.5</v>
      </c>
      <c r="D13" s="39">
        <f>IFERROR(IF(SUMIFS(Data!$K:$K,Data!$A:$A,Vitezistii!$B13,Data!$C:$C,Vitezistii!D$1)=0," ",SUMIFS(Data!$K:$K,Data!$A:$A,Vitezistii!$B13,Data!$C:$C,Vitezistii!D$1))+SUMIFS(Data!$Q:$Q,Data!$A:$A,Vitezistii!$B13,Data!$C:$C,Vitezistii!D$1),0)</f>
        <v>3.5</v>
      </c>
      <c r="E13" s="39">
        <f>IFERROR(IF(SUMIFS(Data!$K:$K,Data!$A:$A,Vitezistii!$B13,Data!$C:$C,Vitezistii!E$1)=0," ",SUMIFS(Data!$K:$K,Data!$A:$A,Vitezistii!$B13,Data!$C:$C,Vitezistii!E$1))+SUMIFS(Data!$Q:$Q,Data!$A:$A,Vitezistii!$B13,Data!$C:$C,Vitezistii!E$1),0)</f>
        <v>2.5</v>
      </c>
      <c r="F13" s="39">
        <f>IFERROR(IF(SUMIFS(Data!$K:$K,Data!$A:$A,Vitezistii!$B13,Data!$C:$C,Vitezistii!F$1)=0," ",SUMIFS(Data!$K:$K,Data!$A:$A,Vitezistii!$B13,Data!$C:$C,Vitezistii!F$1))+SUMIFS(Data!$Q:$Q,Data!$A:$A,Vitezistii!$B13,Data!$C:$C,Vitezistii!F$1),0)</f>
        <v>4</v>
      </c>
      <c r="G13" s="39">
        <f>IFERROR(IF(SUMIFS(Data!$K:$K,Data!$A:$A,Vitezistii!$B13,Data!$C:$C,Vitezistii!G$1)=0," ",SUMIFS(Data!$K:$K,Data!$A:$A,Vitezistii!$B13,Data!$C:$C,Vitezistii!G$1))+SUMIFS(Data!$Q:$Q,Data!$A:$A,Vitezistii!$B13,Data!$C:$C,Vitezistii!G$1),0)</f>
        <v>3.5</v>
      </c>
      <c r="H13" s="39">
        <f>IFERROR(IF(SUMIFS(Data!$K:$K,Data!$A:$A,Vitezistii!$B13,Data!$C:$C,Vitezistii!H$1)=0," ",SUMIFS(Data!$K:$K,Data!$A:$A,Vitezistii!$B13,Data!$C:$C,Vitezistii!H$1))+SUMIFS(Data!$Q:$Q,Data!$A:$A,Vitezistii!$B13,Data!$C:$C,Vitezistii!H$1),0)</f>
        <v>0</v>
      </c>
      <c r="I13" s="39">
        <f>IFERROR(IF(SUMIFS(Data!$K:$K,Data!$A:$A,Vitezistii!$B13,Data!$C:$C,Vitezistii!I$1)=0," ",SUMIFS(Data!$K:$K,Data!$A:$A,Vitezistii!$B13,Data!$C:$C,Vitezistii!I$1))+SUMIFS(Data!$Q:$Q,Data!$A:$A,Vitezistii!$B13,Data!$C:$C,Vitezistii!I$1),0)</f>
        <v>2</v>
      </c>
      <c r="J13" s="39">
        <f>IFERROR(IF(SUMIFS(Data!$K:$K,Data!$A:$A,Vitezistii!$B13,Data!$C:$C,Vitezistii!J$1)=0," ",SUMIFS(Data!$K:$K,Data!$A:$A,Vitezistii!$B13,Data!$C:$C,Vitezistii!J$1))+SUMIFS(Data!$Q:$Q,Data!$A:$A,Vitezistii!$B13,Data!$C:$C,Vitezistii!J$1),0)</f>
        <v>4</v>
      </c>
      <c r="K13" s="39">
        <f>IFERROR(IF(SUMIFS(Data!$K:$K,Data!$A:$A,Vitezistii!$B13,Data!$C:$C,Vitezistii!K$1)=0," ",SUMIFS(Data!$K:$K,Data!$A:$A,Vitezistii!$B13,Data!$C:$C,Vitezistii!K$1))+SUMIFS(Data!$Q:$Q,Data!$A:$A,Vitezistii!$B13,Data!$C:$C,Vitezistii!K$1),0)</f>
        <v>3.5</v>
      </c>
      <c r="L13" s="39">
        <f>IFERROR(IF(SUMIFS(Data!$K:$K,Data!$A:$A,Vitezistii!$B13,Data!$C:$C,Vitezistii!L$1)=0," ",SUMIFS(Data!$K:$K,Data!$A:$A,Vitezistii!$B13,Data!$C:$C,Vitezistii!L$1))+SUMIFS(Data!$Q:$Q,Data!$A:$A,Vitezistii!$B13,Data!$C:$C,Vitezistii!L$1),0)</f>
        <v>3.5</v>
      </c>
      <c r="M13" s="39">
        <f>IFERROR(IF(SUMIFS(Data!$K:$K,Data!$A:$A,Vitezistii!$B13,Data!$C:$C,Vitezistii!M$1)=0," ",SUMIFS(Data!$K:$K,Data!$A:$A,Vitezistii!$B13,Data!$C:$C,Vitezistii!M$1))+SUMIFS(Data!$Q:$Q,Data!$A:$A,Vitezistii!$B13,Data!$C:$C,Vitezistii!M$1),0)</f>
        <v>1.5</v>
      </c>
      <c r="N13" s="39">
        <f>IFERROR(IF(SUMIFS(Data!$K:$K,Data!$A:$A,Vitezistii!$B13,Data!$C:$C,Vitezistii!N$1)=0," ",SUMIFS(Data!$K:$K,Data!$A:$A,Vitezistii!$B13,Data!$C:$C,Vitezistii!N$1))+SUMIFS(Data!$Q:$Q,Data!$A:$A,Vitezistii!$B13,Data!$C:$C,Vitezistii!N$1),0)</f>
        <v>3</v>
      </c>
      <c r="O13" s="39">
        <f>IFERROR(IF(SUMIFS(Data!$K:$K,Data!$A:$A,Vitezistii!$B13,Data!$C:$C,Vitezistii!O$1)=0," ",SUMIFS(Data!$K:$K,Data!$A:$A,Vitezistii!$B13,Data!$C:$C,Vitezistii!O$1))+SUMIFS(Data!$Q:$Q,Data!$A:$A,Vitezistii!$B13,Data!$C:$C,Vitezistii!O$1),0)</f>
        <v>2</v>
      </c>
      <c r="P13" s="39">
        <f>IFERROR(IF(SUMIFS(Data!$K:$K,Data!$A:$A,Vitezistii!$B13,Data!$C:$C,Vitezistii!P$1)=0," ",SUMIFS(Data!$K:$K,Data!$A:$A,Vitezistii!$B13,Data!$C:$C,Vitezistii!P$1))+SUMIFS(Data!$Q:$Q,Data!$A:$A,Vitezistii!$B13,Data!$C:$C,Vitezistii!P$1),0)</f>
        <v>4.5</v>
      </c>
      <c r="Q13" s="39">
        <f>IFERROR(IF(SUMIFS(Data!$K:$K,Data!$A:$A,Vitezistii!$B13,Data!$C:$C,Vitezistii!Q$1)=0," ",SUMIFS(Data!$K:$K,Data!$A:$A,Vitezistii!$B13,Data!$C:$C,Vitezistii!Q$1))+SUMIFS(Data!$Q:$Q,Data!$A:$A,Vitezistii!$B13,Data!$C:$C,Vitezistii!Q$1),0)</f>
        <v>3.5</v>
      </c>
      <c r="R13" s="39">
        <f t="shared" si="0"/>
        <v>42.5</v>
      </c>
      <c r="S13" s="39">
        <f>SUMIFS(Data!D:D,Data!A:A,Vitezistii!B13)</f>
        <v>160.63999999999996</v>
      </c>
      <c r="T13" s="14">
        <f>SUMIFS(Data!I:I,Data!A:A,Vitezistii!B13)/COUNTIF(Data!A:A,Vitezistii!B13)</f>
        <v>2.988427012628097E-3</v>
      </c>
    </row>
    <row r="14" spans="1:20" ht="13.8" x14ac:dyDescent="0.3">
      <c r="A14" s="151">
        <v>13</v>
      </c>
      <c r="B14" s="38" t="s">
        <v>7</v>
      </c>
      <c r="C14" s="39">
        <f>IFERROR(IF(SUMIFS(Data!$K:$K,Data!$A:$A,Vitezistii!$B14,Data!$C:$C,Vitezistii!C$1)=0," ",SUMIFS(Data!$K:$K,Data!$A:$A,Vitezistii!$B14,Data!$C:$C,Vitezistii!C$1))+SUMIFS(Data!$Q:$Q,Data!$A:$A,Vitezistii!$B14,Data!$C:$C,Vitezistii!C$1),0)</f>
        <v>4.5</v>
      </c>
      <c r="D14" s="39">
        <f>IFERROR(IF(SUMIFS(Data!$K:$K,Data!$A:$A,Vitezistii!$B14,Data!$C:$C,Vitezistii!D$1)=0," ",SUMIFS(Data!$K:$K,Data!$A:$A,Vitezistii!$B14,Data!$C:$C,Vitezistii!D$1))+SUMIFS(Data!$Q:$Q,Data!$A:$A,Vitezistii!$B14,Data!$C:$C,Vitezistii!D$1),0)</f>
        <v>1.5</v>
      </c>
      <c r="E14" s="39">
        <f>IFERROR(IF(SUMIFS(Data!$K:$K,Data!$A:$A,Vitezistii!$B14,Data!$C:$C,Vitezistii!E$1)=0," ",SUMIFS(Data!$K:$K,Data!$A:$A,Vitezistii!$B14,Data!$C:$C,Vitezistii!E$1))+SUMIFS(Data!$Q:$Q,Data!$A:$A,Vitezistii!$B14,Data!$C:$C,Vitezistii!E$1),0)</f>
        <v>1.5</v>
      </c>
      <c r="F14" s="39">
        <f>IFERROR(IF(SUMIFS(Data!$K:$K,Data!$A:$A,Vitezistii!$B14,Data!$C:$C,Vitezistii!F$1)=0," ",SUMIFS(Data!$K:$K,Data!$A:$A,Vitezistii!$B14,Data!$C:$C,Vitezistii!F$1))+SUMIFS(Data!$Q:$Q,Data!$A:$A,Vitezistii!$B14,Data!$C:$C,Vitezistii!F$1),0)</f>
        <v>1.5</v>
      </c>
      <c r="G14" s="39">
        <f>IFERROR(IF(SUMIFS(Data!$K:$K,Data!$A:$A,Vitezistii!$B14,Data!$C:$C,Vitezistii!G$1)=0," ",SUMIFS(Data!$K:$K,Data!$A:$A,Vitezistii!$B14,Data!$C:$C,Vitezistii!G$1))+SUMIFS(Data!$Q:$Q,Data!$A:$A,Vitezistii!$B14,Data!$C:$C,Vitezistii!G$1),0)</f>
        <v>2</v>
      </c>
      <c r="H14" s="39">
        <f>IFERROR(IF(SUMIFS(Data!$K:$K,Data!$A:$A,Vitezistii!$B14,Data!$C:$C,Vitezistii!H$1)=0," ",SUMIFS(Data!$K:$K,Data!$A:$A,Vitezistii!$B14,Data!$C:$C,Vitezistii!H$1))+SUMIFS(Data!$Q:$Q,Data!$A:$A,Vitezistii!$B14,Data!$C:$C,Vitezistii!H$1),0)</f>
        <v>4</v>
      </c>
      <c r="I14" s="39">
        <f>IFERROR(IF(SUMIFS(Data!$K:$K,Data!$A:$A,Vitezistii!$B14,Data!$C:$C,Vitezistii!I$1)=0," ",SUMIFS(Data!$K:$K,Data!$A:$A,Vitezistii!$B14,Data!$C:$C,Vitezistii!I$1))+SUMIFS(Data!$Q:$Q,Data!$A:$A,Vitezistii!$B14,Data!$C:$C,Vitezistii!I$1),0)</f>
        <v>2.5</v>
      </c>
      <c r="J14" s="39">
        <f>IFERROR(IF(SUMIFS(Data!$K:$K,Data!$A:$A,Vitezistii!$B14,Data!$C:$C,Vitezistii!J$1)=0," ",SUMIFS(Data!$K:$K,Data!$A:$A,Vitezistii!$B14,Data!$C:$C,Vitezistii!J$1))+SUMIFS(Data!$Q:$Q,Data!$A:$A,Vitezistii!$B14,Data!$C:$C,Vitezistii!J$1),0)</f>
        <v>3</v>
      </c>
      <c r="K14" s="39">
        <f>IFERROR(IF(SUMIFS(Data!$K:$K,Data!$A:$A,Vitezistii!$B14,Data!$C:$C,Vitezistii!K$1)=0," ",SUMIFS(Data!$K:$K,Data!$A:$A,Vitezistii!$B14,Data!$C:$C,Vitezistii!K$1))+SUMIFS(Data!$Q:$Q,Data!$A:$A,Vitezistii!$B14,Data!$C:$C,Vitezistii!K$1),0)</f>
        <v>2.5</v>
      </c>
      <c r="L14" s="39">
        <f>IFERROR(IF(SUMIFS(Data!$K:$K,Data!$A:$A,Vitezistii!$B14,Data!$C:$C,Vitezistii!L$1)=0," ",SUMIFS(Data!$K:$K,Data!$A:$A,Vitezistii!$B14,Data!$C:$C,Vitezistii!L$1))+SUMIFS(Data!$Q:$Q,Data!$A:$A,Vitezistii!$B14,Data!$C:$C,Vitezistii!L$1),0)</f>
        <v>2.5</v>
      </c>
      <c r="M14" s="39">
        <f>IFERROR(IF(SUMIFS(Data!$K:$K,Data!$A:$A,Vitezistii!$B14,Data!$C:$C,Vitezistii!M$1)=0," ",SUMIFS(Data!$K:$K,Data!$A:$A,Vitezistii!$B14,Data!$C:$C,Vitezistii!M$1))+SUMIFS(Data!$Q:$Q,Data!$A:$A,Vitezistii!$B14,Data!$C:$C,Vitezistii!M$1),0)</f>
        <v>2.5</v>
      </c>
      <c r="N14" s="39">
        <f>IFERROR(IF(SUMIFS(Data!$K:$K,Data!$A:$A,Vitezistii!$B14,Data!$C:$C,Vitezistii!N$1)=0," ",SUMIFS(Data!$K:$K,Data!$A:$A,Vitezistii!$B14,Data!$C:$C,Vitezistii!N$1))+SUMIFS(Data!$Q:$Q,Data!$A:$A,Vitezistii!$B14,Data!$C:$C,Vitezistii!N$1),0)</f>
        <v>2.5</v>
      </c>
      <c r="O14" s="39">
        <f>IFERROR(IF(SUMIFS(Data!$K:$K,Data!$A:$A,Vitezistii!$B14,Data!$C:$C,Vitezistii!O$1)=0," ",SUMIFS(Data!$K:$K,Data!$A:$A,Vitezistii!$B14,Data!$C:$C,Vitezistii!O$1))+SUMIFS(Data!$Q:$Q,Data!$A:$A,Vitezistii!$B14,Data!$C:$C,Vitezistii!O$1),0)</f>
        <v>4</v>
      </c>
      <c r="P14" s="39">
        <f>IFERROR(IF(SUMIFS(Data!$K:$K,Data!$A:$A,Vitezistii!$B14,Data!$C:$C,Vitezistii!P$1)=0," ",SUMIFS(Data!$K:$K,Data!$A:$A,Vitezistii!$B14,Data!$C:$C,Vitezistii!P$1))+SUMIFS(Data!$Q:$Q,Data!$A:$A,Vitezistii!$B14,Data!$C:$C,Vitezistii!P$1),0)</f>
        <v>2.5</v>
      </c>
      <c r="Q14" s="39">
        <f>IFERROR(IF(SUMIFS(Data!$K:$K,Data!$A:$A,Vitezistii!$B14,Data!$C:$C,Vitezistii!Q$1)=0," ",SUMIFS(Data!$K:$K,Data!$A:$A,Vitezistii!$B14,Data!$C:$C,Vitezistii!Q$1))+SUMIFS(Data!$Q:$Q,Data!$A:$A,Vitezistii!$B14,Data!$C:$C,Vitezistii!Q$1),0)</f>
        <v>2.5</v>
      </c>
      <c r="R14" s="39">
        <f t="shared" si="0"/>
        <v>39.5</v>
      </c>
      <c r="S14" s="39">
        <f>SUMIFS(Data!D:D,Data!A:A,Vitezistii!B14)</f>
        <v>189.14</v>
      </c>
      <c r="T14" s="14">
        <f>SUMIFS(Data!I:I,Data!A:A,Vitezistii!B14)/COUNTIF(Data!A:A,Vitezistii!B14)</f>
        <v>2.9626009331128345E-3</v>
      </c>
    </row>
    <row r="15" spans="1:20" ht="13.8" x14ac:dyDescent="0.3">
      <c r="A15" s="151">
        <v>14</v>
      </c>
      <c r="B15" s="38" t="s">
        <v>53</v>
      </c>
      <c r="C15" s="39">
        <f>IFERROR(IF(SUMIFS(Data!$K:$K,Data!$A:$A,Vitezistii!$B15,Data!$C:$C,Vitezistii!C$1)=0," ",SUMIFS(Data!$K:$K,Data!$A:$A,Vitezistii!$B15,Data!$C:$C,Vitezistii!C$1))+SUMIFS(Data!$Q:$Q,Data!$A:$A,Vitezistii!$B15,Data!$C:$C,Vitezistii!C$1),0)</f>
        <v>1.5</v>
      </c>
      <c r="D15" s="39">
        <f>IFERROR(IF(SUMIFS(Data!$K:$K,Data!$A:$A,Vitezistii!$B15,Data!$C:$C,Vitezistii!D$1)=0," ",SUMIFS(Data!$K:$K,Data!$A:$A,Vitezistii!$B15,Data!$C:$C,Vitezistii!D$1))+SUMIFS(Data!$Q:$Q,Data!$A:$A,Vitezistii!$B15,Data!$C:$C,Vitezistii!D$1),0)</f>
        <v>0</v>
      </c>
      <c r="E15" s="39">
        <f>IFERROR(IF(SUMIFS(Data!$K:$K,Data!$A:$A,Vitezistii!$B15,Data!$C:$C,Vitezistii!E$1)=0," ",SUMIFS(Data!$K:$K,Data!$A:$A,Vitezistii!$B15,Data!$C:$C,Vitezistii!E$1))+SUMIFS(Data!$Q:$Q,Data!$A:$A,Vitezistii!$B15,Data!$C:$C,Vitezistii!E$1),0)</f>
        <v>6.5</v>
      </c>
      <c r="F15" s="39">
        <f>IFERROR(IF(SUMIFS(Data!$K:$K,Data!$A:$A,Vitezistii!$B15,Data!$C:$C,Vitezistii!F$1)=0," ",SUMIFS(Data!$K:$K,Data!$A:$A,Vitezistii!$B15,Data!$C:$C,Vitezistii!F$1))+SUMIFS(Data!$Q:$Q,Data!$A:$A,Vitezistii!$B15,Data!$C:$C,Vitezistii!F$1),0)</f>
        <v>1</v>
      </c>
      <c r="G15" s="39">
        <f>IFERROR(IF(SUMIFS(Data!$K:$K,Data!$A:$A,Vitezistii!$B15,Data!$C:$C,Vitezistii!G$1)=0," ",SUMIFS(Data!$K:$K,Data!$A:$A,Vitezistii!$B15,Data!$C:$C,Vitezistii!G$1))+SUMIFS(Data!$Q:$Q,Data!$A:$A,Vitezistii!$B15,Data!$C:$C,Vitezistii!G$1),0)</f>
        <v>1.5</v>
      </c>
      <c r="H15" s="39">
        <f>IFERROR(IF(SUMIFS(Data!$K:$K,Data!$A:$A,Vitezistii!$B15,Data!$C:$C,Vitezistii!H$1)=0," ",SUMIFS(Data!$K:$K,Data!$A:$A,Vitezistii!$B15,Data!$C:$C,Vitezistii!H$1))+SUMIFS(Data!$Q:$Q,Data!$A:$A,Vitezistii!$B15,Data!$C:$C,Vitezistii!H$1),0)</f>
        <v>0</v>
      </c>
      <c r="I15" s="39">
        <f>IFERROR(IF(SUMIFS(Data!$K:$K,Data!$A:$A,Vitezistii!$B15,Data!$C:$C,Vitezistii!I$1)=0," ",SUMIFS(Data!$K:$K,Data!$A:$A,Vitezistii!$B15,Data!$C:$C,Vitezistii!I$1))+SUMIFS(Data!$Q:$Q,Data!$A:$A,Vitezistii!$B15,Data!$C:$C,Vitezistii!I$1),0)</f>
        <v>1.5</v>
      </c>
      <c r="J15" s="39">
        <f>IFERROR(IF(SUMIFS(Data!$K:$K,Data!$A:$A,Vitezistii!$B15,Data!$C:$C,Vitezistii!J$1)=0," ",SUMIFS(Data!$K:$K,Data!$A:$A,Vitezistii!$B15,Data!$C:$C,Vitezistii!J$1))+SUMIFS(Data!$Q:$Q,Data!$A:$A,Vitezistii!$B15,Data!$C:$C,Vitezistii!J$1),0)</f>
        <v>5</v>
      </c>
      <c r="K15" s="39">
        <f>IFERROR(IF(SUMIFS(Data!$K:$K,Data!$A:$A,Vitezistii!$B15,Data!$C:$C,Vitezistii!K$1)=0," ",SUMIFS(Data!$K:$K,Data!$A:$A,Vitezistii!$B15,Data!$C:$C,Vitezistii!K$1))+SUMIFS(Data!$Q:$Q,Data!$A:$A,Vitezistii!$B15,Data!$C:$C,Vitezistii!K$1),0)</f>
        <v>4</v>
      </c>
      <c r="L15" s="39">
        <f>IFERROR(IF(SUMIFS(Data!$K:$K,Data!$A:$A,Vitezistii!$B15,Data!$C:$C,Vitezistii!L$1)=0," ",SUMIFS(Data!$K:$K,Data!$A:$A,Vitezistii!$B15,Data!$C:$C,Vitezistii!L$1))+SUMIFS(Data!$Q:$Q,Data!$A:$A,Vitezistii!$B15,Data!$C:$C,Vitezistii!L$1),0)</f>
        <v>5</v>
      </c>
      <c r="M15" s="39">
        <f>IFERROR(IF(SUMIFS(Data!$K:$K,Data!$A:$A,Vitezistii!$B15,Data!$C:$C,Vitezistii!M$1)=0," ",SUMIFS(Data!$K:$K,Data!$A:$A,Vitezistii!$B15,Data!$C:$C,Vitezistii!M$1))+SUMIFS(Data!$Q:$Q,Data!$A:$A,Vitezistii!$B15,Data!$C:$C,Vitezistii!M$1),0)</f>
        <v>3.5</v>
      </c>
      <c r="N15" s="39">
        <f>IFERROR(IF(SUMIFS(Data!$K:$K,Data!$A:$A,Vitezistii!$B15,Data!$C:$C,Vitezistii!N$1)=0," ",SUMIFS(Data!$K:$K,Data!$A:$A,Vitezistii!$B15,Data!$C:$C,Vitezistii!N$1))+SUMIFS(Data!$Q:$Q,Data!$A:$A,Vitezistii!$B15,Data!$C:$C,Vitezistii!N$1),0)</f>
        <v>3.5</v>
      </c>
      <c r="O15" s="39">
        <f>IFERROR(IF(SUMIFS(Data!$K:$K,Data!$A:$A,Vitezistii!$B15,Data!$C:$C,Vitezistii!O$1)=0," ",SUMIFS(Data!$K:$K,Data!$A:$A,Vitezistii!$B15,Data!$C:$C,Vitezistii!O$1))+SUMIFS(Data!$Q:$Q,Data!$A:$A,Vitezistii!$B15,Data!$C:$C,Vitezistii!O$1),0)</f>
        <v>2</v>
      </c>
      <c r="P15" s="39">
        <f>IFERROR(IF(SUMIFS(Data!$K:$K,Data!$A:$A,Vitezistii!$B15,Data!$C:$C,Vitezistii!P$1)=0," ",SUMIFS(Data!$K:$K,Data!$A:$A,Vitezistii!$B15,Data!$C:$C,Vitezistii!P$1))+SUMIFS(Data!$Q:$Q,Data!$A:$A,Vitezistii!$B15,Data!$C:$C,Vitezistii!P$1),0)</f>
        <v>1.5</v>
      </c>
      <c r="Q15" s="39">
        <f>IFERROR(IF(SUMIFS(Data!$K:$K,Data!$A:$A,Vitezistii!$B15,Data!$C:$C,Vitezistii!Q$1)=0," ",SUMIFS(Data!$K:$K,Data!$A:$A,Vitezistii!$B15,Data!$C:$C,Vitezistii!Q$1))+SUMIFS(Data!$Q:$Q,Data!$A:$A,Vitezistii!$B15,Data!$C:$C,Vitezistii!Q$1),0)</f>
        <v>1</v>
      </c>
      <c r="R15" s="39">
        <f t="shared" si="0"/>
        <v>37.5</v>
      </c>
      <c r="S15" s="39">
        <f>SUMIFS(Data!D:D,Data!A:A,Vitezistii!B15)</f>
        <v>298.27999999999997</v>
      </c>
      <c r="T15" s="14">
        <f>SUMIFS(Data!I:I,Data!A:A,Vitezistii!B15)/COUNTIF(Data!A:A,Vitezistii!B15)</f>
        <v>3.2013825896622665E-3</v>
      </c>
    </row>
    <row r="16" spans="1:20" ht="13.8" x14ac:dyDescent="0.3">
      <c r="A16" s="151">
        <v>15</v>
      </c>
      <c r="B16" s="38" t="s">
        <v>111</v>
      </c>
      <c r="C16" s="39">
        <f>IFERROR(IF(SUMIFS(Data!$K:$K,Data!$A:$A,Vitezistii!$B16,Data!$C:$C,Vitezistii!C$1)=0," ",SUMIFS(Data!$K:$K,Data!$A:$A,Vitezistii!$B16,Data!$C:$C,Vitezistii!C$1))+SUMIFS(Data!$Q:$Q,Data!$A:$A,Vitezistii!$B16,Data!$C:$C,Vitezistii!C$1),0)</f>
        <v>3.5</v>
      </c>
      <c r="D16" s="39">
        <f>IFERROR(IF(SUMIFS(Data!$K:$K,Data!$A:$A,Vitezistii!$B16,Data!$C:$C,Vitezistii!D$1)=0," ",SUMIFS(Data!$K:$K,Data!$A:$A,Vitezistii!$B16,Data!$C:$C,Vitezistii!D$1))+SUMIFS(Data!$Q:$Q,Data!$A:$A,Vitezistii!$B16,Data!$C:$C,Vitezistii!D$1),0)</f>
        <v>3.5</v>
      </c>
      <c r="E16" s="39">
        <f>IFERROR(IF(SUMIFS(Data!$K:$K,Data!$A:$A,Vitezistii!$B16,Data!$C:$C,Vitezistii!E$1)=0," ",SUMIFS(Data!$K:$K,Data!$A:$A,Vitezistii!$B16,Data!$C:$C,Vitezistii!E$1))+SUMIFS(Data!$Q:$Q,Data!$A:$A,Vitezistii!$B16,Data!$C:$C,Vitezistii!E$1),0)</f>
        <v>1</v>
      </c>
      <c r="F16" s="39">
        <f>IFERROR(IF(SUMIFS(Data!$K:$K,Data!$A:$A,Vitezistii!$B16,Data!$C:$C,Vitezistii!F$1)=0," ",SUMIFS(Data!$K:$K,Data!$A:$A,Vitezistii!$B16,Data!$C:$C,Vitezistii!F$1))+SUMIFS(Data!$Q:$Q,Data!$A:$A,Vitezistii!$B16,Data!$C:$C,Vitezistii!F$1),0)</f>
        <v>1</v>
      </c>
      <c r="G16" s="39">
        <f>IFERROR(IF(SUMIFS(Data!$K:$K,Data!$A:$A,Vitezistii!$B16,Data!$C:$C,Vitezistii!G$1)=0," ",SUMIFS(Data!$K:$K,Data!$A:$A,Vitezistii!$B16,Data!$C:$C,Vitezistii!G$1))+SUMIFS(Data!$Q:$Q,Data!$A:$A,Vitezistii!$B16,Data!$C:$C,Vitezistii!G$1),0)</f>
        <v>3.5</v>
      </c>
      <c r="H16" s="39">
        <f>IFERROR(IF(SUMIFS(Data!$K:$K,Data!$A:$A,Vitezistii!$B16,Data!$C:$C,Vitezistii!H$1)=0," ",SUMIFS(Data!$K:$K,Data!$A:$A,Vitezistii!$B16,Data!$C:$C,Vitezistii!H$1))+SUMIFS(Data!$Q:$Q,Data!$A:$A,Vitezistii!$B16,Data!$C:$C,Vitezistii!H$1),0)</f>
        <v>1.5</v>
      </c>
      <c r="I16" s="39">
        <f>IFERROR(IF(SUMIFS(Data!$K:$K,Data!$A:$A,Vitezistii!$B16,Data!$C:$C,Vitezistii!I$1)=0," ",SUMIFS(Data!$K:$K,Data!$A:$A,Vitezistii!$B16,Data!$C:$C,Vitezistii!I$1))+SUMIFS(Data!$Q:$Q,Data!$A:$A,Vitezistii!$B16,Data!$C:$C,Vitezistii!I$1),0)</f>
        <v>4</v>
      </c>
      <c r="J16" s="39">
        <f>IFERROR(IF(SUMIFS(Data!$K:$K,Data!$A:$A,Vitezistii!$B16,Data!$C:$C,Vitezistii!J$1)=0," ",SUMIFS(Data!$K:$K,Data!$A:$A,Vitezistii!$B16,Data!$C:$C,Vitezistii!J$1))+SUMIFS(Data!$Q:$Q,Data!$A:$A,Vitezistii!$B16,Data!$C:$C,Vitezistii!J$1),0)</f>
        <v>2</v>
      </c>
      <c r="K16" s="39">
        <f>IFERROR(IF(SUMIFS(Data!$K:$K,Data!$A:$A,Vitezistii!$B16,Data!$C:$C,Vitezistii!K$1)=0," ",SUMIFS(Data!$K:$K,Data!$A:$A,Vitezistii!$B16,Data!$C:$C,Vitezistii!K$1))+SUMIFS(Data!$Q:$Q,Data!$A:$A,Vitezistii!$B16,Data!$C:$C,Vitezistii!K$1),0)</f>
        <v>3.5</v>
      </c>
      <c r="L16" s="39">
        <f>IFERROR(IF(SUMIFS(Data!$K:$K,Data!$A:$A,Vitezistii!$B16,Data!$C:$C,Vitezistii!L$1)=0," ",SUMIFS(Data!$K:$K,Data!$A:$A,Vitezistii!$B16,Data!$C:$C,Vitezistii!L$1))+SUMIFS(Data!$Q:$Q,Data!$A:$A,Vitezistii!$B16,Data!$C:$C,Vitezistii!L$1),0)</f>
        <v>3.5</v>
      </c>
      <c r="M16" s="39">
        <f>IFERROR(IF(SUMIFS(Data!$K:$K,Data!$A:$A,Vitezistii!$B16,Data!$C:$C,Vitezistii!M$1)=0," ",SUMIFS(Data!$K:$K,Data!$A:$A,Vitezistii!$B16,Data!$C:$C,Vitezistii!M$1))+SUMIFS(Data!$Q:$Q,Data!$A:$A,Vitezistii!$B16,Data!$C:$C,Vitezistii!M$1),0)</f>
        <v>4</v>
      </c>
      <c r="N16" s="39">
        <f>IFERROR(IF(SUMIFS(Data!$K:$K,Data!$A:$A,Vitezistii!$B16,Data!$C:$C,Vitezistii!N$1)=0," ",SUMIFS(Data!$K:$K,Data!$A:$A,Vitezistii!$B16,Data!$C:$C,Vitezistii!N$1))+SUMIFS(Data!$Q:$Q,Data!$A:$A,Vitezistii!$B16,Data!$C:$C,Vitezistii!N$1),0)</f>
        <v>3</v>
      </c>
      <c r="O16" s="39">
        <f>IFERROR(IF(SUMIFS(Data!$K:$K,Data!$A:$A,Vitezistii!$B16,Data!$C:$C,Vitezistii!O$1)=0," ",SUMIFS(Data!$K:$K,Data!$A:$A,Vitezistii!$B16,Data!$C:$C,Vitezistii!O$1))+SUMIFS(Data!$Q:$Q,Data!$A:$A,Vitezistii!$B16,Data!$C:$C,Vitezistii!O$1),0)</f>
        <v>0</v>
      </c>
      <c r="P16" s="39">
        <f>IFERROR(IF(SUMIFS(Data!$K:$K,Data!$A:$A,Vitezistii!$B16,Data!$C:$C,Vitezistii!P$1)=0," ",SUMIFS(Data!$K:$K,Data!$A:$A,Vitezistii!$B16,Data!$C:$C,Vitezistii!P$1))+SUMIFS(Data!$Q:$Q,Data!$A:$A,Vitezistii!$B16,Data!$C:$C,Vitezistii!P$1),0)</f>
        <v>1</v>
      </c>
      <c r="Q16" s="39">
        <f>IFERROR(IF(SUMIFS(Data!$K:$K,Data!$A:$A,Vitezistii!$B16,Data!$C:$C,Vitezistii!Q$1)=0," ",SUMIFS(Data!$K:$K,Data!$A:$A,Vitezistii!$B16,Data!$C:$C,Vitezistii!Q$1))+SUMIFS(Data!$Q:$Q,Data!$A:$A,Vitezistii!$B16,Data!$C:$C,Vitezistii!Q$1),0)</f>
        <v>1.5</v>
      </c>
      <c r="R16" s="39">
        <f t="shared" si="0"/>
        <v>36.5</v>
      </c>
      <c r="S16" s="39">
        <f>SUMIFS(Data!D:D,Data!A:A,Vitezistii!B16)</f>
        <v>344.69000000000005</v>
      </c>
      <c r="T16" s="14">
        <f>SUMIFS(Data!I:I,Data!A:A,Vitezistii!B16)/COUNTIF(Data!A:A,Vitezistii!B16)</f>
        <v>2.9837255734288691E-3</v>
      </c>
    </row>
    <row r="17" spans="1:20" ht="13.8" x14ac:dyDescent="0.3">
      <c r="A17" s="151">
        <v>16</v>
      </c>
      <c r="B17" s="38" t="s">
        <v>241</v>
      </c>
      <c r="C17" s="39">
        <f>IFERROR(IF(SUMIFS(Data!$K:$K,Data!$A:$A,Vitezistii!$B17,Data!$C:$C,Vitezistii!C$1)=0," ",SUMIFS(Data!$K:$K,Data!$A:$A,Vitezistii!$B17,Data!$C:$C,Vitezistii!C$1))+SUMIFS(Data!$Q:$Q,Data!$A:$A,Vitezistii!$B17,Data!$C:$C,Vitezistii!C$1),0)</f>
        <v>1.5</v>
      </c>
      <c r="D17" s="39">
        <f>IFERROR(IF(SUMIFS(Data!$K:$K,Data!$A:$A,Vitezistii!$B17,Data!$C:$C,Vitezistii!D$1)=0," ",SUMIFS(Data!$K:$K,Data!$A:$A,Vitezistii!$B17,Data!$C:$C,Vitezistii!D$1))+SUMIFS(Data!$Q:$Q,Data!$A:$A,Vitezistii!$B17,Data!$C:$C,Vitezistii!D$1),0)</f>
        <v>4</v>
      </c>
      <c r="E17" s="39">
        <f>IFERROR(IF(SUMIFS(Data!$K:$K,Data!$A:$A,Vitezistii!$B17,Data!$C:$C,Vitezistii!E$1)=0," ",SUMIFS(Data!$K:$K,Data!$A:$A,Vitezistii!$B17,Data!$C:$C,Vitezistii!E$1))+SUMIFS(Data!$Q:$Q,Data!$A:$A,Vitezistii!$B17,Data!$C:$C,Vitezistii!E$1),0)</f>
        <v>4</v>
      </c>
      <c r="F17" s="39">
        <f>IFERROR(IF(SUMIFS(Data!$K:$K,Data!$A:$A,Vitezistii!$B17,Data!$C:$C,Vitezistii!F$1)=0," ",SUMIFS(Data!$K:$K,Data!$A:$A,Vitezistii!$B17,Data!$C:$C,Vitezistii!F$1))+SUMIFS(Data!$Q:$Q,Data!$A:$A,Vitezistii!$B17,Data!$C:$C,Vitezistii!F$1),0)</f>
        <v>4.5</v>
      </c>
      <c r="G17" s="39">
        <f>IFERROR(IF(SUMIFS(Data!$K:$K,Data!$A:$A,Vitezistii!$B17,Data!$C:$C,Vitezistii!G$1)=0," ",SUMIFS(Data!$K:$K,Data!$A:$A,Vitezistii!$B17,Data!$C:$C,Vitezistii!G$1))+SUMIFS(Data!$Q:$Q,Data!$A:$A,Vitezistii!$B17,Data!$C:$C,Vitezistii!G$1),0)</f>
        <v>3</v>
      </c>
      <c r="H17" s="39">
        <f>IFERROR(IF(SUMIFS(Data!$K:$K,Data!$A:$A,Vitezistii!$B17,Data!$C:$C,Vitezistii!H$1)=0," ",SUMIFS(Data!$K:$K,Data!$A:$A,Vitezistii!$B17,Data!$C:$C,Vitezistii!H$1))+SUMIFS(Data!$Q:$Q,Data!$A:$A,Vitezistii!$B17,Data!$C:$C,Vitezistii!H$1),0)</f>
        <v>0</v>
      </c>
      <c r="I17" s="39">
        <f>IFERROR(IF(SUMIFS(Data!$K:$K,Data!$A:$A,Vitezistii!$B17,Data!$C:$C,Vitezistii!I$1)=0," ",SUMIFS(Data!$K:$K,Data!$A:$A,Vitezistii!$B17,Data!$C:$C,Vitezistii!I$1))+SUMIFS(Data!$Q:$Q,Data!$A:$A,Vitezistii!$B17,Data!$C:$C,Vitezistii!I$1),0)</f>
        <v>3.5</v>
      </c>
      <c r="J17" s="39">
        <f>IFERROR(IF(SUMIFS(Data!$K:$K,Data!$A:$A,Vitezistii!$B17,Data!$C:$C,Vitezistii!J$1)=0," ",SUMIFS(Data!$K:$K,Data!$A:$A,Vitezistii!$B17,Data!$C:$C,Vitezistii!J$1))+SUMIFS(Data!$Q:$Q,Data!$A:$A,Vitezistii!$B17,Data!$C:$C,Vitezistii!J$1),0)</f>
        <v>0</v>
      </c>
      <c r="K17" s="39">
        <f>IFERROR(IF(SUMIFS(Data!$K:$K,Data!$A:$A,Vitezistii!$B17,Data!$C:$C,Vitezistii!K$1)=0," ",SUMIFS(Data!$K:$K,Data!$A:$A,Vitezistii!$B17,Data!$C:$C,Vitezistii!K$1))+SUMIFS(Data!$Q:$Q,Data!$A:$A,Vitezistii!$B17,Data!$C:$C,Vitezistii!K$1),0)</f>
        <v>4</v>
      </c>
      <c r="L17" s="39">
        <f>IFERROR(IF(SUMIFS(Data!$K:$K,Data!$A:$A,Vitezistii!$B17,Data!$C:$C,Vitezistii!L$1)=0," ",SUMIFS(Data!$K:$K,Data!$A:$A,Vitezistii!$B17,Data!$C:$C,Vitezistii!L$1))+SUMIFS(Data!$Q:$Q,Data!$A:$A,Vitezistii!$B17,Data!$C:$C,Vitezistii!L$1),0)</f>
        <v>2.5</v>
      </c>
      <c r="M17" s="39">
        <f>IFERROR(IF(SUMIFS(Data!$K:$K,Data!$A:$A,Vitezistii!$B17,Data!$C:$C,Vitezistii!M$1)=0," ",SUMIFS(Data!$K:$K,Data!$A:$A,Vitezistii!$B17,Data!$C:$C,Vitezistii!M$1))+SUMIFS(Data!$Q:$Q,Data!$A:$A,Vitezistii!$B17,Data!$C:$C,Vitezistii!M$1),0)</f>
        <v>2</v>
      </c>
      <c r="N17" s="39">
        <f>IFERROR(IF(SUMIFS(Data!$K:$K,Data!$A:$A,Vitezistii!$B17,Data!$C:$C,Vitezistii!N$1)=0," ",SUMIFS(Data!$K:$K,Data!$A:$A,Vitezistii!$B17,Data!$C:$C,Vitezistii!N$1))+SUMIFS(Data!$Q:$Q,Data!$A:$A,Vitezistii!$B17,Data!$C:$C,Vitezistii!N$1),0)</f>
        <v>2.5</v>
      </c>
      <c r="O17" s="39">
        <f>IFERROR(IF(SUMIFS(Data!$K:$K,Data!$A:$A,Vitezistii!$B17,Data!$C:$C,Vitezistii!O$1)=0," ",SUMIFS(Data!$K:$K,Data!$A:$A,Vitezistii!$B17,Data!$C:$C,Vitezistii!O$1))+SUMIFS(Data!$Q:$Q,Data!$A:$A,Vitezistii!$B17,Data!$C:$C,Vitezistii!O$1),0)</f>
        <v>0</v>
      </c>
      <c r="P17" s="39">
        <f>IFERROR(IF(SUMIFS(Data!$K:$K,Data!$A:$A,Vitezistii!$B17,Data!$C:$C,Vitezistii!P$1)=0," ",SUMIFS(Data!$K:$K,Data!$A:$A,Vitezistii!$B17,Data!$C:$C,Vitezistii!P$1))+SUMIFS(Data!$Q:$Q,Data!$A:$A,Vitezistii!$B17,Data!$C:$C,Vitezistii!P$1),0)</f>
        <v>0</v>
      </c>
      <c r="Q17" s="39">
        <f>IFERROR(IF(SUMIFS(Data!$K:$K,Data!$A:$A,Vitezistii!$B17,Data!$C:$C,Vitezistii!Q$1)=0," ",SUMIFS(Data!$K:$K,Data!$A:$A,Vitezistii!$B17,Data!$C:$C,Vitezistii!Q$1))+SUMIFS(Data!$Q:$Q,Data!$A:$A,Vitezistii!$B17,Data!$C:$C,Vitezistii!Q$1),0)</f>
        <v>0</v>
      </c>
      <c r="R17" s="39">
        <f t="shared" si="0"/>
        <v>31.5</v>
      </c>
      <c r="S17" s="39">
        <f>SUMIFS(Data!D:D,Data!A:A,Vitezistii!B17)</f>
        <v>133.35999999999999</v>
      </c>
      <c r="T17" s="14">
        <f>SUMIFS(Data!I:I,Data!A:A,Vitezistii!B17)/COUNTIF(Data!A:A,Vitezistii!B17)</f>
        <v>2.5899968261526196E-3</v>
      </c>
    </row>
    <row r="18" spans="1:20" ht="13.8" x14ac:dyDescent="0.3">
      <c r="A18" s="151">
        <v>17</v>
      </c>
      <c r="B18" s="38" t="s">
        <v>67</v>
      </c>
      <c r="C18" s="39">
        <f>IFERROR(IF(SUMIFS(Data!$K:$K,Data!$A:$A,Vitezistii!$B18,Data!$C:$C,Vitezistii!C$1)=0," ",SUMIFS(Data!$K:$K,Data!$A:$A,Vitezistii!$B18,Data!$C:$C,Vitezistii!C$1))+SUMIFS(Data!$Q:$Q,Data!$A:$A,Vitezistii!$B18,Data!$C:$C,Vitezistii!C$1),0)</f>
        <v>2</v>
      </c>
      <c r="D18" s="39">
        <f>IFERROR(IF(SUMIFS(Data!$K:$K,Data!$A:$A,Vitezistii!$B18,Data!$C:$C,Vitezistii!D$1)=0," ",SUMIFS(Data!$K:$K,Data!$A:$A,Vitezistii!$B18,Data!$C:$C,Vitezistii!D$1))+SUMIFS(Data!$Q:$Q,Data!$A:$A,Vitezistii!$B18,Data!$C:$C,Vitezistii!D$1),0)</f>
        <v>3.5</v>
      </c>
      <c r="E18" s="39">
        <f>IFERROR(IF(SUMIFS(Data!$K:$K,Data!$A:$A,Vitezistii!$B18,Data!$C:$C,Vitezistii!E$1)=0," ",SUMIFS(Data!$K:$K,Data!$A:$A,Vitezistii!$B18,Data!$C:$C,Vitezistii!E$1))+SUMIFS(Data!$Q:$Q,Data!$A:$A,Vitezistii!$B18,Data!$C:$C,Vitezistii!E$1),0)</f>
        <v>4</v>
      </c>
      <c r="F18" s="39">
        <f>IFERROR(IF(SUMIFS(Data!$K:$K,Data!$A:$A,Vitezistii!$B18,Data!$C:$C,Vitezistii!F$1)=0," ",SUMIFS(Data!$K:$K,Data!$A:$A,Vitezistii!$B18,Data!$C:$C,Vitezistii!F$1))+SUMIFS(Data!$Q:$Q,Data!$A:$A,Vitezistii!$B18,Data!$C:$C,Vitezistii!F$1),0)</f>
        <v>1.5</v>
      </c>
      <c r="G18" s="39">
        <f>IFERROR(IF(SUMIFS(Data!$K:$K,Data!$A:$A,Vitezistii!$B18,Data!$C:$C,Vitezistii!G$1)=0," ",SUMIFS(Data!$K:$K,Data!$A:$A,Vitezistii!$B18,Data!$C:$C,Vitezistii!G$1))+SUMIFS(Data!$Q:$Q,Data!$A:$A,Vitezistii!$B18,Data!$C:$C,Vitezistii!G$1),0)</f>
        <v>2</v>
      </c>
      <c r="H18" s="39">
        <f>IFERROR(IF(SUMIFS(Data!$K:$K,Data!$A:$A,Vitezistii!$B18,Data!$C:$C,Vitezistii!H$1)=0," ",SUMIFS(Data!$K:$K,Data!$A:$A,Vitezistii!$B18,Data!$C:$C,Vitezistii!H$1))+SUMIFS(Data!$Q:$Q,Data!$A:$A,Vitezistii!$B18,Data!$C:$C,Vitezistii!H$1),0)</f>
        <v>2.5</v>
      </c>
      <c r="I18" s="39">
        <f>IFERROR(IF(SUMIFS(Data!$K:$K,Data!$A:$A,Vitezistii!$B18,Data!$C:$C,Vitezistii!I$1)=0," ",SUMIFS(Data!$K:$K,Data!$A:$A,Vitezistii!$B18,Data!$C:$C,Vitezistii!I$1))+SUMIFS(Data!$Q:$Q,Data!$A:$A,Vitezistii!$B18,Data!$C:$C,Vitezistii!I$1),0)</f>
        <v>1.5</v>
      </c>
      <c r="J18" s="39">
        <f>IFERROR(IF(SUMIFS(Data!$K:$K,Data!$A:$A,Vitezistii!$B18,Data!$C:$C,Vitezistii!J$1)=0," ",SUMIFS(Data!$K:$K,Data!$A:$A,Vitezistii!$B18,Data!$C:$C,Vitezistii!J$1))+SUMIFS(Data!$Q:$Q,Data!$A:$A,Vitezistii!$B18,Data!$C:$C,Vitezistii!J$1),0)</f>
        <v>1.5</v>
      </c>
      <c r="K18" s="39">
        <f>IFERROR(IF(SUMIFS(Data!$K:$K,Data!$A:$A,Vitezistii!$B18,Data!$C:$C,Vitezistii!K$1)=0," ",SUMIFS(Data!$K:$K,Data!$A:$A,Vitezistii!$B18,Data!$C:$C,Vitezistii!K$1))+SUMIFS(Data!$Q:$Q,Data!$A:$A,Vitezistii!$B18,Data!$C:$C,Vitezistii!K$1),0)</f>
        <v>0</v>
      </c>
      <c r="L18" s="39">
        <f>IFERROR(IF(SUMIFS(Data!$K:$K,Data!$A:$A,Vitezistii!$B18,Data!$C:$C,Vitezistii!L$1)=0," ",SUMIFS(Data!$K:$K,Data!$A:$A,Vitezistii!$B18,Data!$C:$C,Vitezistii!L$1))+SUMIFS(Data!$Q:$Q,Data!$A:$A,Vitezistii!$B18,Data!$C:$C,Vitezistii!L$1),0)</f>
        <v>3</v>
      </c>
      <c r="M18" s="39">
        <f>IFERROR(IF(SUMIFS(Data!$K:$K,Data!$A:$A,Vitezistii!$B18,Data!$C:$C,Vitezistii!M$1)=0," ",SUMIFS(Data!$K:$K,Data!$A:$A,Vitezistii!$B18,Data!$C:$C,Vitezistii!M$1))+SUMIFS(Data!$Q:$Q,Data!$A:$A,Vitezistii!$B18,Data!$C:$C,Vitezistii!M$1),0)</f>
        <v>2</v>
      </c>
      <c r="N18" s="39">
        <f>IFERROR(IF(SUMIFS(Data!$K:$K,Data!$A:$A,Vitezistii!$B18,Data!$C:$C,Vitezistii!N$1)=0," ",SUMIFS(Data!$K:$K,Data!$A:$A,Vitezistii!$B18,Data!$C:$C,Vitezistii!N$1))+SUMIFS(Data!$Q:$Q,Data!$A:$A,Vitezistii!$B18,Data!$C:$C,Vitezistii!N$1),0)</f>
        <v>3.5</v>
      </c>
      <c r="O18" s="39">
        <f>IFERROR(IF(SUMIFS(Data!$K:$K,Data!$A:$A,Vitezistii!$B18,Data!$C:$C,Vitezistii!O$1)=0," ",SUMIFS(Data!$K:$K,Data!$A:$A,Vitezistii!$B18,Data!$C:$C,Vitezistii!O$1))+SUMIFS(Data!$Q:$Q,Data!$A:$A,Vitezistii!$B18,Data!$C:$C,Vitezistii!O$1),0)</f>
        <v>2</v>
      </c>
      <c r="P18" s="39">
        <f>IFERROR(IF(SUMIFS(Data!$K:$K,Data!$A:$A,Vitezistii!$B18,Data!$C:$C,Vitezistii!P$1)=0," ",SUMIFS(Data!$K:$K,Data!$A:$A,Vitezistii!$B18,Data!$C:$C,Vitezistii!P$1))+SUMIFS(Data!$Q:$Q,Data!$A:$A,Vitezistii!$B18,Data!$C:$C,Vitezistii!P$1),0)</f>
        <v>1.5</v>
      </c>
      <c r="Q18" s="39">
        <f>IFERROR(IF(SUMIFS(Data!$K:$K,Data!$A:$A,Vitezistii!$B18,Data!$C:$C,Vitezistii!Q$1)=0," ",SUMIFS(Data!$K:$K,Data!$A:$A,Vitezistii!$B18,Data!$C:$C,Vitezistii!Q$1))+SUMIFS(Data!$Q:$Q,Data!$A:$A,Vitezistii!$B18,Data!$C:$C,Vitezistii!Q$1),0)</f>
        <v>1.5</v>
      </c>
      <c r="R18" s="39">
        <f t="shared" si="0"/>
        <v>32</v>
      </c>
      <c r="S18" s="39">
        <f>SUMIFS(Data!D:D,Data!A:A,Vitezistii!B18)</f>
        <v>227.03</v>
      </c>
      <c r="T18" s="14">
        <f>SUMIFS(Data!I:I,Data!A:A,Vitezistii!B18)/COUNTIF(Data!A:A,Vitezistii!B18)</f>
        <v>3.0157964255651307E-3</v>
      </c>
    </row>
    <row r="19" spans="1:20" ht="13.8" x14ac:dyDescent="0.3">
      <c r="A19" s="151">
        <v>18</v>
      </c>
      <c r="B19" s="38" t="s">
        <v>103</v>
      </c>
      <c r="C19" s="39">
        <f>IFERROR(IF(SUMIFS(Data!$K:$K,Data!$A:$A,Vitezistii!$B19,Data!$C:$C,Vitezistii!C$1)=0," ",SUMIFS(Data!$K:$K,Data!$A:$A,Vitezistii!$B19,Data!$C:$C,Vitezistii!C$1))+SUMIFS(Data!$Q:$Q,Data!$A:$A,Vitezistii!$B19,Data!$C:$C,Vitezistii!C$1),0)</f>
        <v>1</v>
      </c>
      <c r="D19" s="39">
        <f>IFERROR(IF(SUMIFS(Data!$K:$K,Data!$A:$A,Vitezistii!$B19,Data!$C:$C,Vitezistii!D$1)=0," ",SUMIFS(Data!$K:$K,Data!$A:$A,Vitezistii!$B19,Data!$C:$C,Vitezistii!D$1))+SUMIFS(Data!$Q:$Q,Data!$A:$A,Vitezistii!$B19,Data!$C:$C,Vitezistii!D$1),0)</f>
        <v>2.5</v>
      </c>
      <c r="E19" s="39">
        <f>IFERROR(IF(SUMIFS(Data!$K:$K,Data!$A:$A,Vitezistii!$B19,Data!$C:$C,Vitezistii!E$1)=0," ",SUMIFS(Data!$K:$K,Data!$A:$A,Vitezistii!$B19,Data!$C:$C,Vitezistii!E$1))+SUMIFS(Data!$Q:$Q,Data!$A:$A,Vitezistii!$B19,Data!$C:$C,Vitezistii!E$1),0)</f>
        <v>3</v>
      </c>
      <c r="F19" s="39">
        <f>IFERROR(IF(SUMIFS(Data!$K:$K,Data!$A:$A,Vitezistii!$B19,Data!$C:$C,Vitezistii!F$1)=0," ",SUMIFS(Data!$K:$K,Data!$A:$A,Vitezistii!$B19,Data!$C:$C,Vitezistii!F$1))+SUMIFS(Data!$Q:$Q,Data!$A:$A,Vitezistii!$B19,Data!$C:$C,Vitezistii!F$1),0)</f>
        <v>1.5</v>
      </c>
      <c r="G19" s="39">
        <f>IFERROR(IF(SUMIFS(Data!$K:$K,Data!$A:$A,Vitezistii!$B19,Data!$C:$C,Vitezistii!G$1)=0," ",SUMIFS(Data!$K:$K,Data!$A:$A,Vitezistii!$B19,Data!$C:$C,Vitezistii!G$1))+SUMIFS(Data!$Q:$Q,Data!$A:$A,Vitezistii!$B19,Data!$C:$C,Vitezistii!G$1),0)</f>
        <v>3</v>
      </c>
      <c r="H19" s="39">
        <f>IFERROR(IF(SUMIFS(Data!$K:$K,Data!$A:$A,Vitezistii!$B19,Data!$C:$C,Vitezistii!H$1)=0," ",SUMIFS(Data!$K:$K,Data!$A:$A,Vitezistii!$B19,Data!$C:$C,Vitezistii!H$1))+SUMIFS(Data!$Q:$Q,Data!$A:$A,Vitezistii!$B19,Data!$C:$C,Vitezistii!H$1),0)</f>
        <v>2</v>
      </c>
      <c r="I19" s="39">
        <f>IFERROR(IF(SUMIFS(Data!$K:$K,Data!$A:$A,Vitezistii!$B19,Data!$C:$C,Vitezistii!I$1)=0," ",SUMIFS(Data!$K:$K,Data!$A:$A,Vitezistii!$B19,Data!$C:$C,Vitezistii!I$1))+SUMIFS(Data!$Q:$Q,Data!$A:$A,Vitezistii!$B19,Data!$C:$C,Vitezistii!I$1),0)</f>
        <v>1.5</v>
      </c>
      <c r="J19" s="39">
        <f>IFERROR(IF(SUMIFS(Data!$K:$K,Data!$A:$A,Vitezistii!$B19,Data!$C:$C,Vitezistii!J$1)=0," ",SUMIFS(Data!$K:$K,Data!$A:$A,Vitezistii!$B19,Data!$C:$C,Vitezistii!J$1))+SUMIFS(Data!$Q:$Q,Data!$A:$A,Vitezistii!$B19,Data!$C:$C,Vitezistii!J$1),0)</f>
        <v>0</v>
      </c>
      <c r="K19" s="39">
        <f>IFERROR(IF(SUMIFS(Data!$K:$K,Data!$A:$A,Vitezistii!$B19,Data!$C:$C,Vitezistii!K$1)=0," ",SUMIFS(Data!$K:$K,Data!$A:$A,Vitezistii!$B19,Data!$C:$C,Vitezistii!K$1))+SUMIFS(Data!$Q:$Q,Data!$A:$A,Vitezistii!$B19,Data!$C:$C,Vitezistii!K$1),0)</f>
        <v>0</v>
      </c>
      <c r="L19" s="39">
        <f>IFERROR(IF(SUMIFS(Data!$K:$K,Data!$A:$A,Vitezistii!$B19,Data!$C:$C,Vitezistii!L$1)=0," ",SUMIFS(Data!$K:$K,Data!$A:$A,Vitezistii!$B19,Data!$C:$C,Vitezistii!L$1))+SUMIFS(Data!$Q:$Q,Data!$A:$A,Vitezistii!$B19,Data!$C:$C,Vitezistii!L$1),0)</f>
        <v>4</v>
      </c>
      <c r="M19" s="39">
        <f>IFERROR(IF(SUMIFS(Data!$K:$K,Data!$A:$A,Vitezistii!$B19,Data!$C:$C,Vitezistii!M$1)=0," ",SUMIFS(Data!$K:$K,Data!$A:$A,Vitezistii!$B19,Data!$C:$C,Vitezistii!M$1))+SUMIFS(Data!$Q:$Q,Data!$A:$A,Vitezistii!$B19,Data!$C:$C,Vitezistii!M$1),0)</f>
        <v>3.5</v>
      </c>
      <c r="N19" s="39">
        <f>IFERROR(IF(SUMIFS(Data!$K:$K,Data!$A:$A,Vitezistii!$B19,Data!$C:$C,Vitezistii!N$1)=0," ",SUMIFS(Data!$K:$K,Data!$A:$A,Vitezistii!$B19,Data!$C:$C,Vitezistii!N$1))+SUMIFS(Data!$Q:$Q,Data!$A:$A,Vitezistii!$B19,Data!$C:$C,Vitezistii!N$1),0)</f>
        <v>2.5</v>
      </c>
      <c r="O19" s="39">
        <f>IFERROR(IF(SUMIFS(Data!$K:$K,Data!$A:$A,Vitezistii!$B19,Data!$C:$C,Vitezistii!O$1)=0," ",SUMIFS(Data!$K:$K,Data!$A:$A,Vitezistii!$B19,Data!$C:$C,Vitezistii!O$1))+SUMIFS(Data!$Q:$Q,Data!$A:$A,Vitezistii!$B19,Data!$C:$C,Vitezistii!O$1),0)</f>
        <v>3.5</v>
      </c>
      <c r="P19" s="39">
        <f>IFERROR(IF(SUMIFS(Data!$K:$K,Data!$A:$A,Vitezistii!$B19,Data!$C:$C,Vitezistii!P$1)=0," ",SUMIFS(Data!$K:$K,Data!$A:$A,Vitezistii!$B19,Data!$C:$C,Vitezistii!P$1))+SUMIFS(Data!$Q:$Q,Data!$A:$A,Vitezistii!$B19,Data!$C:$C,Vitezistii!P$1),0)</f>
        <v>2.5</v>
      </c>
      <c r="Q19" s="39">
        <f>IFERROR(IF(SUMIFS(Data!$K:$K,Data!$A:$A,Vitezistii!$B19,Data!$C:$C,Vitezistii!Q$1)=0," ",SUMIFS(Data!$K:$K,Data!$A:$A,Vitezistii!$B19,Data!$C:$C,Vitezistii!Q$1))+SUMIFS(Data!$Q:$Q,Data!$A:$A,Vitezistii!$B19,Data!$C:$C,Vitezistii!Q$1),0)</f>
        <v>2</v>
      </c>
      <c r="R19" s="39">
        <f t="shared" si="0"/>
        <v>32.5</v>
      </c>
      <c r="S19" s="39">
        <f>SUMIFS(Data!D:D,Data!A:A,Vitezistii!B19)</f>
        <v>125.08000000000004</v>
      </c>
      <c r="T19" s="14">
        <f>SUMIFS(Data!I:I,Data!A:A,Vitezistii!B19)/COUNTIF(Data!A:A,Vitezistii!B19)</f>
        <v>3.0689419946573464E-3</v>
      </c>
    </row>
    <row r="20" spans="1:20" ht="13.8" x14ac:dyDescent="0.3">
      <c r="A20" s="151">
        <v>19</v>
      </c>
      <c r="B20" s="38" t="s">
        <v>154</v>
      </c>
      <c r="C20" s="39">
        <f>IFERROR(IF(SUMIFS(Data!$K:$K,Data!$A:$A,Vitezistii!$B20,Data!$C:$C,Vitezistii!C$1)=0," ",SUMIFS(Data!$K:$K,Data!$A:$A,Vitezistii!$B20,Data!$C:$C,Vitezistii!C$1))+SUMIFS(Data!$Q:$Q,Data!$A:$A,Vitezistii!$B20,Data!$C:$C,Vitezistii!C$1),0)</f>
        <v>2</v>
      </c>
      <c r="D20" s="39">
        <f>IFERROR(IF(SUMIFS(Data!$K:$K,Data!$A:$A,Vitezistii!$B20,Data!$C:$C,Vitezistii!D$1)=0," ",SUMIFS(Data!$K:$K,Data!$A:$A,Vitezistii!$B20,Data!$C:$C,Vitezistii!D$1))+SUMIFS(Data!$Q:$Q,Data!$A:$A,Vitezistii!$B20,Data!$C:$C,Vitezistii!D$1),0)</f>
        <v>2.5</v>
      </c>
      <c r="E20" s="39">
        <f>IFERROR(IF(SUMIFS(Data!$K:$K,Data!$A:$A,Vitezistii!$B20,Data!$C:$C,Vitezistii!E$1)=0," ",SUMIFS(Data!$K:$K,Data!$A:$A,Vitezistii!$B20,Data!$C:$C,Vitezistii!E$1))+SUMIFS(Data!$Q:$Q,Data!$A:$A,Vitezistii!$B20,Data!$C:$C,Vitezistii!E$1),0)</f>
        <v>2.5</v>
      </c>
      <c r="F20" s="39">
        <f>IFERROR(IF(SUMIFS(Data!$K:$K,Data!$A:$A,Vitezistii!$B20,Data!$C:$C,Vitezistii!F$1)=0," ",SUMIFS(Data!$K:$K,Data!$A:$A,Vitezistii!$B20,Data!$C:$C,Vitezistii!F$1))+SUMIFS(Data!$Q:$Q,Data!$A:$A,Vitezistii!$B20,Data!$C:$C,Vitezistii!F$1),0)</f>
        <v>4.5</v>
      </c>
      <c r="G20" s="39">
        <f>IFERROR(IF(SUMIFS(Data!$K:$K,Data!$A:$A,Vitezistii!$B20,Data!$C:$C,Vitezistii!G$1)=0," ",SUMIFS(Data!$K:$K,Data!$A:$A,Vitezistii!$B20,Data!$C:$C,Vitezistii!G$1))+SUMIFS(Data!$Q:$Q,Data!$A:$A,Vitezistii!$B20,Data!$C:$C,Vitezistii!G$1),0)</f>
        <v>2</v>
      </c>
      <c r="H20" s="39">
        <f>IFERROR(IF(SUMIFS(Data!$K:$K,Data!$A:$A,Vitezistii!$B20,Data!$C:$C,Vitezistii!H$1)=0," ",SUMIFS(Data!$K:$K,Data!$A:$A,Vitezistii!$B20,Data!$C:$C,Vitezistii!H$1))+SUMIFS(Data!$Q:$Q,Data!$A:$A,Vitezistii!$B20,Data!$C:$C,Vitezistii!H$1),0)</f>
        <v>0</v>
      </c>
      <c r="I20" s="39">
        <f>IFERROR(IF(SUMIFS(Data!$K:$K,Data!$A:$A,Vitezistii!$B20,Data!$C:$C,Vitezistii!I$1)=0," ",SUMIFS(Data!$K:$K,Data!$A:$A,Vitezistii!$B20,Data!$C:$C,Vitezistii!I$1))+SUMIFS(Data!$Q:$Q,Data!$A:$A,Vitezistii!$B20,Data!$C:$C,Vitezistii!I$1),0)</f>
        <v>2.5</v>
      </c>
      <c r="J20" s="39">
        <f>IFERROR(IF(SUMIFS(Data!$K:$K,Data!$A:$A,Vitezistii!$B20,Data!$C:$C,Vitezistii!J$1)=0," ",SUMIFS(Data!$K:$K,Data!$A:$A,Vitezistii!$B20,Data!$C:$C,Vitezistii!J$1))+SUMIFS(Data!$Q:$Q,Data!$A:$A,Vitezistii!$B20,Data!$C:$C,Vitezistii!J$1),0)</f>
        <v>2.5</v>
      </c>
      <c r="K20" s="39">
        <f>IFERROR(IF(SUMIFS(Data!$K:$K,Data!$A:$A,Vitezistii!$B20,Data!$C:$C,Vitezistii!K$1)=0," ",SUMIFS(Data!$K:$K,Data!$A:$A,Vitezistii!$B20,Data!$C:$C,Vitezistii!K$1))+SUMIFS(Data!$Q:$Q,Data!$A:$A,Vitezistii!$B20,Data!$C:$C,Vitezistii!K$1),0)</f>
        <v>2.5</v>
      </c>
      <c r="L20" s="39">
        <f>IFERROR(IF(SUMIFS(Data!$K:$K,Data!$A:$A,Vitezistii!$B20,Data!$C:$C,Vitezistii!L$1)=0," ",SUMIFS(Data!$K:$K,Data!$A:$A,Vitezistii!$B20,Data!$C:$C,Vitezistii!L$1))+SUMIFS(Data!$Q:$Q,Data!$A:$A,Vitezistii!$B20,Data!$C:$C,Vitezistii!L$1),0)</f>
        <v>2</v>
      </c>
      <c r="M20" s="39">
        <f>IFERROR(IF(SUMIFS(Data!$K:$K,Data!$A:$A,Vitezistii!$B20,Data!$C:$C,Vitezistii!M$1)=0," ",SUMIFS(Data!$K:$K,Data!$A:$A,Vitezistii!$B20,Data!$C:$C,Vitezistii!M$1))+SUMIFS(Data!$Q:$Q,Data!$A:$A,Vitezistii!$B20,Data!$C:$C,Vitezistii!M$1),0)</f>
        <v>1.5</v>
      </c>
      <c r="N20" s="39">
        <f>IFERROR(IF(SUMIFS(Data!$K:$K,Data!$A:$A,Vitezistii!$B20,Data!$C:$C,Vitezistii!N$1)=0," ",SUMIFS(Data!$K:$K,Data!$A:$A,Vitezistii!$B20,Data!$C:$C,Vitezistii!N$1))+SUMIFS(Data!$Q:$Q,Data!$A:$A,Vitezistii!$B20,Data!$C:$C,Vitezistii!N$1),0)</f>
        <v>2.5</v>
      </c>
      <c r="O20" s="39">
        <f>IFERROR(IF(SUMIFS(Data!$K:$K,Data!$A:$A,Vitezistii!$B20,Data!$C:$C,Vitezistii!O$1)=0," ",SUMIFS(Data!$K:$K,Data!$A:$A,Vitezistii!$B20,Data!$C:$C,Vitezistii!O$1))+SUMIFS(Data!$Q:$Q,Data!$A:$A,Vitezistii!$B20,Data!$C:$C,Vitezistii!O$1),0)</f>
        <v>1.5</v>
      </c>
      <c r="P20" s="39">
        <f>IFERROR(IF(SUMIFS(Data!$K:$K,Data!$A:$A,Vitezistii!$B20,Data!$C:$C,Vitezistii!P$1)=0," ",SUMIFS(Data!$K:$K,Data!$A:$A,Vitezistii!$B20,Data!$C:$C,Vitezistii!P$1))+SUMIFS(Data!$Q:$Q,Data!$A:$A,Vitezistii!$B20,Data!$C:$C,Vitezistii!P$1),0)</f>
        <v>1</v>
      </c>
      <c r="Q20" s="39">
        <f>IFERROR(IF(SUMIFS(Data!$K:$K,Data!$A:$A,Vitezistii!$B20,Data!$C:$C,Vitezistii!Q$1)=0," ",SUMIFS(Data!$K:$K,Data!$A:$A,Vitezistii!$B20,Data!$C:$C,Vitezistii!Q$1))+SUMIFS(Data!$Q:$Q,Data!$A:$A,Vitezistii!$B20,Data!$C:$C,Vitezistii!Q$1),0)</f>
        <v>2</v>
      </c>
      <c r="R20" s="39">
        <f t="shared" si="0"/>
        <v>31.5</v>
      </c>
      <c r="S20" s="39">
        <f>SUMIFS(Data!D:D,Data!A:A,Vitezistii!B20)</f>
        <v>205.25999999999996</v>
      </c>
      <c r="T20" s="14">
        <f>SUMIFS(Data!I:I,Data!A:A,Vitezistii!B20)/COUNTIF(Data!A:A,Vitezistii!B20)</f>
        <v>3.0243146974067428E-3</v>
      </c>
    </row>
    <row r="21" spans="1:20" ht="13.8" x14ac:dyDescent="0.3">
      <c r="A21" s="151">
        <v>20</v>
      </c>
      <c r="B21" s="38" t="s">
        <v>51</v>
      </c>
      <c r="C21" s="39">
        <f>IFERROR(IF(SUMIFS(Data!$K:$K,Data!$A:$A,Vitezistii!$B21,Data!$C:$C,Vitezistii!C$1)=0," ",SUMIFS(Data!$K:$K,Data!$A:$A,Vitezistii!$B21,Data!$C:$C,Vitezistii!C$1))+SUMIFS(Data!$Q:$Q,Data!$A:$A,Vitezistii!$B21,Data!$C:$C,Vitezistii!C$1),0)</f>
        <v>0</v>
      </c>
      <c r="D21" s="39">
        <f>IFERROR(IF(SUMIFS(Data!$K:$K,Data!$A:$A,Vitezistii!$B21,Data!$C:$C,Vitezistii!D$1)=0," ",SUMIFS(Data!$K:$K,Data!$A:$A,Vitezistii!$B21,Data!$C:$C,Vitezistii!D$1))+SUMIFS(Data!$Q:$Q,Data!$A:$A,Vitezistii!$B21,Data!$C:$C,Vitezistii!D$1),0)</f>
        <v>2.5</v>
      </c>
      <c r="E21" s="39">
        <f>IFERROR(IF(SUMIFS(Data!$K:$K,Data!$A:$A,Vitezistii!$B21,Data!$C:$C,Vitezistii!E$1)=0," ",SUMIFS(Data!$K:$K,Data!$A:$A,Vitezistii!$B21,Data!$C:$C,Vitezistii!E$1))+SUMIFS(Data!$Q:$Q,Data!$A:$A,Vitezistii!$B21,Data!$C:$C,Vitezistii!E$1),0)</f>
        <v>0</v>
      </c>
      <c r="F21" s="39">
        <f>IFERROR(IF(SUMIFS(Data!$K:$K,Data!$A:$A,Vitezistii!$B21,Data!$C:$C,Vitezistii!F$1)=0," ",SUMIFS(Data!$K:$K,Data!$A:$A,Vitezistii!$B21,Data!$C:$C,Vitezistii!F$1))+SUMIFS(Data!$Q:$Q,Data!$A:$A,Vitezistii!$B21,Data!$C:$C,Vitezistii!F$1),0)</f>
        <v>2</v>
      </c>
      <c r="G21" s="39">
        <f>IFERROR(IF(SUMIFS(Data!$K:$K,Data!$A:$A,Vitezistii!$B21,Data!$C:$C,Vitezistii!G$1)=0," ",SUMIFS(Data!$K:$K,Data!$A:$A,Vitezistii!$B21,Data!$C:$C,Vitezistii!G$1))+SUMIFS(Data!$Q:$Q,Data!$A:$A,Vitezistii!$B21,Data!$C:$C,Vitezistii!G$1),0)</f>
        <v>3</v>
      </c>
      <c r="H21" s="39">
        <f>IFERROR(IF(SUMIFS(Data!$K:$K,Data!$A:$A,Vitezistii!$B21,Data!$C:$C,Vitezistii!H$1)=0," ",SUMIFS(Data!$K:$K,Data!$A:$A,Vitezistii!$B21,Data!$C:$C,Vitezistii!H$1))+SUMIFS(Data!$Q:$Q,Data!$A:$A,Vitezistii!$B21,Data!$C:$C,Vitezistii!H$1),0)</f>
        <v>1</v>
      </c>
      <c r="I21" s="39">
        <f>IFERROR(IF(SUMIFS(Data!$K:$K,Data!$A:$A,Vitezistii!$B21,Data!$C:$C,Vitezistii!I$1)=0," ",SUMIFS(Data!$K:$K,Data!$A:$A,Vitezistii!$B21,Data!$C:$C,Vitezistii!I$1))+SUMIFS(Data!$Q:$Q,Data!$A:$A,Vitezistii!$B21,Data!$C:$C,Vitezistii!I$1),0)</f>
        <v>0</v>
      </c>
      <c r="J21" s="39">
        <f>IFERROR(IF(SUMIFS(Data!$K:$K,Data!$A:$A,Vitezistii!$B21,Data!$C:$C,Vitezistii!J$1)=0," ",SUMIFS(Data!$K:$K,Data!$A:$A,Vitezistii!$B21,Data!$C:$C,Vitezistii!J$1))+SUMIFS(Data!$Q:$Q,Data!$A:$A,Vitezistii!$B21,Data!$C:$C,Vitezistii!J$1),0)</f>
        <v>3</v>
      </c>
      <c r="K21" s="39">
        <f>IFERROR(IF(SUMIFS(Data!$K:$K,Data!$A:$A,Vitezistii!$B21,Data!$C:$C,Vitezistii!K$1)=0," ",SUMIFS(Data!$K:$K,Data!$A:$A,Vitezistii!$B21,Data!$C:$C,Vitezistii!K$1))+SUMIFS(Data!$Q:$Q,Data!$A:$A,Vitezistii!$B21,Data!$C:$C,Vitezistii!K$1),0)</f>
        <v>1</v>
      </c>
      <c r="L21" s="39">
        <f>IFERROR(IF(SUMIFS(Data!$K:$K,Data!$A:$A,Vitezistii!$B21,Data!$C:$C,Vitezistii!L$1)=0," ",SUMIFS(Data!$K:$K,Data!$A:$A,Vitezistii!$B21,Data!$C:$C,Vitezistii!L$1))+SUMIFS(Data!$Q:$Q,Data!$A:$A,Vitezistii!$B21,Data!$C:$C,Vitezistii!L$1),0)</f>
        <v>3.5</v>
      </c>
      <c r="M21" s="39">
        <f>IFERROR(IF(SUMIFS(Data!$K:$K,Data!$A:$A,Vitezistii!$B21,Data!$C:$C,Vitezistii!M$1)=0," ",SUMIFS(Data!$K:$K,Data!$A:$A,Vitezistii!$B21,Data!$C:$C,Vitezistii!M$1))+SUMIFS(Data!$Q:$Q,Data!$A:$A,Vitezistii!$B21,Data!$C:$C,Vitezistii!M$1),0)</f>
        <v>3</v>
      </c>
      <c r="N21" s="39">
        <f>IFERROR(IF(SUMIFS(Data!$K:$K,Data!$A:$A,Vitezistii!$B21,Data!$C:$C,Vitezistii!N$1)=0," ",SUMIFS(Data!$K:$K,Data!$A:$A,Vitezistii!$B21,Data!$C:$C,Vitezistii!N$1))+SUMIFS(Data!$Q:$Q,Data!$A:$A,Vitezistii!$B21,Data!$C:$C,Vitezistii!N$1),0)</f>
        <v>1</v>
      </c>
      <c r="O21" s="39">
        <f>IFERROR(IF(SUMIFS(Data!$K:$K,Data!$A:$A,Vitezistii!$B21,Data!$C:$C,Vitezistii!O$1)=0," ",SUMIFS(Data!$K:$K,Data!$A:$A,Vitezistii!$B21,Data!$C:$C,Vitezistii!O$1))+SUMIFS(Data!$Q:$Q,Data!$A:$A,Vitezistii!$B21,Data!$C:$C,Vitezistii!O$1),0)</f>
        <v>3.5</v>
      </c>
      <c r="P21" s="39">
        <f>IFERROR(IF(SUMIFS(Data!$K:$K,Data!$A:$A,Vitezistii!$B21,Data!$C:$C,Vitezistii!P$1)=0," ",SUMIFS(Data!$K:$K,Data!$A:$A,Vitezistii!$B21,Data!$C:$C,Vitezistii!P$1))+SUMIFS(Data!$Q:$Q,Data!$A:$A,Vitezistii!$B21,Data!$C:$C,Vitezistii!P$1),0)</f>
        <v>3.5</v>
      </c>
      <c r="Q21" s="39">
        <f>IFERROR(IF(SUMIFS(Data!$K:$K,Data!$A:$A,Vitezistii!$B21,Data!$C:$C,Vitezistii!Q$1)=0," ",SUMIFS(Data!$K:$K,Data!$A:$A,Vitezistii!$B21,Data!$C:$C,Vitezistii!Q$1))+SUMIFS(Data!$Q:$Q,Data!$A:$A,Vitezistii!$B21,Data!$C:$C,Vitezistii!Q$1),0)</f>
        <v>2</v>
      </c>
      <c r="R21" s="39">
        <f t="shared" si="0"/>
        <v>29</v>
      </c>
      <c r="S21" s="39">
        <f>SUMIFS(Data!D:D,Data!A:A,Vitezistii!B21)</f>
        <v>456.62</v>
      </c>
      <c r="T21" s="14">
        <f>SUMIFS(Data!I:I,Data!A:A,Vitezistii!B21)/COUNTIF(Data!A:A,Vitezistii!B21)</f>
        <v>3.767660347649894E-3</v>
      </c>
    </row>
    <row r="22" spans="1:20" ht="13.8" x14ac:dyDescent="0.3">
      <c r="A22" s="151">
        <v>21</v>
      </c>
      <c r="B22" s="38" t="s">
        <v>202</v>
      </c>
      <c r="C22" s="39">
        <f>IFERROR(IF(SUMIFS(Data!$K:$K,Data!$A:$A,Vitezistii!$B22,Data!$C:$C,Vitezistii!C$1)=0," ",SUMIFS(Data!$K:$K,Data!$A:$A,Vitezistii!$B22,Data!$C:$C,Vitezistii!C$1))+SUMIFS(Data!$Q:$Q,Data!$A:$A,Vitezistii!$B22,Data!$C:$C,Vitezistii!C$1),0)</f>
        <v>0</v>
      </c>
      <c r="D22" s="39">
        <f>IFERROR(IF(SUMIFS(Data!$K:$K,Data!$A:$A,Vitezistii!$B22,Data!$C:$C,Vitezistii!D$1)=0," ",SUMIFS(Data!$K:$K,Data!$A:$A,Vitezistii!$B22,Data!$C:$C,Vitezistii!D$1))+SUMIFS(Data!$Q:$Q,Data!$A:$A,Vitezistii!$B22,Data!$C:$C,Vitezistii!D$1),0)</f>
        <v>1</v>
      </c>
      <c r="E22" s="39">
        <f>IFERROR(IF(SUMIFS(Data!$K:$K,Data!$A:$A,Vitezistii!$B22,Data!$C:$C,Vitezistii!E$1)=0," ",SUMIFS(Data!$K:$K,Data!$A:$A,Vitezistii!$B22,Data!$C:$C,Vitezistii!E$1))+SUMIFS(Data!$Q:$Q,Data!$A:$A,Vitezistii!$B22,Data!$C:$C,Vitezistii!E$1),0)</f>
        <v>0</v>
      </c>
      <c r="F22" s="39">
        <f>IFERROR(IF(SUMIFS(Data!$K:$K,Data!$A:$A,Vitezistii!$B22,Data!$C:$C,Vitezistii!F$1)=0," ",SUMIFS(Data!$K:$K,Data!$A:$A,Vitezistii!$B22,Data!$C:$C,Vitezistii!F$1))+SUMIFS(Data!$Q:$Q,Data!$A:$A,Vitezistii!$B22,Data!$C:$C,Vitezistii!F$1),0)</f>
        <v>1</v>
      </c>
      <c r="G22" s="39">
        <f>IFERROR(IF(SUMIFS(Data!$K:$K,Data!$A:$A,Vitezistii!$B22,Data!$C:$C,Vitezistii!G$1)=0," ",SUMIFS(Data!$K:$K,Data!$A:$A,Vitezistii!$B22,Data!$C:$C,Vitezistii!G$1))+SUMIFS(Data!$Q:$Q,Data!$A:$A,Vitezistii!$B22,Data!$C:$C,Vitezistii!G$1),0)</f>
        <v>1</v>
      </c>
      <c r="H22" s="39">
        <f>IFERROR(IF(SUMIFS(Data!$K:$K,Data!$A:$A,Vitezistii!$B22,Data!$C:$C,Vitezistii!H$1)=0," ",SUMIFS(Data!$K:$K,Data!$A:$A,Vitezistii!$B22,Data!$C:$C,Vitezistii!H$1))+SUMIFS(Data!$Q:$Q,Data!$A:$A,Vitezistii!$B22,Data!$C:$C,Vitezistii!H$1),0)</f>
        <v>1.5</v>
      </c>
      <c r="I22" s="39">
        <f>IFERROR(IF(SUMIFS(Data!$K:$K,Data!$A:$A,Vitezistii!$B22,Data!$C:$C,Vitezistii!I$1)=0," ",SUMIFS(Data!$K:$K,Data!$A:$A,Vitezistii!$B22,Data!$C:$C,Vitezistii!I$1))+SUMIFS(Data!$Q:$Q,Data!$A:$A,Vitezistii!$B22,Data!$C:$C,Vitezistii!I$1),0)</f>
        <v>1</v>
      </c>
      <c r="J22" s="39">
        <f>IFERROR(IF(SUMIFS(Data!$K:$K,Data!$A:$A,Vitezistii!$B22,Data!$C:$C,Vitezistii!J$1)=0," ",SUMIFS(Data!$K:$K,Data!$A:$A,Vitezistii!$B22,Data!$C:$C,Vitezistii!J$1))+SUMIFS(Data!$Q:$Q,Data!$A:$A,Vitezistii!$B22,Data!$C:$C,Vitezistii!J$1),0)</f>
        <v>1</v>
      </c>
      <c r="K22" s="39">
        <f>IFERROR(IF(SUMIFS(Data!$K:$K,Data!$A:$A,Vitezistii!$B22,Data!$C:$C,Vitezistii!K$1)=0," ",SUMIFS(Data!$K:$K,Data!$A:$A,Vitezistii!$B22,Data!$C:$C,Vitezistii!K$1))+SUMIFS(Data!$Q:$Q,Data!$A:$A,Vitezistii!$B22,Data!$C:$C,Vitezistii!K$1),0)</f>
        <v>1</v>
      </c>
      <c r="L22" s="39">
        <f>IFERROR(IF(SUMIFS(Data!$K:$K,Data!$A:$A,Vitezistii!$B22,Data!$C:$C,Vitezistii!L$1)=0," ",SUMIFS(Data!$K:$K,Data!$A:$A,Vitezistii!$B22,Data!$C:$C,Vitezistii!L$1))+SUMIFS(Data!$Q:$Q,Data!$A:$A,Vitezistii!$B22,Data!$C:$C,Vitezistii!L$1),0)</f>
        <v>3</v>
      </c>
      <c r="M22" s="39">
        <f>IFERROR(IF(SUMIFS(Data!$K:$K,Data!$A:$A,Vitezistii!$B22,Data!$C:$C,Vitezistii!M$1)=0," ",SUMIFS(Data!$K:$K,Data!$A:$A,Vitezistii!$B22,Data!$C:$C,Vitezistii!M$1))+SUMIFS(Data!$Q:$Q,Data!$A:$A,Vitezistii!$B22,Data!$C:$C,Vitezistii!M$1),0)</f>
        <v>2.5</v>
      </c>
      <c r="N22" s="39">
        <f>IFERROR(IF(SUMIFS(Data!$K:$K,Data!$A:$A,Vitezistii!$B22,Data!$C:$C,Vitezistii!N$1)=0," ",SUMIFS(Data!$K:$K,Data!$A:$A,Vitezistii!$B22,Data!$C:$C,Vitezistii!N$1))+SUMIFS(Data!$Q:$Q,Data!$A:$A,Vitezistii!$B22,Data!$C:$C,Vitezistii!N$1),0)</f>
        <v>1.5</v>
      </c>
      <c r="O22" s="39">
        <f>IFERROR(IF(SUMIFS(Data!$K:$K,Data!$A:$A,Vitezistii!$B22,Data!$C:$C,Vitezistii!O$1)=0," ",SUMIFS(Data!$K:$K,Data!$A:$A,Vitezistii!$B22,Data!$C:$C,Vitezistii!O$1))+SUMIFS(Data!$Q:$Q,Data!$A:$A,Vitezistii!$B22,Data!$C:$C,Vitezistii!O$1),0)</f>
        <v>1</v>
      </c>
      <c r="P22" s="39">
        <f>IFERROR(IF(SUMIFS(Data!$K:$K,Data!$A:$A,Vitezistii!$B22,Data!$C:$C,Vitezistii!P$1)=0," ",SUMIFS(Data!$K:$K,Data!$A:$A,Vitezistii!$B22,Data!$C:$C,Vitezistii!P$1))+SUMIFS(Data!$Q:$Q,Data!$A:$A,Vitezistii!$B22,Data!$C:$C,Vitezistii!P$1),0)</f>
        <v>1.5</v>
      </c>
      <c r="Q22" s="39">
        <f>IFERROR(IF(SUMIFS(Data!$K:$K,Data!$A:$A,Vitezistii!$B22,Data!$C:$C,Vitezistii!Q$1)=0," ",SUMIFS(Data!$K:$K,Data!$A:$A,Vitezistii!$B22,Data!$C:$C,Vitezistii!Q$1))+SUMIFS(Data!$Q:$Q,Data!$A:$A,Vitezistii!$B22,Data!$C:$C,Vitezistii!Q$1),0)</f>
        <v>1.5</v>
      </c>
      <c r="R22" s="39">
        <f t="shared" si="0"/>
        <v>18.5</v>
      </c>
      <c r="S22" s="39">
        <f>SUMIFS(Data!D:D,Data!A:A,Vitezistii!B22)</f>
        <v>126.67</v>
      </c>
      <c r="T22" s="14">
        <f>SUMIFS(Data!I:I,Data!A:A,Vitezistii!B22)/COUNTIF(Data!A:A,Vitezistii!B22)</f>
        <v>3.5673242094296973E-3</v>
      </c>
    </row>
    <row r="23" spans="1:20" ht="13.8" x14ac:dyDescent="0.3">
      <c r="A23" s="151">
        <v>22</v>
      </c>
      <c r="B23" s="38" t="s">
        <v>196</v>
      </c>
      <c r="C23" s="39">
        <f>IFERROR(IF(SUMIFS(Data!$K:$K,Data!$A:$A,Vitezistii!$B23,Data!$C:$C,Vitezistii!C$1)=0," ",SUMIFS(Data!$K:$K,Data!$A:$A,Vitezistii!$B23,Data!$C:$C,Vitezistii!C$1))+SUMIFS(Data!$Q:$Q,Data!$A:$A,Vitezistii!$B23,Data!$C:$C,Vitezistii!C$1),0)</f>
        <v>0</v>
      </c>
      <c r="D23" s="39">
        <f>IFERROR(IF(SUMIFS(Data!$K:$K,Data!$A:$A,Vitezistii!$B23,Data!$C:$C,Vitezistii!D$1)=0," ",SUMIFS(Data!$K:$K,Data!$A:$A,Vitezistii!$B23,Data!$C:$C,Vitezistii!D$1))+SUMIFS(Data!$Q:$Q,Data!$A:$A,Vitezistii!$B23,Data!$C:$C,Vitezistii!D$1),0)</f>
        <v>1.5</v>
      </c>
      <c r="E23" s="39">
        <f>IFERROR(IF(SUMIFS(Data!$K:$K,Data!$A:$A,Vitezistii!$B23,Data!$C:$C,Vitezistii!E$1)=0," ",SUMIFS(Data!$K:$K,Data!$A:$A,Vitezistii!$B23,Data!$C:$C,Vitezistii!E$1))+SUMIFS(Data!$Q:$Q,Data!$A:$A,Vitezistii!$B23,Data!$C:$C,Vitezistii!E$1),0)</f>
        <v>1</v>
      </c>
      <c r="F23" s="39">
        <f>IFERROR(IF(SUMIFS(Data!$K:$K,Data!$A:$A,Vitezistii!$B23,Data!$C:$C,Vitezistii!F$1)=0," ",SUMIFS(Data!$K:$K,Data!$A:$A,Vitezistii!$B23,Data!$C:$C,Vitezistii!F$1))+SUMIFS(Data!$Q:$Q,Data!$A:$A,Vitezistii!$B23,Data!$C:$C,Vitezistii!F$1),0)</f>
        <v>1</v>
      </c>
      <c r="G23" s="39">
        <f>IFERROR(IF(SUMIFS(Data!$K:$K,Data!$A:$A,Vitezistii!$B23,Data!$C:$C,Vitezistii!G$1)=0," ",SUMIFS(Data!$K:$K,Data!$A:$A,Vitezistii!$B23,Data!$C:$C,Vitezistii!G$1))+SUMIFS(Data!$Q:$Q,Data!$A:$A,Vitezistii!$B23,Data!$C:$C,Vitezistii!G$1),0)</f>
        <v>1.5</v>
      </c>
      <c r="H23" s="39">
        <f>IFERROR(IF(SUMIFS(Data!$K:$K,Data!$A:$A,Vitezistii!$B23,Data!$C:$C,Vitezistii!H$1)=0," ",SUMIFS(Data!$K:$K,Data!$A:$A,Vitezistii!$B23,Data!$C:$C,Vitezistii!H$1))+SUMIFS(Data!$Q:$Q,Data!$A:$A,Vitezistii!$B23,Data!$C:$C,Vitezistii!H$1),0)</f>
        <v>0</v>
      </c>
      <c r="I23" s="39">
        <f>IFERROR(IF(SUMIFS(Data!$K:$K,Data!$A:$A,Vitezistii!$B23,Data!$C:$C,Vitezistii!I$1)=0," ",SUMIFS(Data!$K:$K,Data!$A:$A,Vitezistii!$B23,Data!$C:$C,Vitezistii!I$1))+SUMIFS(Data!$Q:$Q,Data!$A:$A,Vitezistii!$B23,Data!$C:$C,Vitezistii!I$1),0)</f>
        <v>0</v>
      </c>
      <c r="J23" s="39">
        <f>IFERROR(IF(SUMIFS(Data!$K:$K,Data!$A:$A,Vitezistii!$B23,Data!$C:$C,Vitezistii!J$1)=0," ",SUMIFS(Data!$K:$K,Data!$A:$A,Vitezistii!$B23,Data!$C:$C,Vitezistii!J$1))+SUMIFS(Data!$Q:$Q,Data!$A:$A,Vitezistii!$B23,Data!$C:$C,Vitezistii!J$1),0)</f>
        <v>3</v>
      </c>
      <c r="K23" s="39">
        <f>IFERROR(IF(SUMIFS(Data!$K:$K,Data!$A:$A,Vitezistii!$B23,Data!$C:$C,Vitezistii!K$1)=0," ",SUMIFS(Data!$K:$K,Data!$A:$A,Vitezistii!$B23,Data!$C:$C,Vitezistii!K$1))+SUMIFS(Data!$Q:$Q,Data!$A:$A,Vitezistii!$B23,Data!$C:$C,Vitezistii!K$1),0)</f>
        <v>1</v>
      </c>
      <c r="L23" s="39">
        <f>IFERROR(IF(SUMIFS(Data!$K:$K,Data!$A:$A,Vitezistii!$B23,Data!$C:$C,Vitezistii!L$1)=0," ",SUMIFS(Data!$K:$K,Data!$A:$A,Vitezistii!$B23,Data!$C:$C,Vitezistii!L$1))+SUMIFS(Data!$Q:$Q,Data!$A:$A,Vitezistii!$B23,Data!$C:$C,Vitezistii!L$1),0)</f>
        <v>0</v>
      </c>
      <c r="M23" s="39">
        <f>IFERROR(IF(SUMIFS(Data!$K:$K,Data!$A:$A,Vitezistii!$B23,Data!$C:$C,Vitezistii!M$1)=0," ",SUMIFS(Data!$K:$K,Data!$A:$A,Vitezistii!$B23,Data!$C:$C,Vitezistii!M$1))+SUMIFS(Data!$Q:$Q,Data!$A:$A,Vitezistii!$B23,Data!$C:$C,Vitezistii!M$1),0)</f>
        <v>1</v>
      </c>
      <c r="N23" s="39">
        <f>IFERROR(IF(SUMIFS(Data!$K:$K,Data!$A:$A,Vitezistii!$B23,Data!$C:$C,Vitezistii!N$1)=0," ",SUMIFS(Data!$K:$K,Data!$A:$A,Vitezistii!$B23,Data!$C:$C,Vitezistii!N$1))+SUMIFS(Data!$Q:$Q,Data!$A:$A,Vitezistii!$B23,Data!$C:$C,Vitezistii!N$1),0)</f>
        <v>1</v>
      </c>
      <c r="O23" s="39">
        <f>IFERROR(IF(SUMIFS(Data!$K:$K,Data!$A:$A,Vitezistii!$B23,Data!$C:$C,Vitezistii!O$1)=0," ",SUMIFS(Data!$K:$K,Data!$A:$A,Vitezistii!$B23,Data!$C:$C,Vitezistii!O$1))+SUMIFS(Data!$Q:$Q,Data!$A:$A,Vitezistii!$B23,Data!$C:$C,Vitezistii!O$1),0)</f>
        <v>4</v>
      </c>
      <c r="P23" s="39">
        <f>IFERROR(IF(SUMIFS(Data!$K:$K,Data!$A:$A,Vitezistii!$B23,Data!$C:$C,Vitezistii!P$1)=0," ",SUMIFS(Data!$K:$K,Data!$A:$A,Vitezistii!$B23,Data!$C:$C,Vitezistii!P$1))+SUMIFS(Data!$Q:$Q,Data!$A:$A,Vitezistii!$B23,Data!$C:$C,Vitezistii!P$1),0)</f>
        <v>1</v>
      </c>
      <c r="Q23" s="39">
        <f>IFERROR(IF(SUMIFS(Data!$K:$K,Data!$A:$A,Vitezistii!$B23,Data!$C:$C,Vitezistii!Q$1)=0," ",SUMIFS(Data!$K:$K,Data!$A:$A,Vitezistii!$B23,Data!$C:$C,Vitezistii!Q$1))+SUMIFS(Data!$Q:$Q,Data!$A:$A,Vitezistii!$B23,Data!$C:$C,Vitezistii!Q$1),0)</f>
        <v>1.5</v>
      </c>
      <c r="R23" s="39">
        <f t="shared" si="0"/>
        <v>17.5</v>
      </c>
      <c r="S23" s="39">
        <f>SUMIFS(Data!D:D,Data!A:A,Vitezistii!B23)</f>
        <v>166.25</v>
      </c>
      <c r="T23" s="14">
        <f>SUMIFS(Data!I:I,Data!A:A,Vitezistii!B23)/COUNTIF(Data!A:A,Vitezistii!B23)</f>
        <v>4.1080545904516744E-3</v>
      </c>
    </row>
    <row r="24" spans="1:20" ht="13.8" x14ac:dyDescent="0.3">
      <c r="A24" s="151">
        <v>23</v>
      </c>
      <c r="B24" s="38" t="s">
        <v>117</v>
      </c>
      <c r="C24" s="39">
        <f>IFERROR(IF(SUMIFS(Data!$K:$K,Data!$A:$A,Vitezistii!$B24,Data!$C:$C,Vitezistii!C$1)=0," ",SUMIFS(Data!$K:$K,Data!$A:$A,Vitezistii!$B24,Data!$C:$C,Vitezistii!C$1))+SUMIFS(Data!$Q:$Q,Data!$A:$A,Vitezistii!$B24,Data!$C:$C,Vitezistii!C$1),0)</f>
        <v>1</v>
      </c>
      <c r="D24" s="39">
        <f>IFERROR(IF(SUMIFS(Data!$K:$K,Data!$A:$A,Vitezistii!$B24,Data!$C:$C,Vitezistii!D$1)=0," ",SUMIFS(Data!$K:$K,Data!$A:$A,Vitezistii!$B24,Data!$C:$C,Vitezistii!D$1))+SUMIFS(Data!$Q:$Q,Data!$A:$A,Vitezistii!$B24,Data!$C:$C,Vitezistii!D$1),0)</f>
        <v>0</v>
      </c>
      <c r="E24" s="39">
        <f>IFERROR(IF(SUMIFS(Data!$K:$K,Data!$A:$A,Vitezistii!$B24,Data!$C:$C,Vitezistii!E$1)=0," ",SUMIFS(Data!$K:$K,Data!$A:$A,Vitezistii!$B24,Data!$C:$C,Vitezistii!E$1))+SUMIFS(Data!$Q:$Q,Data!$A:$A,Vitezistii!$B24,Data!$C:$C,Vitezistii!E$1),0)</f>
        <v>1.5</v>
      </c>
      <c r="F24" s="39">
        <f>IFERROR(IF(SUMIFS(Data!$K:$K,Data!$A:$A,Vitezistii!$B24,Data!$C:$C,Vitezistii!F$1)=0," ",SUMIFS(Data!$K:$K,Data!$A:$A,Vitezistii!$B24,Data!$C:$C,Vitezistii!F$1))+SUMIFS(Data!$Q:$Q,Data!$A:$A,Vitezistii!$B24,Data!$C:$C,Vitezistii!F$1),0)</f>
        <v>1.5</v>
      </c>
      <c r="G24" s="39">
        <f>IFERROR(IF(SUMIFS(Data!$K:$K,Data!$A:$A,Vitezistii!$B24,Data!$C:$C,Vitezistii!G$1)=0," ",SUMIFS(Data!$K:$K,Data!$A:$A,Vitezistii!$B24,Data!$C:$C,Vitezistii!G$1))+SUMIFS(Data!$Q:$Q,Data!$A:$A,Vitezistii!$B24,Data!$C:$C,Vitezistii!G$1),0)</f>
        <v>0</v>
      </c>
      <c r="H24" s="39">
        <f>IFERROR(IF(SUMIFS(Data!$K:$K,Data!$A:$A,Vitezistii!$B24,Data!$C:$C,Vitezistii!H$1)=0," ",SUMIFS(Data!$K:$K,Data!$A:$A,Vitezistii!$B24,Data!$C:$C,Vitezistii!H$1))+SUMIFS(Data!$Q:$Q,Data!$A:$A,Vitezistii!$B24,Data!$C:$C,Vitezistii!H$1),0)</f>
        <v>2</v>
      </c>
      <c r="I24" s="39">
        <f>IFERROR(IF(SUMIFS(Data!$K:$K,Data!$A:$A,Vitezistii!$B24,Data!$C:$C,Vitezistii!I$1)=0," ",SUMIFS(Data!$K:$K,Data!$A:$A,Vitezistii!$B24,Data!$C:$C,Vitezistii!I$1))+SUMIFS(Data!$Q:$Q,Data!$A:$A,Vitezistii!$B24,Data!$C:$C,Vitezistii!I$1),0)</f>
        <v>1</v>
      </c>
      <c r="J24" s="39">
        <f>IFERROR(IF(SUMIFS(Data!$K:$K,Data!$A:$A,Vitezistii!$B24,Data!$C:$C,Vitezistii!J$1)=0," ",SUMIFS(Data!$K:$K,Data!$A:$A,Vitezistii!$B24,Data!$C:$C,Vitezistii!J$1))+SUMIFS(Data!$Q:$Q,Data!$A:$A,Vitezistii!$B24,Data!$C:$C,Vitezistii!J$1),0)</f>
        <v>1.5</v>
      </c>
      <c r="K24" s="39">
        <f>IFERROR(IF(SUMIFS(Data!$K:$K,Data!$A:$A,Vitezistii!$B24,Data!$C:$C,Vitezistii!K$1)=0," ",SUMIFS(Data!$K:$K,Data!$A:$A,Vitezistii!$B24,Data!$C:$C,Vitezistii!K$1))+SUMIFS(Data!$Q:$Q,Data!$A:$A,Vitezistii!$B24,Data!$C:$C,Vitezistii!K$1),0)</f>
        <v>1.5</v>
      </c>
      <c r="L24" s="39">
        <f>IFERROR(IF(SUMIFS(Data!$K:$K,Data!$A:$A,Vitezistii!$B24,Data!$C:$C,Vitezistii!L$1)=0," ",SUMIFS(Data!$K:$K,Data!$A:$A,Vitezistii!$B24,Data!$C:$C,Vitezistii!L$1))+SUMIFS(Data!$Q:$Q,Data!$A:$A,Vitezistii!$B24,Data!$C:$C,Vitezistii!L$1),0)</f>
        <v>1</v>
      </c>
      <c r="M24" s="39">
        <f>IFERROR(IF(SUMIFS(Data!$K:$K,Data!$A:$A,Vitezistii!$B24,Data!$C:$C,Vitezistii!M$1)=0," ",SUMIFS(Data!$K:$K,Data!$A:$A,Vitezistii!$B24,Data!$C:$C,Vitezistii!M$1))+SUMIFS(Data!$Q:$Q,Data!$A:$A,Vitezistii!$B24,Data!$C:$C,Vitezistii!M$1),0)</f>
        <v>2.5</v>
      </c>
      <c r="N24" s="39">
        <f>IFERROR(IF(SUMIFS(Data!$K:$K,Data!$A:$A,Vitezistii!$B24,Data!$C:$C,Vitezistii!N$1)=0," ",SUMIFS(Data!$K:$K,Data!$A:$A,Vitezistii!$B24,Data!$C:$C,Vitezistii!N$1))+SUMIFS(Data!$Q:$Q,Data!$A:$A,Vitezistii!$B24,Data!$C:$C,Vitezistii!N$1),0)</f>
        <v>1</v>
      </c>
      <c r="O24" s="39">
        <f>IFERROR(IF(SUMIFS(Data!$K:$K,Data!$A:$A,Vitezistii!$B24,Data!$C:$C,Vitezistii!O$1)=0," ",SUMIFS(Data!$K:$K,Data!$A:$A,Vitezistii!$B24,Data!$C:$C,Vitezistii!O$1))+SUMIFS(Data!$Q:$Q,Data!$A:$A,Vitezistii!$B24,Data!$C:$C,Vitezistii!O$1),0)</f>
        <v>0</v>
      </c>
      <c r="P24" s="39">
        <f>IFERROR(IF(SUMIFS(Data!$K:$K,Data!$A:$A,Vitezistii!$B24,Data!$C:$C,Vitezistii!P$1)=0," ",SUMIFS(Data!$K:$K,Data!$A:$A,Vitezistii!$B24,Data!$C:$C,Vitezistii!P$1))+SUMIFS(Data!$Q:$Q,Data!$A:$A,Vitezistii!$B24,Data!$C:$C,Vitezistii!P$1),0)</f>
        <v>1.5</v>
      </c>
      <c r="Q24" s="39">
        <f>IFERROR(IF(SUMIFS(Data!$K:$K,Data!$A:$A,Vitezistii!$B24,Data!$C:$C,Vitezistii!Q$1)=0," ",SUMIFS(Data!$K:$K,Data!$A:$A,Vitezistii!$B24,Data!$C:$C,Vitezistii!Q$1))+SUMIFS(Data!$Q:$Q,Data!$A:$A,Vitezistii!$B24,Data!$C:$C,Vitezistii!Q$1),0)</f>
        <v>1.5</v>
      </c>
      <c r="R24" s="39">
        <f t="shared" si="0"/>
        <v>17.5</v>
      </c>
      <c r="S24" s="39">
        <f>SUMIFS(Data!D:D,Data!A:A,Vitezistii!B24)</f>
        <v>122.15</v>
      </c>
      <c r="T24" s="14">
        <f>SUMIFS(Data!I:I,Data!A:A,Vitezistii!B24)/COUNTIF(Data!A:A,Vitezistii!B24)</f>
        <v>3.0971214143612584E-3</v>
      </c>
    </row>
    <row r="25" spans="1:20" ht="13.8" x14ac:dyDescent="0.3">
      <c r="A25" s="151">
        <v>24</v>
      </c>
      <c r="B25" s="38" t="s">
        <v>127</v>
      </c>
      <c r="C25" s="39">
        <f>IFERROR(IF(SUMIFS(Data!$K:$K,Data!$A:$A,Vitezistii!$B25,Data!$C:$C,Vitezistii!C$1)=0," ",SUMIFS(Data!$K:$K,Data!$A:$A,Vitezistii!$B25,Data!$C:$C,Vitezistii!C$1))+SUMIFS(Data!$Q:$Q,Data!$A:$A,Vitezistii!$B25,Data!$C:$C,Vitezistii!C$1),0)</f>
        <v>0</v>
      </c>
      <c r="D25" s="39">
        <f>IFERROR(IF(SUMIFS(Data!$K:$K,Data!$A:$A,Vitezistii!$B25,Data!$C:$C,Vitezistii!D$1)=0," ",SUMIFS(Data!$K:$K,Data!$A:$A,Vitezistii!$B25,Data!$C:$C,Vitezistii!D$1))+SUMIFS(Data!$Q:$Q,Data!$A:$A,Vitezistii!$B25,Data!$C:$C,Vitezistii!D$1),0)</f>
        <v>5.15</v>
      </c>
      <c r="E25" s="39">
        <f>IFERROR(IF(SUMIFS(Data!$K:$K,Data!$A:$A,Vitezistii!$B25,Data!$C:$C,Vitezistii!E$1)=0," ",SUMIFS(Data!$K:$K,Data!$A:$A,Vitezistii!$B25,Data!$C:$C,Vitezistii!E$1))+SUMIFS(Data!$Q:$Q,Data!$A:$A,Vitezistii!$B25,Data!$C:$C,Vitezistii!E$1),0)</f>
        <v>3.5</v>
      </c>
      <c r="F25" s="39">
        <f>IFERROR(IF(SUMIFS(Data!$K:$K,Data!$A:$A,Vitezistii!$B25,Data!$C:$C,Vitezistii!F$1)=0," ",SUMIFS(Data!$K:$K,Data!$A:$A,Vitezistii!$B25,Data!$C:$C,Vitezistii!F$1))+SUMIFS(Data!$Q:$Q,Data!$A:$A,Vitezistii!$B25,Data!$C:$C,Vitezistii!F$1),0)</f>
        <v>4</v>
      </c>
      <c r="G25" s="39">
        <f>IFERROR(IF(SUMIFS(Data!$K:$K,Data!$A:$A,Vitezistii!$B25,Data!$C:$C,Vitezistii!G$1)=0," ",SUMIFS(Data!$K:$K,Data!$A:$A,Vitezistii!$B25,Data!$C:$C,Vitezistii!G$1))+SUMIFS(Data!$Q:$Q,Data!$A:$A,Vitezistii!$B25,Data!$C:$C,Vitezistii!G$1),0)</f>
        <v>0</v>
      </c>
      <c r="H25" s="39">
        <f>IFERROR(IF(SUMIFS(Data!$K:$K,Data!$A:$A,Vitezistii!$B25,Data!$C:$C,Vitezistii!H$1)=0," ",SUMIFS(Data!$K:$K,Data!$A:$A,Vitezistii!$B25,Data!$C:$C,Vitezistii!H$1))+SUMIFS(Data!$Q:$Q,Data!$A:$A,Vitezistii!$B25,Data!$C:$C,Vitezistii!H$1),0)</f>
        <v>0</v>
      </c>
      <c r="I25" s="39">
        <f>IFERROR(IF(SUMIFS(Data!$K:$K,Data!$A:$A,Vitezistii!$B25,Data!$C:$C,Vitezistii!I$1)=0," ",SUMIFS(Data!$K:$K,Data!$A:$A,Vitezistii!$B25,Data!$C:$C,Vitezistii!I$1))+SUMIFS(Data!$Q:$Q,Data!$A:$A,Vitezistii!$B25,Data!$C:$C,Vitezistii!I$1),0)</f>
        <v>0</v>
      </c>
      <c r="J25" s="39">
        <f>IFERROR(IF(SUMIFS(Data!$K:$K,Data!$A:$A,Vitezistii!$B25,Data!$C:$C,Vitezistii!J$1)=0," ",SUMIFS(Data!$K:$K,Data!$A:$A,Vitezistii!$B25,Data!$C:$C,Vitezistii!J$1))+SUMIFS(Data!$Q:$Q,Data!$A:$A,Vitezistii!$B25,Data!$C:$C,Vitezistii!J$1),0)</f>
        <v>0</v>
      </c>
      <c r="K25" s="39">
        <f>IFERROR(IF(SUMIFS(Data!$K:$K,Data!$A:$A,Vitezistii!$B25,Data!$C:$C,Vitezistii!K$1)=0," ",SUMIFS(Data!$K:$K,Data!$A:$A,Vitezistii!$B25,Data!$C:$C,Vitezistii!K$1))+SUMIFS(Data!$Q:$Q,Data!$A:$A,Vitezistii!$B25,Data!$C:$C,Vitezistii!K$1),0)</f>
        <v>0</v>
      </c>
      <c r="L25" s="39">
        <f>IFERROR(IF(SUMIFS(Data!$K:$K,Data!$A:$A,Vitezistii!$B25,Data!$C:$C,Vitezistii!L$1)=0," ",SUMIFS(Data!$K:$K,Data!$A:$A,Vitezistii!$B25,Data!$C:$C,Vitezistii!L$1))+SUMIFS(Data!$Q:$Q,Data!$A:$A,Vitezistii!$B25,Data!$C:$C,Vitezistii!L$1),0)</f>
        <v>0</v>
      </c>
      <c r="M25" s="39">
        <f>IFERROR(IF(SUMIFS(Data!$K:$K,Data!$A:$A,Vitezistii!$B25,Data!$C:$C,Vitezistii!M$1)=0," ",SUMIFS(Data!$K:$K,Data!$A:$A,Vitezistii!$B25,Data!$C:$C,Vitezistii!M$1))+SUMIFS(Data!$Q:$Q,Data!$A:$A,Vitezistii!$B25,Data!$C:$C,Vitezistii!M$1),0)</f>
        <v>0</v>
      </c>
      <c r="N25" s="39">
        <f>IFERROR(IF(SUMIFS(Data!$K:$K,Data!$A:$A,Vitezistii!$B25,Data!$C:$C,Vitezistii!N$1)=0," ",SUMIFS(Data!$K:$K,Data!$A:$A,Vitezistii!$B25,Data!$C:$C,Vitezistii!N$1))+SUMIFS(Data!$Q:$Q,Data!$A:$A,Vitezistii!$B25,Data!$C:$C,Vitezistii!N$1),0)</f>
        <v>0</v>
      </c>
      <c r="O25" s="39">
        <f>IFERROR(IF(SUMIFS(Data!$K:$K,Data!$A:$A,Vitezistii!$B25,Data!$C:$C,Vitezistii!O$1)=0," ",SUMIFS(Data!$K:$K,Data!$A:$A,Vitezistii!$B25,Data!$C:$C,Vitezistii!O$1))+SUMIFS(Data!$Q:$Q,Data!$A:$A,Vitezistii!$B25,Data!$C:$C,Vitezistii!O$1),0)</f>
        <v>0</v>
      </c>
      <c r="P25" s="39">
        <f>IFERROR(IF(SUMIFS(Data!$K:$K,Data!$A:$A,Vitezistii!$B25,Data!$C:$C,Vitezistii!P$1)=0," ",SUMIFS(Data!$K:$K,Data!$A:$A,Vitezistii!$B25,Data!$C:$C,Vitezistii!P$1))+SUMIFS(Data!$Q:$Q,Data!$A:$A,Vitezistii!$B25,Data!$C:$C,Vitezistii!P$1),0)</f>
        <v>0</v>
      </c>
      <c r="Q25" s="39">
        <f>IFERROR(IF(SUMIFS(Data!$K:$K,Data!$A:$A,Vitezistii!$B25,Data!$C:$C,Vitezistii!Q$1)=0," ",SUMIFS(Data!$K:$K,Data!$A:$A,Vitezistii!$B25,Data!$C:$C,Vitezistii!Q$1))+SUMIFS(Data!$Q:$Q,Data!$A:$A,Vitezistii!$B25,Data!$C:$C,Vitezistii!Q$1),0)</f>
        <v>0</v>
      </c>
      <c r="R25" s="39">
        <f t="shared" si="0"/>
        <v>12.65</v>
      </c>
      <c r="S25" s="39">
        <f>SUMIFS(Data!D:D,Data!A:A,Vitezistii!B25)</f>
        <v>35.270000000000003</v>
      </c>
      <c r="T25" s="14">
        <f>SUMIFS(Data!I:I,Data!A:A,Vitezistii!B25)/COUNTIF(Data!A:A,Vitezistii!B25)</f>
        <v>2.2363513489418166E-3</v>
      </c>
    </row>
    <row r="26" spans="1:20" ht="13.8" x14ac:dyDescent="0.3">
      <c r="A26" s="151">
        <v>25</v>
      </c>
      <c r="B26" s="38" t="s">
        <v>52</v>
      </c>
      <c r="C26" s="39">
        <f>IFERROR(IF(SUMIFS(Data!$K:$K,Data!$A:$A,Vitezistii!$B26,Data!$C:$C,Vitezistii!C$1)=0," ",SUMIFS(Data!$K:$K,Data!$A:$A,Vitezistii!$B26,Data!$C:$C,Vitezistii!C$1))+SUMIFS(Data!$Q:$Q,Data!$A:$A,Vitezistii!$B26,Data!$C:$C,Vitezistii!C$1),0)</f>
        <v>0</v>
      </c>
      <c r="D26" s="39">
        <f>IFERROR(IF(SUMIFS(Data!$K:$K,Data!$A:$A,Vitezistii!$B26,Data!$C:$C,Vitezistii!D$1)=0," ",SUMIFS(Data!$K:$K,Data!$A:$A,Vitezistii!$B26,Data!$C:$C,Vitezistii!D$1))+SUMIFS(Data!$Q:$Q,Data!$A:$A,Vitezistii!$B26,Data!$C:$C,Vitezistii!D$1),0)</f>
        <v>1.5</v>
      </c>
      <c r="E26" s="39">
        <f>IFERROR(IF(SUMIFS(Data!$K:$K,Data!$A:$A,Vitezistii!$B26,Data!$C:$C,Vitezistii!E$1)=0," ",SUMIFS(Data!$K:$K,Data!$A:$A,Vitezistii!$B26,Data!$C:$C,Vitezistii!E$1))+SUMIFS(Data!$Q:$Q,Data!$A:$A,Vitezistii!$B26,Data!$C:$C,Vitezistii!E$1),0)</f>
        <v>1.5</v>
      </c>
      <c r="F26" s="39">
        <f>IFERROR(IF(SUMIFS(Data!$K:$K,Data!$A:$A,Vitezistii!$B26,Data!$C:$C,Vitezistii!F$1)=0," ",SUMIFS(Data!$K:$K,Data!$A:$A,Vitezistii!$B26,Data!$C:$C,Vitezistii!F$1))+SUMIFS(Data!$Q:$Q,Data!$A:$A,Vitezistii!$B26,Data!$C:$C,Vitezistii!F$1),0)</f>
        <v>0</v>
      </c>
      <c r="G26" s="39">
        <f>IFERROR(IF(SUMIFS(Data!$K:$K,Data!$A:$A,Vitezistii!$B26,Data!$C:$C,Vitezistii!G$1)=0," ",SUMIFS(Data!$K:$K,Data!$A:$A,Vitezistii!$B26,Data!$C:$C,Vitezistii!G$1))+SUMIFS(Data!$Q:$Q,Data!$A:$A,Vitezistii!$B26,Data!$C:$C,Vitezistii!G$1),0)</f>
        <v>0</v>
      </c>
      <c r="H26" s="39">
        <f>IFERROR(IF(SUMIFS(Data!$K:$K,Data!$A:$A,Vitezistii!$B26,Data!$C:$C,Vitezistii!H$1)=0," ",SUMIFS(Data!$K:$K,Data!$A:$A,Vitezistii!$B26,Data!$C:$C,Vitezistii!H$1))+SUMIFS(Data!$Q:$Q,Data!$A:$A,Vitezistii!$B26,Data!$C:$C,Vitezistii!H$1),0)</f>
        <v>2</v>
      </c>
      <c r="I26" s="39">
        <f>IFERROR(IF(SUMIFS(Data!$K:$K,Data!$A:$A,Vitezistii!$B26,Data!$C:$C,Vitezistii!I$1)=0," ",SUMIFS(Data!$K:$K,Data!$A:$A,Vitezistii!$B26,Data!$C:$C,Vitezistii!I$1))+SUMIFS(Data!$Q:$Q,Data!$A:$A,Vitezistii!$B26,Data!$C:$C,Vitezistii!I$1),0)</f>
        <v>0</v>
      </c>
      <c r="J26" s="39">
        <f>IFERROR(IF(SUMIFS(Data!$K:$K,Data!$A:$A,Vitezistii!$B26,Data!$C:$C,Vitezistii!J$1)=0," ",SUMIFS(Data!$K:$K,Data!$A:$A,Vitezistii!$B26,Data!$C:$C,Vitezistii!J$1))+SUMIFS(Data!$Q:$Q,Data!$A:$A,Vitezistii!$B26,Data!$C:$C,Vitezistii!J$1),0)</f>
        <v>1.5</v>
      </c>
      <c r="K26" s="39">
        <f>IFERROR(IF(SUMIFS(Data!$K:$K,Data!$A:$A,Vitezistii!$B26,Data!$C:$C,Vitezistii!K$1)=0," ",SUMIFS(Data!$K:$K,Data!$A:$A,Vitezistii!$B26,Data!$C:$C,Vitezistii!K$1))+SUMIFS(Data!$Q:$Q,Data!$A:$A,Vitezistii!$B26,Data!$C:$C,Vitezistii!K$1),0)</f>
        <v>0</v>
      </c>
      <c r="L26" s="39">
        <f>IFERROR(IF(SUMIFS(Data!$K:$K,Data!$A:$A,Vitezistii!$B26,Data!$C:$C,Vitezistii!L$1)=0," ",SUMIFS(Data!$K:$K,Data!$A:$A,Vitezistii!$B26,Data!$C:$C,Vitezistii!L$1))+SUMIFS(Data!$Q:$Q,Data!$A:$A,Vitezistii!$B26,Data!$C:$C,Vitezistii!L$1),0)</f>
        <v>2</v>
      </c>
      <c r="M26" s="39">
        <f>IFERROR(IF(SUMIFS(Data!$K:$K,Data!$A:$A,Vitezistii!$B26,Data!$C:$C,Vitezistii!M$1)=0," ",SUMIFS(Data!$K:$K,Data!$A:$A,Vitezistii!$B26,Data!$C:$C,Vitezistii!M$1))+SUMIFS(Data!$Q:$Q,Data!$A:$A,Vitezistii!$B26,Data!$C:$C,Vitezistii!M$1),0)</f>
        <v>1.5</v>
      </c>
      <c r="N26" s="39">
        <f>IFERROR(IF(SUMIFS(Data!$K:$K,Data!$A:$A,Vitezistii!$B26,Data!$C:$C,Vitezistii!N$1)=0," ",SUMIFS(Data!$K:$K,Data!$A:$A,Vitezistii!$B26,Data!$C:$C,Vitezistii!N$1))+SUMIFS(Data!$Q:$Q,Data!$A:$A,Vitezistii!$B26,Data!$C:$C,Vitezistii!N$1),0)</f>
        <v>1.5</v>
      </c>
      <c r="O26" s="39">
        <f>IFERROR(IF(SUMIFS(Data!$K:$K,Data!$A:$A,Vitezistii!$B26,Data!$C:$C,Vitezistii!O$1)=0," ",SUMIFS(Data!$K:$K,Data!$A:$A,Vitezistii!$B26,Data!$C:$C,Vitezistii!O$1))+SUMIFS(Data!$Q:$Q,Data!$A:$A,Vitezistii!$B26,Data!$C:$C,Vitezistii!O$1),0)</f>
        <v>0</v>
      </c>
      <c r="P26" s="39">
        <f>IFERROR(IF(SUMIFS(Data!$K:$K,Data!$A:$A,Vitezistii!$B26,Data!$C:$C,Vitezistii!P$1)=0," ",SUMIFS(Data!$K:$K,Data!$A:$A,Vitezistii!$B26,Data!$C:$C,Vitezistii!P$1))+SUMIFS(Data!$Q:$Q,Data!$A:$A,Vitezistii!$B26,Data!$C:$C,Vitezistii!P$1),0)</f>
        <v>0</v>
      </c>
      <c r="Q26" s="39">
        <f>IFERROR(IF(SUMIFS(Data!$K:$K,Data!$A:$A,Vitezistii!$B26,Data!$C:$C,Vitezistii!Q$1)=0," ",SUMIFS(Data!$K:$K,Data!$A:$A,Vitezistii!$B26,Data!$C:$C,Vitezistii!Q$1))+SUMIFS(Data!$Q:$Q,Data!$A:$A,Vitezistii!$B26,Data!$C:$C,Vitezistii!Q$1),0)</f>
        <v>0</v>
      </c>
      <c r="R26" s="39">
        <f t="shared" si="0"/>
        <v>11.5</v>
      </c>
      <c r="S26" s="39">
        <f>SUMIFS(Data!D:D,Data!A:A,Vitezistii!B26)</f>
        <v>142.10000000000002</v>
      </c>
      <c r="T26" s="14">
        <f>SUMIFS(Data!I:I,Data!A:A,Vitezistii!B26)/COUNTIF(Data!A:A,Vitezistii!B26)</f>
        <v>3.4310594111110187E-3</v>
      </c>
    </row>
    <row r="27" spans="1:20" ht="13.8" x14ac:dyDescent="0.3">
      <c r="A27" s="151">
        <v>26</v>
      </c>
      <c r="B27" s="38" t="s">
        <v>50</v>
      </c>
      <c r="C27" s="39">
        <f>IFERROR(IF(SUMIFS(Data!$K:$K,Data!$A:$A,Vitezistii!$B27,Data!$C:$C,Vitezistii!C$1)=0," ",SUMIFS(Data!$K:$K,Data!$A:$A,Vitezistii!$B27,Data!$C:$C,Vitezistii!C$1))+SUMIFS(Data!$Q:$Q,Data!$A:$A,Vitezistii!$B27,Data!$C:$C,Vitezistii!C$1),0)</f>
        <v>2</v>
      </c>
      <c r="D27" s="39">
        <f>IFERROR(IF(SUMIFS(Data!$K:$K,Data!$A:$A,Vitezistii!$B27,Data!$C:$C,Vitezistii!D$1)=0," ",SUMIFS(Data!$K:$K,Data!$A:$A,Vitezistii!$B27,Data!$C:$C,Vitezistii!D$1))+SUMIFS(Data!$Q:$Q,Data!$A:$A,Vitezistii!$B27,Data!$C:$C,Vitezistii!D$1),0)</f>
        <v>1</v>
      </c>
      <c r="E27" s="39">
        <f>IFERROR(IF(SUMIFS(Data!$K:$K,Data!$A:$A,Vitezistii!$B27,Data!$C:$C,Vitezistii!E$1)=0," ",SUMIFS(Data!$K:$K,Data!$A:$A,Vitezistii!$B27,Data!$C:$C,Vitezistii!E$1))+SUMIFS(Data!$Q:$Q,Data!$A:$A,Vitezistii!$B27,Data!$C:$C,Vitezistii!E$1),0)</f>
        <v>0</v>
      </c>
      <c r="F27" s="39">
        <f>IFERROR(IF(SUMIFS(Data!$K:$K,Data!$A:$A,Vitezistii!$B27,Data!$C:$C,Vitezistii!F$1)=0," ",SUMIFS(Data!$K:$K,Data!$A:$A,Vitezistii!$B27,Data!$C:$C,Vitezistii!F$1))+SUMIFS(Data!$Q:$Q,Data!$A:$A,Vitezistii!$B27,Data!$C:$C,Vitezistii!F$1),0)</f>
        <v>0</v>
      </c>
      <c r="G27" s="39">
        <f>IFERROR(IF(SUMIFS(Data!$K:$K,Data!$A:$A,Vitezistii!$B27,Data!$C:$C,Vitezistii!G$1)=0," ",SUMIFS(Data!$K:$K,Data!$A:$A,Vitezistii!$B27,Data!$C:$C,Vitezistii!G$1))+SUMIFS(Data!$Q:$Q,Data!$A:$A,Vitezistii!$B27,Data!$C:$C,Vitezistii!G$1),0)</f>
        <v>0</v>
      </c>
      <c r="H27" s="39">
        <f>IFERROR(IF(SUMIFS(Data!$K:$K,Data!$A:$A,Vitezistii!$B27,Data!$C:$C,Vitezistii!H$1)=0," ",SUMIFS(Data!$K:$K,Data!$A:$A,Vitezistii!$B27,Data!$C:$C,Vitezistii!H$1))+SUMIFS(Data!$Q:$Q,Data!$A:$A,Vitezistii!$B27,Data!$C:$C,Vitezistii!H$1),0)</f>
        <v>1</v>
      </c>
      <c r="I27" s="39">
        <f>IFERROR(IF(SUMIFS(Data!$K:$K,Data!$A:$A,Vitezistii!$B27,Data!$C:$C,Vitezistii!I$1)=0," ",SUMIFS(Data!$K:$K,Data!$A:$A,Vitezistii!$B27,Data!$C:$C,Vitezistii!I$1))+SUMIFS(Data!$Q:$Q,Data!$A:$A,Vitezistii!$B27,Data!$C:$C,Vitezistii!I$1),0)</f>
        <v>1</v>
      </c>
      <c r="J27" s="39">
        <f>IFERROR(IF(SUMIFS(Data!$K:$K,Data!$A:$A,Vitezistii!$B27,Data!$C:$C,Vitezistii!J$1)=0," ",SUMIFS(Data!$K:$K,Data!$A:$A,Vitezistii!$B27,Data!$C:$C,Vitezistii!J$1))+SUMIFS(Data!$Q:$Q,Data!$A:$A,Vitezistii!$B27,Data!$C:$C,Vitezistii!J$1),0)</f>
        <v>1.5</v>
      </c>
      <c r="K27" s="39">
        <f>IFERROR(IF(SUMIFS(Data!$K:$K,Data!$A:$A,Vitezistii!$B27,Data!$C:$C,Vitezistii!K$1)=0," ",SUMIFS(Data!$K:$K,Data!$A:$A,Vitezistii!$B27,Data!$C:$C,Vitezistii!K$1))+SUMIFS(Data!$Q:$Q,Data!$A:$A,Vitezistii!$B27,Data!$C:$C,Vitezistii!K$1),0)</f>
        <v>1</v>
      </c>
      <c r="L27" s="39">
        <f>IFERROR(IF(SUMIFS(Data!$K:$K,Data!$A:$A,Vitezistii!$B27,Data!$C:$C,Vitezistii!L$1)=0," ",SUMIFS(Data!$K:$K,Data!$A:$A,Vitezistii!$B27,Data!$C:$C,Vitezistii!L$1))+SUMIFS(Data!$Q:$Q,Data!$A:$A,Vitezistii!$B27,Data!$C:$C,Vitezistii!L$1),0)</f>
        <v>1</v>
      </c>
      <c r="M27" s="39">
        <f>IFERROR(IF(SUMIFS(Data!$K:$K,Data!$A:$A,Vitezistii!$B27,Data!$C:$C,Vitezistii!M$1)=0," ",SUMIFS(Data!$K:$K,Data!$A:$A,Vitezistii!$B27,Data!$C:$C,Vitezistii!M$1))+SUMIFS(Data!$Q:$Q,Data!$A:$A,Vitezistii!$B27,Data!$C:$C,Vitezistii!M$1),0)</f>
        <v>1</v>
      </c>
      <c r="N27" s="39">
        <f>IFERROR(IF(SUMIFS(Data!$K:$K,Data!$A:$A,Vitezistii!$B27,Data!$C:$C,Vitezistii!N$1)=0," ",SUMIFS(Data!$K:$K,Data!$A:$A,Vitezistii!$B27,Data!$C:$C,Vitezistii!N$1))+SUMIFS(Data!$Q:$Q,Data!$A:$A,Vitezistii!$B27,Data!$C:$C,Vitezistii!N$1),0)</f>
        <v>0</v>
      </c>
      <c r="O27" s="39">
        <f>IFERROR(IF(SUMIFS(Data!$K:$K,Data!$A:$A,Vitezistii!$B27,Data!$C:$C,Vitezistii!O$1)=0," ",SUMIFS(Data!$K:$K,Data!$A:$A,Vitezistii!$B27,Data!$C:$C,Vitezistii!O$1))+SUMIFS(Data!$Q:$Q,Data!$A:$A,Vitezistii!$B27,Data!$C:$C,Vitezistii!O$1),0)</f>
        <v>1</v>
      </c>
      <c r="P27" s="39">
        <f>IFERROR(IF(SUMIFS(Data!$K:$K,Data!$A:$A,Vitezistii!$B27,Data!$C:$C,Vitezistii!P$1)=0," ",SUMIFS(Data!$K:$K,Data!$A:$A,Vitezistii!$B27,Data!$C:$C,Vitezistii!P$1))+SUMIFS(Data!$Q:$Q,Data!$A:$A,Vitezistii!$B27,Data!$C:$C,Vitezistii!P$1),0)</f>
        <v>1</v>
      </c>
      <c r="Q27" s="39">
        <f>IFERROR(IF(SUMIFS(Data!$K:$K,Data!$A:$A,Vitezistii!$B27,Data!$C:$C,Vitezistii!Q$1)=0," ",SUMIFS(Data!$K:$K,Data!$A:$A,Vitezistii!$B27,Data!$C:$C,Vitezistii!Q$1))+SUMIFS(Data!$Q:$Q,Data!$A:$A,Vitezistii!$B27,Data!$C:$C,Vitezistii!Q$1),0)</f>
        <v>0</v>
      </c>
      <c r="R27" s="39">
        <f t="shared" si="0"/>
        <v>11.5</v>
      </c>
      <c r="S27" s="39">
        <f>SUMIFS(Data!D:D,Data!A:A,Vitezistii!B27)</f>
        <v>145.35</v>
      </c>
      <c r="T27" s="14">
        <f>SUMIFS(Data!I:I,Data!A:A,Vitezistii!B27)/COUNTIF(Data!A:A,Vitezistii!B27)</f>
        <v>3.7272287357857669E-3</v>
      </c>
    </row>
    <row r="28" spans="1:20" ht="13.8" x14ac:dyDescent="0.3">
      <c r="A28" s="151">
        <v>27</v>
      </c>
      <c r="B28" s="38" t="s">
        <v>66</v>
      </c>
      <c r="C28" s="39">
        <f>IFERROR(IF(SUMIFS(Data!$K:$K,Data!$A:$A,Vitezistii!$B28,Data!$C:$C,Vitezistii!C$1)=0," ",SUMIFS(Data!$K:$K,Data!$A:$A,Vitezistii!$B28,Data!$C:$C,Vitezistii!C$1))+SUMIFS(Data!$Q:$Q,Data!$A:$A,Vitezistii!$B28,Data!$C:$C,Vitezistii!C$1),0)</f>
        <v>1</v>
      </c>
      <c r="D28" s="39">
        <f>IFERROR(IF(SUMIFS(Data!$K:$K,Data!$A:$A,Vitezistii!$B28,Data!$C:$C,Vitezistii!D$1)=0," ",SUMIFS(Data!$K:$K,Data!$A:$A,Vitezistii!$B28,Data!$C:$C,Vitezistii!D$1))+SUMIFS(Data!$Q:$Q,Data!$A:$A,Vitezistii!$B28,Data!$C:$C,Vitezistii!D$1),0)</f>
        <v>1</v>
      </c>
      <c r="E28" s="39">
        <f>IFERROR(IF(SUMIFS(Data!$K:$K,Data!$A:$A,Vitezistii!$B28,Data!$C:$C,Vitezistii!E$1)=0," ",SUMIFS(Data!$K:$K,Data!$A:$A,Vitezistii!$B28,Data!$C:$C,Vitezistii!E$1))+SUMIFS(Data!$Q:$Q,Data!$A:$A,Vitezistii!$B28,Data!$C:$C,Vitezistii!E$1),0)</f>
        <v>0</v>
      </c>
      <c r="F28" s="39">
        <f>IFERROR(IF(SUMIFS(Data!$K:$K,Data!$A:$A,Vitezistii!$B28,Data!$C:$C,Vitezistii!F$1)=0," ",SUMIFS(Data!$K:$K,Data!$A:$A,Vitezistii!$B28,Data!$C:$C,Vitezistii!F$1))+SUMIFS(Data!$Q:$Q,Data!$A:$A,Vitezistii!$B28,Data!$C:$C,Vitezistii!F$1),0)</f>
        <v>1</v>
      </c>
      <c r="G28" s="39">
        <f>IFERROR(IF(SUMIFS(Data!$K:$K,Data!$A:$A,Vitezistii!$B28,Data!$C:$C,Vitezistii!G$1)=0," ",SUMIFS(Data!$K:$K,Data!$A:$A,Vitezistii!$B28,Data!$C:$C,Vitezistii!G$1))+SUMIFS(Data!$Q:$Q,Data!$A:$A,Vitezistii!$B28,Data!$C:$C,Vitezistii!G$1),0)</f>
        <v>1</v>
      </c>
      <c r="H28" s="39">
        <f>IFERROR(IF(SUMIFS(Data!$K:$K,Data!$A:$A,Vitezistii!$B28,Data!$C:$C,Vitezistii!H$1)=0," ",SUMIFS(Data!$K:$K,Data!$A:$A,Vitezistii!$B28,Data!$C:$C,Vitezistii!H$1))+SUMIFS(Data!$Q:$Q,Data!$A:$A,Vitezistii!$B28,Data!$C:$C,Vitezistii!H$1),0)</f>
        <v>0</v>
      </c>
      <c r="I28" s="39">
        <f>IFERROR(IF(SUMIFS(Data!$K:$K,Data!$A:$A,Vitezistii!$B28,Data!$C:$C,Vitezistii!I$1)=0," ",SUMIFS(Data!$K:$K,Data!$A:$A,Vitezistii!$B28,Data!$C:$C,Vitezistii!I$1))+SUMIFS(Data!$Q:$Q,Data!$A:$A,Vitezistii!$B28,Data!$C:$C,Vitezistii!I$1),0)</f>
        <v>1</v>
      </c>
      <c r="J28" s="39">
        <f>IFERROR(IF(SUMIFS(Data!$K:$K,Data!$A:$A,Vitezistii!$B28,Data!$C:$C,Vitezistii!J$1)=0," ",SUMIFS(Data!$K:$K,Data!$A:$A,Vitezistii!$B28,Data!$C:$C,Vitezistii!J$1))+SUMIFS(Data!$Q:$Q,Data!$A:$A,Vitezistii!$B28,Data!$C:$C,Vitezistii!J$1),0)</f>
        <v>1</v>
      </c>
      <c r="K28" s="39">
        <f>IFERROR(IF(SUMIFS(Data!$K:$K,Data!$A:$A,Vitezistii!$B28,Data!$C:$C,Vitezistii!K$1)=0," ",SUMIFS(Data!$K:$K,Data!$A:$A,Vitezistii!$B28,Data!$C:$C,Vitezistii!K$1))+SUMIFS(Data!$Q:$Q,Data!$A:$A,Vitezistii!$B28,Data!$C:$C,Vitezistii!K$1),0)</f>
        <v>1</v>
      </c>
      <c r="L28" s="39">
        <f>IFERROR(IF(SUMIFS(Data!$K:$K,Data!$A:$A,Vitezistii!$B28,Data!$C:$C,Vitezistii!L$1)=0," ",SUMIFS(Data!$K:$K,Data!$A:$A,Vitezistii!$B28,Data!$C:$C,Vitezistii!L$1))+SUMIFS(Data!$Q:$Q,Data!$A:$A,Vitezistii!$B28,Data!$C:$C,Vitezistii!L$1),0)</f>
        <v>1</v>
      </c>
      <c r="M28" s="39">
        <f>IFERROR(IF(SUMIFS(Data!$K:$K,Data!$A:$A,Vitezistii!$B28,Data!$C:$C,Vitezistii!M$1)=0," ",SUMIFS(Data!$K:$K,Data!$A:$A,Vitezistii!$B28,Data!$C:$C,Vitezistii!M$1))+SUMIFS(Data!$Q:$Q,Data!$A:$A,Vitezistii!$B28,Data!$C:$C,Vitezistii!M$1),0)</f>
        <v>1</v>
      </c>
      <c r="N28" s="39">
        <f>IFERROR(IF(SUMIFS(Data!$K:$K,Data!$A:$A,Vitezistii!$B28,Data!$C:$C,Vitezistii!N$1)=0," ",SUMIFS(Data!$K:$K,Data!$A:$A,Vitezistii!$B28,Data!$C:$C,Vitezistii!N$1))+SUMIFS(Data!$Q:$Q,Data!$A:$A,Vitezistii!$B28,Data!$C:$C,Vitezistii!N$1),0)</f>
        <v>0</v>
      </c>
      <c r="O28" s="39">
        <f>IFERROR(IF(SUMIFS(Data!$K:$K,Data!$A:$A,Vitezistii!$B28,Data!$C:$C,Vitezistii!O$1)=0," ",SUMIFS(Data!$K:$K,Data!$A:$A,Vitezistii!$B28,Data!$C:$C,Vitezistii!O$1))+SUMIFS(Data!$Q:$Q,Data!$A:$A,Vitezistii!$B28,Data!$C:$C,Vitezistii!O$1),0)</f>
        <v>1</v>
      </c>
      <c r="P28" s="39">
        <f>IFERROR(IF(SUMIFS(Data!$K:$K,Data!$A:$A,Vitezistii!$B28,Data!$C:$C,Vitezistii!P$1)=0," ",SUMIFS(Data!$K:$K,Data!$A:$A,Vitezistii!$B28,Data!$C:$C,Vitezistii!P$1))+SUMIFS(Data!$Q:$Q,Data!$A:$A,Vitezistii!$B28,Data!$C:$C,Vitezistii!P$1),0)</f>
        <v>1</v>
      </c>
      <c r="Q28" s="39">
        <f>IFERROR(IF(SUMIFS(Data!$K:$K,Data!$A:$A,Vitezistii!$B28,Data!$C:$C,Vitezistii!Q$1)=0," ",SUMIFS(Data!$K:$K,Data!$A:$A,Vitezistii!$B28,Data!$C:$C,Vitezistii!Q$1))+SUMIFS(Data!$Q:$Q,Data!$A:$A,Vitezistii!$B28,Data!$C:$C,Vitezistii!Q$1),0)</f>
        <v>1</v>
      </c>
      <c r="R28" s="39">
        <f t="shared" si="0"/>
        <v>12</v>
      </c>
      <c r="S28" s="39">
        <f>SUMIFS(Data!D:D,Data!A:A,Vitezistii!B28)</f>
        <v>105.69</v>
      </c>
      <c r="T28" s="14">
        <f>SUMIFS(Data!I:I,Data!A:A,Vitezistii!B28)/COUNTIF(Data!A:A,Vitezistii!B28)</f>
        <v>4.6147740751663257E-3</v>
      </c>
    </row>
    <row r="29" spans="1:20" ht="13.8" x14ac:dyDescent="0.3">
      <c r="A29" s="151">
        <v>28</v>
      </c>
      <c r="B29" s="38" t="s">
        <v>43</v>
      </c>
      <c r="C29" s="39">
        <f>IFERROR(IF(SUMIFS(Data!$K:$K,Data!$A:$A,Vitezistii!$B29,Data!$C:$C,Vitezistii!C$1)=0," ",SUMIFS(Data!$K:$K,Data!$A:$A,Vitezistii!$B29,Data!$C:$C,Vitezistii!C$1))+SUMIFS(Data!$Q:$Q,Data!$A:$A,Vitezistii!$B29,Data!$C:$C,Vitezistii!C$1),0)</f>
        <v>0</v>
      </c>
      <c r="D29" s="39">
        <f>IFERROR(IF(SUMIFS(Data!$K:$K,Data!$A:$A,Vitezistii!$B29,Data!$C:$C,Vitezistii!D$1)=0," ",SUMIFS(Data!$K:$K,Data!$A:$A,Vitezistii!$B29,Data!$C:$C,Vitezistii!D$1))+SUMIFS(Data!$Q:$Q,Data!$A:$A,Vitezistii!$B29,Data!$C:$C,Vitezistii!D$1),0)</f>
        <v>0</v>
      </c>
      <c r="E29" s="39">
        <f>IFERROR(IF(SUMIFS(Data!$K:$K,Data!$A:$A,Vitezistii!$B29,Data!$C:$C,Vitezistii!E$1)=0," ",SUMIFS(Data!$K:$K,Data!$A:$A,Vitezistii!$B29,Data!$C:$C,Vitezistii!E$1))+SUMIFS(Data!$Q:$Q,Data!$A:$A,Vitezistii!$B29,Data!$C:$C,Vitezistii!E$1),0)</f>
        <v>3</v>
      </c>
      <c r="F29" s="39">
        <f>IFERROR(IF(SUMIFS(Data!$K:$K,Data!$A:$A,Vitezistii!$B29,Data!$C:$C,Vitezistii!F$1)=0," ",SUMIFS(Data!$K:$K,Data!$A:$A,Vitezistii!$B29,Data!$C:$C,Vitezistii!F$1))+SUMIFS(Data!$Q:$Q,Data!$A:$A,Vitezistii!$B29,Data!$C:$C,Vitezistii!F$1),0)</f>
        <v>3.5</v>
      </c>
      <c r="G29" s="39">
        <f>IFERROR(IF(SUMIFS(Data!$K:$K,Data!$A:$A,Vitezistii!$B29,Data!$C:$C,Vitezistii!G$1)=0," ",SUMIFS(Data!$K:$K,Data!$A:$A,Vitezistii!$B29,Data!$C:$C,Vitezistii!G$1))+SUMIFS(Data!$Q:$Q,Data!$A:$A,Vitezistii!$B29,Data!$C:$C,Vitezistii!G$1),0)</f>
        <v>3.5</v>
      </c>
      <c r="H29" s="39">
        <f>IFERROR(IF(SUMIFS(Data!$K:$K,Data!$A:$A,Vitezistii!$B29,Data!$C:$C,Vitezistii!H$1)=0," ",SUMIFS(Data!$K:$K,Data!$A:$A,Vitezistii!$B29,Data!$C:$C,Vitezistii!H$1))+SUMIFS(Data!$Q:$Q,Data!$A:$A,Vitezistii!$B29,Data!$C:$C,Vitezistii!H$1),0)</f>
        <v>0</v>
      </c>
      <c r="I29" s="39">
        <f>IFERROR(IF(SUMIFS(Data!$K:$K,Data!$A:$A,Vitezistii!$B29,Data!$C:$C,Vitezistii!I$1)=0," ",SUMIFS(Data!$K:$K,Data!$A:$A,Vitezistii!$B29,Data!$C:$C,Vitezistii!I$1))+SUMIFS(Data!$Q:$Q,Data!$A:$A,Vitezistii!$B29,Data!$C:$C,Vitezistii!I$1),0)</f>
        <v>0</v>
      </c>
      <c r="J29" s="39">
        <f>IFERROR(IF(SUMIFS(Data!$K:$K,Data!$A:$A,Vitezistii!$B29,Data!$C:$C,Vitezistii!J$1)=0," ",SUMIFS(Data!$K:$K,Data!$A:$A,Vitezistii!$B29,Data!$C:$C,Vitezistii!J$1))+SUMIFS(Data!$Q:$Q,Data!$A:$A,Vitezistii!$B29,Data!$C:$C,Vitezistii!J$1),0)</f>
        <v>0</v>
      </c>
      <c r="K29" s="39">
        <f>IFERROR(IF(SUMIFS(Data!$K:$K,Data!$A:$A,Vitezistii!$B29,Data!$C:$C,Vitezistii!K$1)=0," ",SUMIFS(Data!$K:$K,Data!$A:$A,Vitezistii!$B29,Data!$C:$C,Vitezistii!K$1))+SUMIFS(Data!$Q:$Q,Data!$A:$A,Vitezistii!$B29,Data!$C:$C,Vitezistii!K$1),0)</f>
        <v>0</v>
      </c>
      <c r="L29" s="39">
        <f>IFERROR(IF(SUMIFS(Data!$K:$K,Data!$A:$A,Vitezistii!$B29,Data!$C:$C,Vitezistii!L$1)=0," ",SUMIFS(Data!$K:$K,Data!$A:$A,Vitezistii!$B29,Data!$C:$C,Vitezistii!L$1))+SUMIFS(Data!$Q:$Q,Data!$A:$A,Vitezistii!$B29,Data!$C:$C,Vitezistii!L$1),0)</f>
        <v>0</v>
      </c>
      <c r="M29" s="39">
        <f>IFERROR(IF(SUMIFS(Data!$K:$K,Data!$A:$A,Vitezistii!$B29,Data!$C:$C,Vitezistii!M$1)=0," ",SUMIFS(Data!$K:$K,Data!$A:$A,Vitezistii!$B29,Data!$C:$C,Vitezistii!M$1))+SUMIFS(Data!$Q:$Q,Data!$A:$A,Vitezistii!$B29,Data!$C:$C,Vitezistii!M$1),0)</f>
        <v>0</v>
      </c>
      <c r="N29" s="39">
        <f>IFERROR(IF(SUMIFS(Data!$K:$K,Data!$A:$A,Vitezistii!$B29,Data!$C:$C,Vitezistii!N$1)=0," ",SUMIFS(Data!$K:$K,Data!$A:$A,Vitezistii!$B29,Data!$C:$C,Vitezistii!N$1))+SUMIFS(Data!$Q:$Q,Data!$A:$A,Vitezistii!$B29,Data!$C:$C,Vitezistii!N$1),0)</f>
        <v>0</v>
      </c>
      <c r="O29" s="39">
        <f>IFERROR(IF(SUMIFS(Data!$K:$K,Data!$A:$A,Vitezistii!$B29,Data!$C:$C,Vitezistii!O$1)=0," ",SUMIFS(Data!$K:$K,Data!$A:$A,Vitezistii!$B29,Data!$C:$C,Vitezistii!O$1))+SUMIFS(Data!$Q:$Q,Data!$A:$A,Vitezistii!$B29,Data!$C:$C,Vitezistii!O$1),0)</f>
        <v>0</v>
      </c>
      <c r="P29" s="39">
        <f>IFERROR(IF(SUMIFS(Data!$K:$K,Data!$A:$A,Vitezistii!$B29,Data!$C:$C,Vitezistii!P$1)=0," ",SUMIFS(Data!$K:$K,Data!$A:$A,Vitezistii!$B29,Data!$C:$C,Vitezistii!P$1))+SUMIFS(Data!$Q:$Q,Data!$A:$A,Vitezistii!$B29,Data!$C:$C,Vitezistii!P$1),0)</f>
        <v>0</v>
      </c>
      <c r="Q29" s="39">
        <f>IFERROR(IF(SUMIFS(Data!$K:$K,Data!$A:$A,Vitezistii!$B29,Data!$C:$C,Vitezistii!Q$1)=0," ",SUMIFS(Data!$K:$K,Data!$A:$A,Vitezistii!$B29,Data!$C:$C,Vitezistii!Q$1))+SUMIFS(Data!$Q:$Q,Data!$A:$A,Vitezistii!$B29,Data!$C:$C,Vitezistii!Q$1),0)</f>
        <v>0</v>
      </c>
      <c r="R29" s="39">
        <f t="shared" si="0"/>
        <v>10</v>
      </c>
      <c r="S29" s="39">
        <f>SUMIFS(Data!D:D,Data!A:A,Vitezistii!B29)</f>
        <v>21.400000000000002</v>
      </c>
      <c r="T29" s="14">
        <f>SUMIFS(Data!I:I,Data!A:A,Vitezistii!B29)/COUNTIF(Data!A:A,Vitezistii!B29)</f>
        <v>2.4539737848057711E-3</v>
      </c>
    </row>
    <row r="30" spans="1:20" ht="13.8" x14ac:dyDescent="0.3">
      <c r="A30" s="151">
        <v>29</v>
      </c>
      <c r="B30" s="38" t="s">
        <v>5</v>
      </c>
      <c r="C30" s="39">
        <f>IFERROR(IF(SUMIFS(Data!$K:$K,Data!$A:$A,Vitezistii!$B30,Data!$C:$C,Vitezistii!C$1)=0," ",SUMIFS(Data!$K:$K,Data!$A:$A,Vitezistii!$B30,Data!$C:$C,Vitezistii!C$1))+SUMIFS(Data!$Q:$Q,Data!$A:$A,Vitezistii!$B30,Data!$C:$C,Vitezistii!C$1),0)</f>
        <v>0</v>
      </c>
      <c r="D30" s="39">
        <f>IFERROR(IF(SUMIFS(Data!$K:$K,Data!$A:$A,Vitezistii!$B30,Data!$C:$C,Vitezistii!D$1)=0," ",SUMIFS(Data!$K:$K,Data!$A:$A,Vitezistii!$B30,Data!$C:$C,Vitezistii!D$1))+SUMIFS(Data!$Q:$Q,Data!$A:$A,Vitezistii!$B30,Data!$C:$C,Vitezistii!D$1),0)</f>
        <v>5.15</v>
      </c>
      <c r="E30" s="39">
        <f>IFERROR(IF(SUMIFS(Data!$K:$K,Data!$A:$A,Vitezistii!$B30,Data!$C:$C,Vitezistii!E$1)=0," ",SUMIFS(Data!$K:$K,Data!$A:$A,Vitezistii!$B30,Data!$C:$C,Vitezistii!E$1))+SUMIFS(Data!$Q:$Q,Data!$A:$A,Vitezistii!$B30,Data!$C:$C,Vitezistii!E$1),0)</f>
        <v>4</v>
      </c>
      <c r="F30" s="39">
        <f>IFERROR(IF(SUMIFS(Data!$K:$K,Data!$A:$A,Vitezistii!$B30,Data!$C:$C,Vitezistii!F$1)=0," ",SUMIFS(Data!$K:$K,Data!$A:$A,Vitezistii!$B30,Data!$C:$C,Vitezistii!F$1))+SUMIFS(Data!$Q:$Q,Data!$A:$A,Vitezistii!$B30,Data!$C:$C,Vitezistii!F$1),0)</f>
        <v>0</v>
      </c>
      <c r="G30" s="39">
        <f>IFERROR(IF(SUMIFS(Data!$K:$K,Data!$A:$A,Vitezistii!$B30,Data!$C:$C,Vitezistii!G$1)=0," ",SUMIFS(Data!$K:$K,Data!$A:$A,Vitezistii!$B30,Data!$C:$C,Vitezistii!G$1))+SUMIFS(Data!$Q:$Q,Data!$A:$A,Vitezistii!$B30,Data!$C:$C,Vitezistii!G$1),0)</f>
        <v>0</v>
      </c>
      <c r="H30" s="39">
        <f>IFERROR(IF(SUMIFS(Data!$K:$K,Data!$A:$A,Vitezistii!$B30,Data!$C:$C,Vitezistii!H$1)=0," ",SUMIFS(Data!$K:$K,Data!$A:$A,Vitezistii!$B30,Data!$C:$C,Vitezistii!H$1))+SUMIFS(Data!$Q:$Q,Data!$A:$A,Vitezistii!$B30,Data!$C:$C,Vitezistii!H$1),0)</f>
        <v>0</v>
      </c>
      <c r="I30" s="39">
        <f>IFERROR(IF(SUMIFS(Data!$K:$K,Data!$A:$A,Vitezistii!$B30,Data!$C:$C,Vitezistii!I$1)=0," ",SUMIFS(Data!$K:$K,Data!$A:$A,Vitezistii!$B30,Data!$C:$C,Vitezistii!I$1))+SUMIFS(Data!$Q:$Q,Data!$A:$A,Vitezistii!$B30,Data!$C:$C,Vitezistii!I$1),0)</f>
        <v>0</v>
      </c>
      <c r="J30" s="39">
        <f>IFERROR(IF(SUMIFS(Data!$K:$K,Data!$A:$A,Vitezistii!$B30,Data!$C:$C,Vitezistii!J$1)=0," ",SUMIFS(Data!$K:$K,Data!$A:$A,Vitezistii!$B30,Data!$C:$C,Vitezistii!J$1))+SUMIFS(Data!$Q:$Q,Data!$A:$A,Vitezistii!$B30,Data!$C:$C,Vitezistii!J$1),0)</f>
        <v>0</v>
      </c>
      <c r="K30" s="39">
        <f>IFERROR(IF(SUMIFS(Data!$K:$K,Data!$A:$A,Vitezistii!$B30,Data!$C:$C,Vitezistii!K$1)=0," ",SUMIFS(Data!$K:$K,Data!$A:$A,Vitezistii!$B30,Data!$C:$C,Vitezistii!K$1))+SUMIFS(Data!$Q:$Q,Data!$A:$A,Vitezistii!$B30,Data!$C:$C,Vitezistii!K$1),0)</f>
        <v>0</v>
      </c>
      <c r="L30" s="39">
        <f>IFERROR(IF(SUMIFS(Data!$K:$K,Data!$A:$A,Vitezistii!$B30,Data!$C:$C,Vitezistii!L$1)=0," ",SUMIFS(Data!$K:$K,Data!$A:$A,Vitezistii!$B30,Data!$C:$C,Vitezistii!L$1))+SUMIFS(Data!$Q:$Q,Data!$A:$A,Vitezistii!$B30,Data!$C:$C,Vitezistii!L$1),0)</f>
        <v>0</v>
      </c>
      <c r="M30" s="39">
        <f>IFERROR(IF(SUMIFS(Data!$K:$K,Data!$A:$A,Vitezistii!$B30,Data!$C:$C,Vitezistii!M$1)=0," ",SUMIFS(Data!$K:$K,Data!$A:$A,Vitezistii!$B30,Data!$C:$C,Vitezistii!M$1))+SUMIFS(Data!$Q:$Q,Data!$A:$A,Vitezistii!$B30,Data!$C:$C,Vitezistii!M$1),0)</f>
        <v>0</v>
      </c>
      <c r="N30" s="39">
        <f>IFERROR(IF(SUMIFS(Data!$K:$K,Data!$A:$A,Vitezistii!$B30,Data!$C:$C,Vitezistii!N$1)=0," ",SUMIFS(Data!$K:$K,Data!$A:$A,Vitezistii!$B30,Data!$C:$C,Vitezistii!N$1))+SUMIFS(Data!$Q:$Q,Data!$A:$A,Vitezistii!$B30,Data!$C:$C,Vitezistii!N$1),0)</f>
        <v>0</v>
      </c>
      <c r="O30" s="39">
        <f>IFERROR(IF(SUMIFS(Data!$K:$K,Data!$A:$A,Vitezistii!$B30,Data!$C:$C,Vitezistii!O$1)=0," ",SUMIFS(Data!$K:$K,Data!$A:$A,Vitezistii!$B30,Data!$C:$C,Vitezistii!O$1))+SUMIFS(Data!$Q:$Q,Data!$A:$A,Vitezistii!$B30,Data!$C:$C,Vitezistii!O$1),0)</f>
        <v>0</v>
      </c>
      <c r="P30" s="39">
        <f>IFERROR(IF(SUMIFS(Data!$K:$K,Data!$A:$A,Vitezistii!$B30,Data!$C:$C,Vitezistii!P$1)=0," ",SUMIFS(Data!$K:$K,Data!$A:$A,Vitezistii!$B30,Data!$C:$C,Vitezistii!P$1))+SUMIFS(Data!$Q:$Q,Data!$A:$A,Vitezistii!$B30,Data!$C:$C,Vitezistii!P$1),0)</f>
        <v>0</v>
      </c>
      <c r="Q30" s="39">
        <f>IFERROR(IF(SUMIFS(Data!$K:$K,Data!$A:$A,Vitezistii!$B30,Data!$C:$C,Vitezistii!Q$1)=0," ",SUMIFS(Data!$K:$K,Data!$A:$A,Vitezistii!$B30,Data!$C:$C,Vitezistii!Q$1))+SUMIFS(Data!$Q:$Q,Data!$A:$A,Vitezistii!$B30,Data!$C:$C,Vitezistii!Q$1),0)</f>
        <v>0</v>
      </c>
      <c r="R30" s="39">
        <f t="shared" si="0"/>
        <v>9.15</v>
      </c>
      <c r="S30" s="39">
        <f>SUMIFS(Data!D:D,Data!A:A,Vitezistii!B30)</f>
        <v>42.209999999999994</v>
      </c>
      <c r="T30" s="14">
        <f>SUMIFS(Data!I:I,Data!A:A,Vitezistii!B30)/COUNTIF(Data!A:A,Vitezistii!B30)</f>
        <v>2.7005767975708736E-3</v>
      </c>
    </row>
    <row r="31" spans="1:20" ht="13.8" x14ac:dyDescent="0.3">
      <c r="A31" s="151">
        <v>30</v>
      </c>
      <c r="B31" s="38" t="s">
        <v>55</v>
      </c>
      <c r="C31" s="39">
        <f>IFERROR(IF(SUMIFS(Data!$K:$K,Data!$A:$A,Vitezistii!$B31,Data!$C:$C,Vitezistii!C$1)=0," ",SUMIFS(Data!$K:$K,Data!$A:$A,Vitezistii!$B31,Data!$C:$C,Vitezistii!C$1))+SUMIFS(Data!$Q:$Q,Data!$A:$A,Vitezistii!$B31,Data!$C:$C,Vitezistii!C$1),0)</f>
        <v>0</v>
      </c>
      <c r="D31" s="39">
        <f>IFERROR(IF(SUMIFS(Data!$K:$K,Data!$A:$A,Vitezistii!$B31,Data!$C:$C,Vitezistii!D$1)=0," ",SUMIFS(Data!$K:$K,Data!$A:$A,Vitezistii!$B31,Data!$C:$C,Vitezistii!D$1))+SUMIFS(Data!$Q:$Q,Data!$A:$A,Vitezistii!$B31,Data!$C:$C,Vitezistii!D$1),0)</f>
        <v>0</v>
      </c>
      <c r="E31" s="39">
        <f>IFERROR(IF(SUMIFS(Data!$K:$K,Data!$A:$A,Vitezistii!$B31,Data!$C:$C,Vitezistii!E$1)=0," ",SUMIFS(Data!$K:$K,Data!$A:$A,Vitezistii!$B31,Data!$C:$C,Vitezistii!E$1))+SUMIFS(Data!$Q:$Q,Data!$A:$A,Vitezistii!$B31,Data!$C:$C,Vitezistii!E$1),0)</f>
        <v>3</v>
      </c>
      <c r="F31" s="39">
        <f>IFERROR(IF(SUMIFS(Data!$K:$K,Data!$A:$A,Vitezistii!$B31,Data!$C:$C,Vitezistii!F$1)=0," ",SUMIFS(Data!$K:$K,Data!$A:$A,Vitezistii!$B31,Data!$C:$C,Vitezistii!F$1))+SUMIFS(Data!$Q:$Q,Data!$A:$A,Vitezistii!$B31,Data!$C:$C,Vitezistii!F$1),0)</f>
        <v>1</v>
      </c>
      <c r="G31" s="39">
        <f>IFERROR(IF(SUMIFS(Data!$K:$K,Data!$A:$A,Vitezistii!$B31,Data!$C:$C,Vitezistii!G$1)=0," ",SUMIFS(Data!$K:$K,Data!$A:$A,Vitezistii!$B31,Data!$C:$C,Vitezistii!G$1))+SUMIFS(Data!$Q:$Q,Data!$A:$A,Vitezistii!$B31,Data!$C:$C,Vitezistii!G$1),0)</f>
        <v>1</v>
      </c>
      <c r="H31" s="39">
        <f>IFERROR(IF(SUMIFS(Data!$K:$K,Data!$A:$A,Vitezistii!$B31,Data!$C:$C,Vitezistii!H$1)=0," ",SUMIFS(Data!$K:$K,Data!$A:$A,Vitezistii!$B31,Data!$C:$C,Vitezistii!H$1))+SUMIFS(Data!$Q:$Q,Data!$A:$A,Vitezistii!$B31,Data!$C:$C,Vitezistii!H$1),0)</f>
        <v>1</v>
      </c>
      <c r="I31" s="39">
        <f>IFERROR(IF(SUMIFS(Data!$K:$K,Data!$A:$A,Vitezistii!$B31,Data!$C:$C,Vitezistii!I$1)=0," ",SUMIFS(Data!$K:$K,Data!$A:$A,Vitezistii!$B31,Data!$C:$C,Vitezistii!I$1))+SUMIFS(Data!$Q:$Q,Data!$A:$A,Vitezistii!$B31,Data!$C:$C,Vitezistii!I$1),0)</f>
        <v>1</v>
      </c>
      <c r="J31" s="39">
        <f>IFERROR(IF(SUMIFS(Data!$K:$K,Data!$A:$A,Vitezistii!$B31,Data!$C:$C,Vitezistii!J$1)=0," ",SUMIFS(Data!$K:$K,Data!$A:$A,Vitezistii!$B31,Data!$C:$C,Vitezistii!J$1))+SUMIFS(Data!$Q:$Q,Data!$A:$A,Vitezistii!$B31,Data!$C:$C,Vitezistii!J$1),0)</f>
        <v>1</v>
      </c>
      <c r="K31" s="39">
        <f>IFERROR(IF(SUMIFS(Data!$K:$K,Data!$A:$A,Vitezistii!$B31,Data!$C:$C,Vitezistii!K$1)=0," ",SUMIFS(Data!$K:$K,Data!$A:$A,Vitezistii!$B31,Data!$C:$C,Vitezistii!K$1))+SUMIFS(Data!$Q:$Q,Data!$A:$A,Vitezistii!$B31,Data!$C:$C,Vitezistii!K$1),0)</f>
        <v>1</v>
      </c>
      <c r="L31" s="39">
        <f>IFERROR(IF(SUMIFS(Data!$K:$K,Data!$A:$A,Vitezistii!$B31,Data!$C:$C,Vitezistii!L$1)=0," ",SUMIFS(Data!$K:$K,Data!$A:$A,Vitezistii!$B31,Data!$C:$C,Vitezistii!L$1))+SUMIFS(Data!$Q:$Q,Data!$A:$A,Vitezistii!$B31,Data!$C:$C,Vitezistii!L$1),0)</f>
        <v>0</v>
      </c>
      <c r="M31" s="39">
        <f>IFERROR(IF(SUMIFS(Data!$K:$K,Data!$A:$A,Vitezistii!$B31,Data!$C:$C,Vitezistii!M$1)=0," ",SUMIFS(Data!$K:$K,Data!$A:$A,Vitezistii!$B31,Data!$C:$C,Vitezistii!M$1))+SUMIFS(Data!$Q:$Q,Data!$A:$A,Vitezistii!$B31,Data!$C:$C,Vitezistii!M$1),0)</f>
        <v>0</v>
      </c>
      <c r="N31" s="39">
        <f>IFERROR(IF(SUMIFS(Data!$K:$K,Data!$A:$A,Vitezistii!$B31,Data!$C:$C,Vitezistii!N$1)=0," ",SUMIFS(Data!$K:$K,Data!$A:$A,Vitezistii!$B31,Data!$C:$C,Vitezistii!N$1))+SUMIFS(Data!$Q:$Q,Data!$A:$A,Vitezistii!$B31,Data!$C:$C,Vitezistii!N$1),0)</f>
        <v>0</v>
      </c>
      <c r="O31" s="39">
        <f>IFERROR(IF(SUMIFS(Data!$K:$K,Data!$A:$A,Vitezistii!$B31,Data!$C:$C,Vitezistii!O$1)=0," ",SUMIFS(Data!$K:$K,Data!$A:$A,Vitezistii!$B31,Data!$C:$C,Vitezistii!O$1))+SUMIFS(Data!$Q:$Q,Data!$A:$A,Vitezistii!$B31,Data!$C:$C,Vitezistii!O$1),0)</f>
        <v>0</v>
      </c>
      <c r="P31" s="39">
        <f>IFERROR(IF(SUMIFS(Data!$K:$K,Data!$A:$A,Vitezistii!$B31,Data!$C:$C,Vitezistii!P$1)=0," ",SUMIFS(Data!$K:$K,Data!$A:$A,Vitezistii!$B31,Data!$C:$C,Vitezistii!P$1))+SUMIFS(Data!$Q:$Q,Data!$A:$A,Vitezistii!$B31,Data!$C:$C,Vitezistii!P$1),0)</f>
        <v>0</v>
      </c>
      <c r="Q31" s="39">
        <f>IFERROR(IF(SUMIFS(Data!$K:$K,Data!$A:$A,Vitezistii!$B31,Data!$C:$C,Vitezistii!Q$1)=0," ",SUMIFS(Data!$K:$K,Data!$A:$A,Vitezistii!$B31,Data!$C:$C,Vitezistii!Q$1))+SUMIFS(Data!$Q:$Q,Data!$A:$A,Vitezistii!$B31,Data!$C:$C,Vitezistii!Q$1),0)</f>
        <v>0</v>
      </c>
      <c r="R31" s="39">
        <f t="shared" si="0"/>
        <v>9</v>
      </c>
      <c r="S31" s="39">
        <f>SUMIFS(Data!D:D,Data!A:A,Vitezistii!B31)</f>
        <v>169.59</v>
      </c>
      <c r="T31" s="14">
        <f>SUMIFS(Data!I:I,Data!A:A,Vitezistii!B31)/COUNTIF(Data!A:A,Vitezistii!B31)</f>
        <v>3.9850053431482284E-3</v>
      </c>
    </row>
    <row r="32" spans="1:20" ht="13.8" x14ac:dyDescent="0.3">
      <c r="A32" s="151">
        <v>31</v>
      </c>
      <c r="B32" s="38" t="s">
        <v>60</v>
      </c>
      <c r="C32" s="39">
        <f>IFERROR(IF(SUMIFS(Data!$K:$K,Data!$A:$A,Vitezistii!$B32,Data!$C:$C,Vitezistii!C$1)=0," ",SUMIFS(Data!$K:$K,Data!$A:$A,Vitezistii!$B32,Data!$C:$C,Vitezistii!C$1))+SUMIFS(Data!$Q:$Q,Data!$A:$A,Vitezistii!$B32,Data!$C:$C,Vitezistii!C$1),0)</f>
        <v>0</v>
      </c>
      <c r="D32" s="39">
        <f>IFERROR(IF(SUMIFS(Data!$K:$K,Data!$A:$A,Vitezistii!$B32,Data!$C:$C,Vitezistii!D$1)=0," ",SUMIFS(Data!$K:$K,Data!$A:$A,Vitezistii!$B32,Data!$C:$C,Vitezistii!D$1))+SUMIFS(Data!$Q:$Q,Data!$A:$A,Vitezistii!$B32,Data!$C:$C,Vitezistii!D$1),0)</f>
        <v>1</v>
      </c>
      <c r="E32" s="39">
        <f>IFERROR(IF(SUMIFS(Data!$K:$K,Data!$A:$A,Vitezistii!$B32,Data!$C:$C,Vitezistii!E$1)=0," ",SUMIFS(Data!$K:$K,Data!$A:$A,Vitezistii!$B32,Data!$C:$C,Vitezistii!E$1))+SUMIFS(Data!$Q:$Q,Data!$A:$A,Vitezistii!$B32,Data!$C:$C,Vitezistii!E$1),0)</f>
        <v>1</v>
      </c>
      <c r="F32" s="39">
        <f>IFERROR(IF(SUMIFS(Data!$K:$K,Data!$A:$A,Vitezistii!$B32,Data!$C:$C,Vitezistii!F$1)=0," ",SUMIFS(Data!$K:$K,Data!$A:$A,Vitezistii!$B32,Data!$C:$C,Vitezistii!F$1))+SUMIFS(Data!$Q:$Q,Data!$A:$A,Vitezistii!$B32,Data!$C:$C,Vitezistii!F$1),0)</f>
        <v>1</v>
      </c>
      <c r="G32" s="39">
        <f>IFERROR(IF(SUMIFS(Data!$K:$K,Data!$A:$A,Vitezistii!$B32,Data!$C:$C,Vitezistii!G$1)=0," ",SUMIFS(Data!$K:$K,Data!$A:$A,Vitezistii!$B32,Data!$C:$C,Vitezistii!G$1))+SUMIFS(Data!$Q:$Q,Data!$A:$A,Vitezistii!$B32,Data!$C:$C,Vitezistii!G$1),0)</f>
        <v>1</v>
      </c>
      <c r="H32" s="39">
        <f>IFERROR(IF(SUMIFS(Data!$K:$K,Data!$A:$A,Vitezistii!$B32,Data!$C:$C,Vitezistii!H$1)=0," ",SUMIFS(Data!$K:$K,Data!$A:$A,Vitezistii!$B32,Data!$C:$C,Vitezistii!H$1))+SUMIFS(Data!$Q:$Q,Data!$A:$A,Vitezistii!$B32,Data!$C:$C,Vitezistii!H$1),0)</f>
        <v>1</v>
      </c>
      <c r="I32" s="39">
        <f>IFERROR(IF(SUMIFS(Data!$K:$K,Data!$A:$A,Vitezistii!$B32,Data!$C:$C,Vitezistii!I$1)=0," ",SUMIFS(Data!$K:$K,Data!$A:$A,Vitezistii!$B32,Data!$C:$C,Vitezistii!I$1))+SUMIFS(Data!$Q:$Q,Data!$A:$A,Vitezistii!$B32,Data!$C:$C,Vitezistii!I$1),0)</f>
        <v>1</v>
      </c>
      <c r="J32" s="39">
        <f>IFERROR(IF(SUMIFS(Data!$K:$K,Data!$A:$A,Vitezistii!$B32,Data!$C:$C,Vitezistii!J$1)=0," ",SUMIFS(Data!$K:$K,Data!$A:$A,Vitezistii!$B32,Data!$C:$C,Vitezistii!J$1))+SUMIFS(Data!$Q:$Q,Data!$A:$A,Vitezistii!$B32,Data!$C:$C,Vitezistii!J$1),0)</f>
        <v>1</v>
      </c>
      <c r="K32" s="39">
        <f>IFERROR(IF(SUMIFS(Data!$K:$K,Data!$A:$A,Vitezistii!$B32,Data!$C:$C,Vitezistii!K$1)=0," ",SUMIFS(Data!$K:$K,Data!$A:$A,Vitezistii!$B32,Data!$C:$C,Vitezistii!K$1))+SUMIFS(Data!$Q:$Q,Data!$A:$A,Vitezistii!$B32,Data!$C:$C,Vitezistii!K$1),0)</f>
        <v>0</v>
      </c>
      <c r="L32" s="39">
        <f>IFERROR(IF(SUMIFS(Data!$K:$K,Data!$A:$A,Vitezistii!$B32,Data!$C:$C,Vitezistii!L$1)=0," ",SUMIFS(Data!$K:$K,Data!$A:$A,Vitezistii!$B32,Data!$C:$C,Vitezistii!L$1))+SUMIFS(Data!$Q:$Q,Data!$A:$A,Vitezistii!$B32,Data!$C:$C,Vitezistii!L$1),0)</f>
        <v>0</v>
      </c>
      <c r="M32" s="39">
        <f>IFERROR(IF(SUMIFS(Data!$K:$K,Data!$A:$A,Vitezistii!$B32,Data!$C:$C,Vitezistii!M$1)=0," ",SUMIFS(Data!$K:$K,Data!$A:$A,Vitezistii!$B32,Data!$C:$C,Vitezistii!M$1))+SUMIFS(Data!$Q:$Q,Data!$A:$A,Vitezistii!$B32,Data!$C:$C,Vitezistii!M$1),0)</f>
        <v>0</v>
      </c>
      <c r="N32" s="39">
        <f>IFERROR(IF(SUMIFS(Data!$K:$K,Data!$A:$A,Vitezistii!$B32,Data!$C:$C,Vitezistii!N$1)=0," ",SUMIFS(Data!$K:$K,Data!$A:$A,Vitezistii!$B32,Data!$C:$C,Vitezistii!N$1))+SUMIFS(Data!$Q:$Q,Data!$A:$A,Vitezistii!$B32,Data!$C:$C,Vitezistii!N$1),0)</f>
        <v>0</v>
      </c>
      <c r="O32" s="39">
        <f>IFERROR(IF(SUMIFS(Data!$K:$K,Data!$A:$A,Vitezistii!$B32,Data!$C:$C,Vitezistii!O$1)=0," ",SUMIFS(Data!$K:$K,Data!$A:$A,Vitezistii!$B32,Data!$C:$C,Vitezistii!O$1))+SUMIFS(Data!$Q:$Q,Data!$A:$A,Vitezistii!$B32,Data!$C:$C,Vitezistii!O$1),0)</f>
        <v>0</v>
      </c>
      <c r="P32" s="39">
        <f>IFERROR(IF(SUMIFS(Data!$K:$K,Data!$A:$A,Vitezistii!$B32,Data!$C:$C,Vitezistii!P$1)=0," ",SUMIFS(Data!$K:$K,Data!$A:$A,Vitezistii!$B32,Data!$C:$C,Vitezistii!P$1))+SUMIFS(Data!$Q:$Q,Data!$A:$A,Vitezistii!$B32,Data!$C:$C,Vitezistii!P$1),0)</f>
        <v>1</v>
      </c>
      <c r="Q32" s="39">
        <f>IFERROR(IF(SUMIFS(Data!$K:$K,Data!$A:$A,Vitezistii!$B32,Data!$C:$C,Vitezistii!Q$1)=0," ",SUMIFS(Data!$K:$K,Data!$A:$A,Vitezistii!$B32,Data!$C:$C,Vitezistii!Q$1))+SUMIFS(Data!$Q:$Q,Data!$A:$A,Vitezistii!$B32,Data!$C:$C,Vitezistii!Q$1),0)</f>
        <v>1</v>
      </c>
      <c r="R32" s="39">
        <f t="shared" si="0"/>
        <v>9</v>
      </c>
      <c r="S32" s="39">
        <f>SUMIFS(Data!D:D,Data!A:A,Vitezistii!B32)</f>
        <v>90.4</v>
      </c>
      <c r="T32" s="14">
        <f>SUMIFS(Data!I:I,Data!A:A,Vitezistii!B32)/COUNTIF(Data!A:A,Vitezistii!B32)</f>
        <v>3.4767385818313483E-3</v>
      </c>
    </row>
    <row r="33" spans="1:20" ht="13.8" x14ac:dyDescent="0.3">
      <c r="A33" s="151">
        <v>32</v>
      </c>
      <c r="B33" s="38" t="s">
        <v>65</v>
      </c>
      <c r="C33" s="39">
        <f>IFERROR(IF(SUMIFS(Data!$K:$K,Data!$A:$A,Vitezistii!$B33,Data!$C:$C,Vitezistii!C$1)=0," ",SUMIFS(Data!$K:$K,Data!$A:$A,Vitezistii!$B33,Data!$C:$C,Vitezistii!C$1))+SUMIFS(Data!$Q:$Q,Data!$A:$A,Vitezistii!$B33,Data!$C:$C,Vitezistii!C$1),0)</f>
        <v>2</v>
      </c>
      <c r="D33" s="39">
        <f>IFERROR(IF(SUMIFS(Data!$K:$K,Data!$A:$A,Vitezistii!$B33,Data!$C:$C,Vitezistii!D$1)=0," ",SUMIFS(Data!$K:$K,Data!$A:$A,Vitezistii!$B33,Data!$C:$C,Vitezistii!D$1))+SUMIFS(Data!$Q:$Q,Data!$A:$A,Vitezistii!$B33,Data!$C:$C,Vitezistii!D$1),0)</f>
        <v>0</v>
      </c>
      <c r="E33" s="39">
        <f>IFERROR(IF(SUMIFS(Data!$K:$K,Data!$A:$A,Vitezistii!$B33,Data!$C:$C,Vitezistii!E$1)=0," ",SUMIFS(Data!$K:$K,Data!$A:$A,Vitezistii!$B33,Data!$C:$C,Vitezistii!E$1))+SUMIFS(Data!$Q:$Q,Data!$A:$A,Vitezistii!$B33,Data!$C:$C,Vitezistii!E$1),0)</f>
        <v>0</v>
      </c>
      <c r="F33" s="39">
        <f>IFERROR(IF(SUMIFS(Data!$K:$K,Data!$A:$A,Vitezistii!$B33,Data!$C:$C,Vitezistii!F$1)=0," ",SUMIFS(Data!$K:$K,Data!$A:$A,Vitezistii!$B33,Data!$C:$C,Vitezistii!F$1))+SUMIFS(Data!$Q:$Q,Data!$A:$A,Vitezistii!$B33,Data!$C:$C,Vitezistii!F$1),0)</f>
        <v>3.5</v>
      </c>
      <c r="G33" s="39">
        <f>IFERROR(IF(SUMIFS(Data!$K:$K,Data!$A:$A,Vitezistii!$B33,Data!$C:$C,Vitezistii!G$1)=0," ",SUMIFS(Data!$K:$K,Data!$A:$A,Vitezistii!$B33,Data!$C:$C,Vitezistii!G$1))+SUMIFS(Data!$Q:$Q,Data!$A:$A,Vitezistii!$B33,Data!$C:$C,Vitezistii!G$1),0)</f>
        <v>0</v>
      </c>
      <c r="H33" s="39">
        <f>IFERROR(IF(SUMIFS(Data!$K:$K,Data!$A:$A,Vitezistii!$B33,Data!$C:$C,Vitezistii!H$1)=0," ",SUMIFS(Data!$K:$K,Data!$A:$A,Vitezistii!$B33,Data!$C:$C,Vitezistii!H$1))+SUMIFS(Data!$Q:$Q,Data!$A:$A,Vitezistii!$B33,Data!$C:$C,Vitezistii!H$1),0)</f>
        <v>0</v>
      </c>
      <c r="I33" s="39">
        <f>IFERROR(IF(SUMIFS(Data!$K:$K,Data!$A:$A,Vitezistii!$B33,Data!$C:$C,Vitezistii!I$1)=0," ",SUMIFS(Data!$K:$K,Data!$A:$A,Vitezistii!$B33,Data!$C:$C,Vitezistii!I$1))+SUMIFS(Data!$Q:$Q,Data!$A:$A,Vitezistii!$B33,Data!$C:$C,Vitezistii!I$1),0)</f>
        <v>0</v>
      </c>
      <c r="J33" s="39">
        <f>IFERROR(IF(SUMIFS(Data!$K:$K,Data!$A:$A,Vitezistii!$B33,Data!$C:$C,Vitezistii!J$1)=0," ",SUMIFS(Data!$K:$K,Data!$A:$A,Vitezistii!$B33,Data!$C:$C,Vitezistii!J$1))+SUMIFS(Data!$Q:$Q,Data!$A:$A,Vitezistii!$B33,Data!$C:$C,Vitezistii!J$1),0)</f>
        <v>0</v>
      </c>
      <c r="K33" s="39">
        <f>IFERROR(IF(SUMIFS(Data!$K:$K,Data!$A:$A,Vitezistii!$B33,Data!$C:$C,Vitezistii!K$1)=0," ",SUMIFS(Data!$K:$K,Data!$A:$A,Vitezistii!$B33,Data!$C:$C,Vitezistii!K$1))+SUMIFS(Data!$Q:$Q,Data!$A:$A,Vitezistii!$B33,Data!$C:$C,Vitezistii!K$1),0)</f>
        <v>0</v>
      </c>
      <c r="L33" s="39">
        <f>IFERROR(IF(SUMIFS(Data!$K:$K,Data!$A:$A,Vitezistii!$B33,Data!$C:$C,Vitezistii!L$1)=0," ",SUMIFS(Data!$K:$K,Data!$A:$A,Vitezistii!$B33,Data!$C:$C,Vitezistii!L$1))+SUMIFS(Data!$Q:$Q,Data!$A:$A,Vitezistii!$B33,Data!$C:$C,Vitezistii!L$1),0)</f>
        <v>0</v>
      </c>
      <c r="M33" s="39">
        <f>IFERROR(IF(SUMIFS(Data!$K:$K,Data!$A:$A,Vitezistii!$B33,Data!$C:$C,Vitezistii!M$1)=0," ",SUMIFS(Data!$K:$K,Data!$A:$A,Vitezistii!$B33,Data!$C:$C,Vitezistii!M$1))+SUMIFS(Data!$Q:$Q,Data!$A:$A,Vitezistii!$B33,Data!$C:$C,Vitezistii!M$1),0)</f>
        <v>0</v>
      </c>
      <c r="N33" s="39">
        <f>IFERROR(IF(SUMIFS(Data!$K:$K,Data!$A:$A,Vitezistii!$B33,Data!$C:$C,Vitezistii!N$1)=0," ",SUMIFS(Data!$K:$K,Data!$A:$A,Vitezistii!$B33,Data!$C:$C,Vitezistii!N$1))+SUMIFS(Data!$Q:$Q,Data!$A:$A,Vitezistii!$B33,Data!$C:$C,Vitezistii!N$1),0)</f>
        <v>0</v>
      </c>
      <c r="O33" s="39">
        <f>IFERROR(IF(SUMIFS(Data!$K:$K,Data!$A:$A,Vitezistii!$B33,Data!$C:$C,Vitezistii!O$1)=0," ",SUMIFS(Data!$K:$K,Data!$A:$A,Vitezistii!$B33,Data!$C:$C,Vitezistii!O$1))+SUMIFS(Data!$Q:$Q,Data!$A:$A,Vitezistii!$B33,Data!$C:$C,Vitezistii!O$1),0)</f>
        <v>0</v>
      </c>
      <c r="P33" s="39">
        <f>IFERROR(IF(SUMIFS(Data!$K:$K,Data!$A:$A,Vitezistii!$B33,Data!$C:$C,Vitezistii!P$1)=0," ",SUMIFS(Data!$K:$K,Data!$A:$A,Vitezistii!$B33,Data!$C:$C,Vitezistii!P$1))+SUMIFS(Data!$Q:$Q,Data!$A:$A,Vitezistii!$B33,Data!$C:$C,Vitezistii!P$1),0)</f>
        <v>1.5</v>
      </c>
      <c r="Q33" s="39">
        <f>IFERROR(IF(SUMIFS(Data!$K:$K,Data!$A:$A,Vitezistii!$B33,Data!$C:$C,Vitezistii!Q$1)=0," ",SUMIFS(Data!$K:$K,Data!$A:$A,Vitezistii!$B33,Data!$C:$C,Vitezistii!Q$1))+SUMIFS(Data!$Q:$Q,Data!$A:$A,Vitezistii!$B33,Data!$C:$C,Vitezistii!Q$1),0)</f>
        <v>1.5</v>
      </c>
      <c r="R33" s="39">
        <f t="shared" si="0"/>
        <v>8.5</v>
      </c>
      <c r="S33" s="39">
        <f>SUMIFS(Data!D:D,Data!A:A,Vitezistii!B33)</f>
        <v>124.92999999999999</v>
      </c>
      <c r="T33" s="14">
        <f>SUMIFS(Data!I:I,Data!A:A,Vitezistii!B33)/COUNTIF(Data!A:A,Vitezistii!B33)</f>
        <v>3.3318526964569613E-3</v>
      </c>
    </row>
    <row r="34" spans="1:20" ht="13.8" x14ac:dyDescent="0.3">
      <c r="A34" s="151">
        <v>33</v>
      </c>
      <c r="B34" s="38" t="s">
        <v>244</v>
      </c>
      <c r="C34" s="39">
        <f>IFERROR(IF(SUMIFS(Data!$K:$K,Data!$A:$A,Vitezistii!$B34,Data!$C:$C,Vitezistii!C$1)=0," ",SUMIFS(Data!$K:$K,Data!$A:$A,Vitezistii!$B34,Data!$C:$C,Vitezistii!C$1))+SUMIFS(Data!$Q:$Q,Data!$A:$A,Vitezistii!$B34,Data!$C:$C,Vitezistii!C$1),0)</f>
        <v>1</v>
      </c>
      <c r="D34" s="39">
        <f>IFERROR(IF(SUMIFS(Data!$K:$K,Data!$A:$A,Vitezistii!$B34,Data!$C:$C,Vitezistii!D$1)=0," ",SUMIFS(Data!$K:$K,Data!$A:$A,Vitezistii!$B34,Data!$C:$C,Vitezistii!D$1))+SUMIFS(Data!$Q:$Q,Data!$A:$A,Vitezistii!$B34,Data!$C:$C,Vitezistii!D$1),0)</f>
        <v>2</v>
      </c>
      <c r="E34" s="39">
        <f>IFERROR(IF(SUMIFS(Data!$K:$K,Data!$A:$A,Vitezistii!$B34,Data!$C:$C,Vitezistii!E$1)=0," ",SUMIFS(Data!$K:$K,Data!$A:$A,Vitezistii!$B34,Data!$C:$C,Vitezistii!E$1))+SUMIFS(Data!$Q:$Q,Data!$A:$A,Vitezistii!$B34,Data!$C:$C,Vitezistii!E$1),0)</f>
        <v>2</v>
      </c>
      <c r="F34" s="39">
        <f>IFERROR(IF(SUMIFS(Data!$K:$K,Data!$A:$A,Vitezistii!$B34,Data!$C:$C,Vitezistii!F$1)=0," ",SUMIFS(Data!$K:$K,Data!$A:$A,Vitezistii!$B34,Data!$C:$C,Vitezistii!F$1))+SUMIFS(Data!$Q:$Q,Data!$A:$A,Vitezistii!$B34,Data!$C:$C,Vitezistii!F$1),0)</f>
        <v>0</v>
      </c>
      <c r="G34" s="39">
        <f>IFERROR(IF(SUMIFS(Data!$K:$K,Data!$A:$A,Vitezistii!$B34,Data!$C:$C,Vitezistii!G$1)=0," ",SUMIFS(Data!$K:$K,Data!$A:$A,Vitezistii!$B34,Data!$C:$C,Vitezistii!G$1))+SUMIFS(Data!$Q:$Q,Data!$A:$A,Vitezistii!$B34,Data!$C:$C,Vitezistii!G$1),0)</f>
        <v>1.5</v>
      </c>
      <c r="H34" s="39">
        <f>IFERROR(IF(SUMIFS(Data!$K:$K,Data!$A:$A,Vitezistii!$B34,Data!$C:$C,Vitezistii!H$1)=0," ",SUMIFS(Data!$K:$K,Data!$A:$A,Vitezistii!$B34,Data!$C:$C,Vitezistii!H$1))+SUMIFS(Data!$Q:$Q,Data!$A:$A,Vitezistii!$B34,Data!$C:$C,Vitezistii!H$1),0)</f>
        <v>0</v>
      </c>
      <c r="I34" s="39">
        <f>IFERROR(IF(SUMIFS(Data!$K:$K,Data!$A:$A,Vitezistii!$B34,Data!$C:$C,Vitezistii!I$1)=0," ",SUMIFS(Data!$K:$K,Data!$A:$A,Vitezistii!$B34,Data!$C:$C,Vitezistii!I$1))+SUMIFS(Data!$Q:$Q,Data!$A:$A,Vitezistii!$B34,Data!$C:$C,Vitezistii!I$1),0)</f>
        <v>0</v>
      </c>
      <c r="J34" s="39">
        <f>IFERROR(IF(SUMIFS(Data!$K:$K,Data!$A:$A,Vitezistii!$B34,Data!$C:$C,Vitezistii!J$1)=0," ",SUMIFS(Data!$K:$K,Data!$A:$A,Vitezistii!$B34,Data!$C:$C,Vitezistii!J$1))+SUMIFS(Data!$Q:$Q,Data!$A:$A,Vitezistii!$B34,Data!$C:$C,Vitezistii!J$1),0)</f>
        <v>0</v>
      </c>
      <c r="K34" s="39">
        <f>IFERROR(IF(SUMIFS(Data!$K:$K,Data!$A:$A,Vitezistii!$B34,Data!$C:$C,Vitezistii!K$1)=0," ",SUMIFS(Data!$K:$K,Data!$A:$A,Vitezistii!$B34,Data!$C:$C,Vitezistii!K$1))+SUMIFS(Data!$Q:$Q,Data!$A:$A,Vitezistii!$B34,Data!$C:$C,Vitezistii!K$1),0)</f>
        <v>0</v>
      </c>
      <c r="L34" s="39">
        <f>IFERROR(IF(SUMIFS(Data!$K:$K,Data!$A:$A,Vitezistii!$B34,Data!$C:$C,Vitezistii!L$1)=0," ",SUMIFS(Data!$K:$K,Data!$A:$A,Vitezistii!$B34,Data!$C:$C,Vitezistii!L$1))+SUMIFS(Data!$Q:$Q,Data!$A:$A,Vitezistii!$B34,Data!$C:$C,Vitezistii!L$1),0)</f>
        <v>0</v>
      </c>
      <c r="M34" s="39">
        <f>IFERROR(IF(SUMIFS(Data!$K:$K,Data!$A:$A,Vitezistii!$B34,Data!$C:$C,Vitezistii!M$1)=0," ",SUMIFS(Data!$K:$K,Data!$A:$A,Vitezistii!$B34,Data!$C:$C,Vitezistii!M$1))+SUMIFS(Data!$Q:$Q,Data!$A:$A,Vitezistii!$B34,Data!$C:$C,Vitezistii!M$1),0)</f>
        <v>0</v>
      </c>
      <c r="N34" s="39">
        <f>IFERROR(IF(SUMIFS(Data!$K:$K,Data!$A:$A,Vitezistii!$B34,Data!$C:$C,Vitezistii!N$1)=0," ",SUMIFS(Data!$K:$K,Data!$A:$A,Vitezistii!$B34,Data!$C:$C,Vitezistii!N$1))+SUMIFS(Data!$Q:$Q,Data!$A:$A,Vitezistii!$B34,Data!$C:$C,Vitezistii!N$1),0)</f>
        <v>0</v>
      </c>
      <c r="O34" s="39">
        <f>IFERROR(IF(SUMIFS(Data!$K:$K,Data!$A:$A,Vitezistii!$B34,Data!$C:$C,Vitezistii!O$1)=0," ",SUMIFS(Data!$K:$K,Data!$A:$A,Vitezistii!$B34,Data!$C:$C,Vitezistii!O$1))+SUMIFS(Data!$Q:$Q,Data!$A:$A,Vitezistii!$B34,Data!$C:$C,Vitezistii!O$1),0)</f>
        <v>0</v>
      </c>
      <c r="P34" s="39">
        <f>IFERROR(IF(SUMIFS(Data!$K:$K,Data!$A:$A,Vitezistii!$B34,Data!$C:$C,Vitezistii!P$1)=0," ",SUMIFS(Data!$K:$K,Data!$A:$A,Vitezistii!$B34,Data!$C:$C,Vitezistii!P$1))+SUMIFS(Data!$Q:$Q,Data!$A:$A,Vitezistii!$B34,Data!$C:$C,Vitezistii!P$1),0)</f>
        <v>0</v>
      </c>
      <c r="Q34" s="39">
        <f>IFERROR(IF(SUMIFS(Data!$K:$K,Data!$A:$A,Vitezistii!$B34,Data!$C:$C,Vitezistii!Q$1)=0," ",SUMIFS(Data!$K:$K,Data!$A:$A,Vitezistii!$B34,Data!$C:$C,Vitezistii!Q$1))+SUMIFS(Data!$Q:$Q,Data!$A:$A,Vitezistii!$B34,Data!$C:$C,Vitezistii!Q$1),0)</f>
        <v>0</v>
      </c>
      <c r="R34" s="39">
        <f t="shared" si="0"/>
        <v>6.5</v>
      </c>
      <c r="S34" s="39">
        <f>SUMIFS(Data!D:D,Data!A:A,Vitezistii!B34)</f>
        <v>202.21</v>
      </c>
      <c r="T34" s="14">
        <f>SUMIFS(Data!I:I,Data!A:A,Vitezistii!B34)/COUNTIF(Data!A:A,Vitezistii!B34)</f>
        <v>5.057519032080458E-3</v>
      </c>
    </row>
    <row r="35" spans="1:20" ht="13.8" x14ac:dyDescent="0.3">
      <c r="A35" s="151">
        <v>34</v>
      </c>
      <c r="B35" s="38" t="s">
        <v>314</v>
      </c>
      <c r="C35" s="39">
        <f>IFERROR(IF(SUMIFS(Data!$K:$K,Data!$A:$A,Vitezistii!$B35,Data!$C:$C,Vitezistii!C$1)=0," ",SUMIFS(Data!$K:$K,Data!$A:$A,Vitezistii!$B35,Data!$C:$C,Vitezistii!C$1))+SUMIFS(Data!$Q:$Q,Data!$A:$A,Vitezistii!$B35,Data!$C:$C,Vitezistii!C$1),0)</f>
        <v>0</v>
      </c>
      <c r="D35" s="39">
        <f>IFERROR(IF(SUMIFS(Data!$K:$K,Data!$A:$A,Vitezistii!$B35,Data!$C:$C,Vitezistii!D$1)=0," ",SUMIFS(Data!$K:$K,Data!$A:$A,Vitezistii!$B35,Data!$C:$C,Vitezistii!D$1))+SUMIFS(Data!$Q:$Q,Data!$A:$A,Vitezistii!$B35,Data!$C:$C,Vitezistii!D$1),0)</f>
        <v>0</v>
      </c>
      <c r="E35" s="39">
        <f>IFERROR(IF(SUMIFS(Data!$K:$K,Data!$A:$A,Vitezistii!$B35,Data!$C:$C,Vitezistii!E$1)=0," ",SUMIFS(Data!$K:$K,Data!$A:$A,Vitezistii!$B35,Data!$C:$C,Vitezistii!E$1))+SUMIFS(Data!$Q:$Q,Data!$A:$A,Vitezistii!$B35,Data!$C:$C,Vitezistii!E$1),0)</f>
        <v>0</v>
      </c>
      <c r="F35" s="39">
        <f>IFERROR(IF(SUMIFS(Data!$K:$K,Data!$A:$A,Vitezistii!$B35,Data!$C:$C,Vitezistii!F$1)=0," ",SUMIFS(Data!$K:$K,Data!$A:$A,Vitezistii!$B35,Data!$C:$C,Vitezistii!F$1))+SUMIFS(Data!$Q:$Q,Data!$A:$A,Vitezistii!$B35,Data!$C:$C,Vitezistii!F$1),0)</f>
        <v>0</v>
      </c>
      <c r="G35" s="39">
        <f>IFERROR(IF(SUMIFS(Data!$K:$K,Data!$A:$A,Vitezistii!$B35,Data!$C:$C,Vitezistii!G$1)=0," ",SUMIFS(Data!$K:$K,Data!$A:$A,Vitezistii!$B35,Data!$C:$C,Vitezistii!G$1))+SUMIFS(Data!$Q:$Q,Data!$A:$A,Vitezistii!$B35,Data!$C:$C,Vitezistii!G$1),0)</f>
        <v>0</v>
      </c>
      <c r="H35" s="39">
        <f>IFERROR(IF(SUMIFS(Data!$K:$K,Data!$A:$A,Vitezistii!$B35,Data!$C:$C,Vitezistii!H$1)=0," ",SUMIFS(Data!$K:$K,Data!$A:$A,Vitezistii!$B35,Data!$C:$C,Vitezistii!H$1))+SUMIFS(Data!$Q:$Q,Data!$A:$A,Vitezistii!$B35,Data!$C:$C,Vitezistii!H$1),0)</f>
        <v>0</v>
      </c>
      <c r="I35" s="39">
        <f>IFERROR(IF(SUMIFS(Data!$K:$K,Data!$A:$A,Vitezistii!$B35,Data!$C:$C,Vitezistii!I$1)=0," ",SUMIFS(Data!$K:$K,Data!$A:$A,Vitezistii!$B35,Data!$C:$C,Vitezistii!I$1))+SUMIFS(Data!$Q:$Q,Data!$A:$A,Vitezistii!$B35,Data!$C:$C,Vitezistii!I$1),0)</f>
        <v>0</v>
      </c>
      <c r="J35" s="39">
        <f>IFERROR(IF(SUMIFS(Data!$K:$K,Data!$A:$A,Vitezistii!$B35,Data!$C:$C,Vitezistii!J$1)=0," ",SUMIFS(Data!$K:$K,Data!$A:$A,Vitezistii!$B35,Data!$C:$C,Vitezistii!J$1))+SUMIFS(Data!$Q:$Q,Data!$A:$A,Vitezistii!$B35,Data!$C:$C,Vitezistii!J$1),0)</f>
        <v>0</v>
      </c>
      <c r="K35" s="39">
        <f>IFERROR(IF(SUMIFS(Data!$K:$K,Data!$A:$A,Vitezistii!$B35,Data!$C:$C,Vitezistii!K$1)=0," ",SUMIFS(Data!$K:$K,Data!$A:$A,Vitezistii!$B35,Data!$C:$C,Vitezistii!K$1))+SUMIFS(Data!$Q:$Q,Data!$A:$A,Vitezistii!$B35,Data!$C:$C,Vitezistii!K$1),0)</f>
        <v>0</v>
      </c>
      <c r="L35" s="39">
        <f>IFERROR(IF(SUMIFS(Data!$K:$K,Data!$A:$A,Vitezistii!$B35,Data!$C:$C,Vitezistii!L$1)=0," ",SUMIFS(Data!$K:$K,Data!$A:$A,Vitezistii!$B35,Data!$C:$C,Vitezistii!L$1))+SUMIFS(Data!$Q:$Q,Data!$A:$A,Vitezistii!$B35,Data!$C:$C,Vitezistii!L$1),0)</f>
        <v>0</v>
      </c>
      <c r="M35" s="39">
        <f>IFERROR(IF(SUMIFS(Data!$K:$K,Data!$A:$A,Vitezistii!$B35,Data!$C:$C,Vitezistii!M$1)=0," ",SUMIFS(Data!$K:$K,Data!$A:$A,Vitezistii!$B35,Data!$C:$C,Vitezistii!M$1))+SUMIFS(Data!$Q:$Q,Data!$A:$A,Vitezistii!$B35,Data!$C:$C,Vitezistii!M$1),0)</f>
        <v>0</v>
      </c>
      <c r="N35" s="39">
        <f>IFERROR(IF(SUMIFS(Data!$K:$K,Data!$A:$A,Vitezistii!$B35,Data!$C:$C,Vitezistii!N$1)=0," ",SUMIFS(Data!$K:$K,Data!$A:$A,Vitezistii!$B35,Data!$C:$C,Vitezistii!N$1))+SUMIFS(Data!$Q:$Q,Data!$A:$A,Vitezistii!$B35,Data!$C:$C,Vitezistii!N$1),0)</f>
        <v>4.5</v>
      </c>
      <c r="O35" s="39">
        <f>IFERROR(IF(SUMIFS(Data!$K:$K,Data!$A:$A,Vitezistii!$B35,Data!$C:$C,Vitezistii!O$1)=0," ",SUMIFS(Data!$K:$K,Data!$A:$A,Vitezistii!$B35,Data!$C:$C,Vitezistii!O$1))+SUMIFS(Data!$Q:$Q,Data!$A:$A,Vitezistii!$B35,Data!$C:$C,Vitezistii!O$1),0)</f>
        <v>0</v>
      </c>
      <c r="P35" s="39">
        <f>IFERROR(IF(SUMIFS(Data!$K:$K,Data!$A:$A,Vitezistii!$B35,Data!$C:$C,Vitezistii!P$1)=0," ",SUMIFS(Data!$K:$K,Data!$A:$A,Vitezistii!$B35,Data!$C:$C,Vitezistii!P$1))+SUMIFS(Data!$Q:$Q,Data!$A:$A,Vitezistii!$B35,Data!$C:$C,Vitezistii!P$1),0)</f>
        <v>0</v>
      </c>
      <c r="Q35" s="39">
        <f>IFERROR(IF(SUMIFS(Data!$K:$K,Data!$A:$A,Vitezistii!$B35,Data!$C:$C,Vitezistii!Q$1)=0," ",SUMIFS(Data!$K:$K,Data!$A:$A,Vitezistii!$B35,Data!$C:$C,Vitezistii!Q$1))+SUMIFS(Data!$Q:$Q,Data!$A:$A,Vitezistii!$B35,Data!$C:$C,Vitezistii!Q$1),0)</f>
        <v>0</v>
      </c>
      <c r="R35" s="39">
        <f t="shared" si="0"/>
        <v>4.5</v>
      </c>
      <c r="S35" s="39">
        <f>SUMIFS(Data!D:D,Data!A:A,Vitezistii!B35)</f>
        <v>4</v>
      </c>
      <c r="T35" s="14">
        <f>SUMIFS(Data!I:I,Data!A:A,Vitezistii!B35)/COUNTIF(Data!A:A,Vitezistii!B35)</f>
        <v>1.4351851851851854E-3</v>
      </c>
    </row>
    <row r="36" spans="1:20" ht="13.8" x14ac:dyDescent="0.3">
      <c r="A36" s="151">
        <v>35</v>
      </c>
      <c r="B36" s="38" t="s">
        <v>100</v>
      </c>
      <c r="C36" s="39">
        <f>IFERROR(IF(SUMIFS(Data!$K:$K,Data!$A:$A,Vitezistii!$B36,Data!$C:$C,Vitezistii!C$1)=0," ",SUMIFS(Data!$K:$K,Data!$A:$A,Vitezistii!$B36,Data!$C:$C,Vitezistii!C$1))+SUMIFS(Data!$Q:$Q,Data!$A:$A,Vitezistii!$B36,Data!$C:$C,Vitezistii!C$1),0)</f>
        <v>1</v>
      </c>
      <c r="D36" s="39">
        <f>IFERROR(IF(SUMIFS(Data!$K:$K,Data!$A:$A,Vitezistii!$B36,Data!$C:$C,Vitezistii!D$1)=0," ",SUMIFS(Data!$K:$K,Data!$A:$A,Vitezistii!$B36,Data!$C:$C,Vitezistii!D$1))+SUMIFS(Data!$Q:$Q,Data!$A:$A,Vitezistii!$B36,Data!$C:$C,Vitezistii!D$1),0)</f>
        <v>0</v>
      </c>
      <c r="E36" s="39">
        <f>IFERROR(IF(SUMIFS(Data!$K:$K,Data!$A:$A,Vitezistii!$B36,Data!$C:$C,Vitezistii!E$1)=0," ",SUMIFS(Data!$K:$K,Data!$A:$A,Vitezistii!$B36,Data!$C:$C,Vitezistii!E$1))+SUMIFS(Data!$Q:$Q,Data!$A:$A,Vitezistii!$B36,Data!$C:$C,Vitezistii!E$1),0)</f>
        <v>1</v>
      </c>
      <c r="F36" s="39">
        <f>IFERROR(IF(SUMIFS(Data!$K:$K,Data!$A:$A,Vitezistii!$B36,Data!$C:$C,Vitezistii!F$1)=0," ",SUMIFS(Data!$K:$K,Data!$A:$A,Vitezistii!$B36,Data!$C:$C,Vitezistii!F$1))+SUMIFS(Data!$Q:$Q,Data!$A:$A,Vitezistii!$B36,Data!$C:$C,Vitezistii!F$1),0)</f>
        <v>1</v>
      </c>
      <c r="G36" s="39">
        <f>IFERROR(IF(SUMIFS(Data!$K:$K,Data!$A:$A,Vitezistii!$B36,Data!$C:$C,Vitezistii!G$1)=0," ",SUMIFS(Data!$K:$K,Data!$A:$A,Vitezistii!$B36,Data!$C:$C,Vitezistii!G$1))+SUMIFS(Data!$Q:$Q,Data!$A:$A,Vitezistii!$B36,Data!$C:$C,Vitezistii!G$1),0)</f>
        <v>0</v>
      </c>
      <c r="H36" s="39">
        <f>IFERROR(IF(SUMIFS(Data!$K:$K,Data!$A:$A,Vitezistii!$B36,Data!$C:$C,Vitezistii!H$1)=0," ",SUMIFS(Data!$K:$K,Data!$A:$A,Vitezistii!$B36,Data!$C:$C,Vitezistii!H$1))+SUMIFS(Data!$Q:$Q,Data!$A:$A,Vitezistii!$B36,Data!$C:$C,Vitezistii!H$1),0)</f>
        <v>0</v>
      </c>
      <c r="I36" s="39">
        <f>IFERROR(IF(SUMIFS(Data!$K:$K,Data!$A:$A,Vitezistii!$B36,Data!$C:$C,Vitezistii!I$1)=0," ",SUMIFS(Data!$K:$K,Data!$A:$A,Vitezistii!$B36,Data!$C:$C,Vitezistii!I$1))+SUMIFS(Data!$Q:$Q,Data!$A:$A,Vitezistii!$B36,Data!$C:$C,Vitezistii!I$1),0)</f>
        <v>1</v>
      </c>
      <c r="J36" s="39">
        <f>IFERROR(IF(SUMIFS(Data!$K:$K,Data!$A:$A,Vitezistii!$B36,Data!$C:$C,Vitezistii!J$1)=0," ",SUMIFS(Data!$K:$K,Data!$A:$A,Vitezistii!$B36,Data!$C:$C,Vitezistii!J$1))+SUMIFS(Data!$Q:$Q,Data!$A:$A,Vitezistii!$B36,Data!$C:$C,Vitezistii!J$1),0)</f>
        <v>0</v>
      </c>
      <c r="K36" s="39">
        <f>IFERROR(IF(SUMIFS(Data!$K:$K,Data!$A:$A,Vitezistii!$B36,Data!$C:$C,Vitezistii!K$1)=0," ",SUMIFS(Data!$K:$K,Data!$A:$A,Vitezistii!$B36,Data!$C:$C,Vitezistii!K$1))+SUMIFS(Data!$Q:$Q,Data!$A:$A,Vitezistii!$B36,Data!$C:$C,Vitezistii!K$1),0)</f>
        <v>0</v>
      </c>
      <c r="L36" s="39">
        <f>IFERROR(IF(SUMIFS(Data!$K:$K,Data!$A:$A,Vitezistii!$B36,Data!$C:$C,Vitezistii!L$1)=0," ",SUMIFS(Data!$K:$K,Data!$A:$A,Vitezistii!$B36,Data!$C:$C,Vitezistii!L$1))+SUMIFS(Data!$Q:$Q,Data!$A:$A,Vitezistii!$B36,Data!$C:$C,Vitezistii!L$1),0)</f>
        <v>0</v>
      </c>
      <c r="M36" s="39">
        <f>IFERROR(IF(SUMIFS(Data!$K:$K,Data!$A:$A,Vitezistii!$B36,Data!$C:$C,Vitezistii!M$1)=0," ",SUMIFS(Data!$K:$K,Data!$A:$A,Vitezistii!$B36,Data!$C:$C,Vitezistii!M$1))+SUMIFS(Data!$Q:$Q,Data!$A:$A,Vitezistii!$B36,Data!$C:$C,Vitezistii!M$1),0)</f>
        <v>0</v>
      </c>
      <c r="N36" s="39">
        <f>IFERROR(IF(SUMIFS(Data!$K:$K,Data!$A:$A,Vitezistii!$B36,Data!$C:$C,Vitezistii!N$1)=0," ",SUMIFS(Data!$K:$K,Data!$A:$A,Vitezistii!$B36,Data!$C:$C,Vitezistii!N$1))+SUMIFS(Data!$Q:$Q,Data!$A:$A,Vitezistii!$B36,Data!$C:$C,Vitezistii!N$1),0)</f>
        <v>0</v>
      </c>
      <c r="O36" s="39">
        <f>IFERROR(IF(SUMIFS(Data!$K:$K,Data!$A:$A,Vitezistii!$B36,Data!$C:$C,Vitezistii!O$1)=0," ",SUMIFS(Data!$K:$K,Data!$A:$A,Vitezistii!$B36,Data!$C:$C,Vitezistii!O$1))+SUMIFS(Data!$Q:$Q,Data!$A:$A,Vitezistii!$B36,Data!$C:$C,Vitezistii!O$1),0)</f>
        <v>0</v>
      </c>
      <c r="P36" s="39">
        <f>IFERROR(IF(SUMIFS(Data!$K:$K,Data!$A:$A,Vitezistii!$B36,Data!$C:$C,Vitezistii!P$1)=0," ",SUMIFS(Data!$K:$K,Data!$A:$A,Vitezistii!$B36,Data!$C:$C,Vitezistii!P$1))+SUMIFS(Data!$Q:$Q,Data!$A:$A,Vitezistii!$B36,Data!$C:$C,Vitezistii!P$1),0)</f>
        <v>0</v>
      </c>
      <c r="Q36" s="39">
        <f>IFERROR(IF(SUMIFS(Data!$K:$K,Data!$A:$A,Vitezistii!$B36,Data!$C:$C,Vitezistii!Q$1)=0," ",SUMIFS(Data!$K:$K,Data!$A:$A,Vitezistii!$B36,Data!$C:$C,Vitezistii!Q$1))+SUMIFS(Data!$Q:$Q,Data!$A:$A,Vitezistii!$B36,Data!$C:$C,Vitezistii!Q$1),0)</f>
        <v>0</v>
      </c>
      <c r="R36" s="39">
        <f t="shared" si="0"/>
        <v>4</v>
      </c>
      <c r="S36" s="39">
        <f>SUMIFS(Data!D:D,Data!A:A,Vitezistii!B36)</f>
        <v>70.11</v>
      </c>
      <c r="T36" s="14">
        <f>SUMIFS(Data!I:I,Data!A:A,Vitezistii!B36)/COUNTIF(Data!A:A,Vitezistii!B36)</f>
        <v>5.3021749738145522E-3</v>
      </c>
    </row>
    <row r="37" spans="1:20" ht="13.8" x14ac:dyDescent="0.3">
      <c r="A37" s="151">
        <v>36</v>
      </c>
      <c r="B37" s="38" t="s">
        <v>350</v>
      </c>
      <c r="C37" s="39">
        <f>IFERROR(IF(SUMIFS(Data!$K:$K,Data!$A:$A,Vitezistii!$B37,Data!$C:$C,Vitezistii!C$1)=0," ",SUMIFS(Data!$K:$K,Data!$A:$A,Vitezistii!$B37,Data!$C:$C,Vitezistii!C$1))+SUMIFS(Data!$Q:$Q,Data!$A:$A,Vitezistii!$B37,Data!$C:$C,Vitezistii!C$1),0)</f>
        <v>0</v>
      </c>
      <c r="D37" s="39">
        <f>IFERROR(IF(SUMIFS(Data!$K:$K,Data!$A:$A,Vitezistii!$B37,Data!$C:$C,Vitezistii!D$1)=0," ",SUMIFS(Data!$K:$K,Data!$A:$A,Vitezistii!$B37,Data!$C:$C,Vitezistii!D$1))+SUMIFS(Data!$Q:$Q,Data!$A:$A,Vitezistii!$B37,Data!$C:$C,Vitezistii!D$1),0)</f>
        <v>0</v>
      </c>
      <c r="E37" s="39">
        <f>IFERROR(IF(SUMIFS(Data!$K:$K,Data!$A:$A,Vitezistii!$B37,Data!$C:$C,Vitezistii!E$1)=0," ",SUMIFS(Data!$K:$K,Data!$A:$A,Vitezistii!$B37,Data!$C:$C,Vitezistii!E$1))+SUMIFS(Data!$Q:$Q,Data!$A:$A,Vitezistii!$B37,Data!$C:$C,Vitezistii!E$1),0)</f>
        <v>0</v>
      </c>
      <c r="F37" s="39">
        <f>IFERROR(IF(SUMIFS(Data!$K:$K,Data!$A:$A,Vitezistii!$B37,Data!$C:$C,Vitezistii!F$1)=0," ",SUMIFS(Data!$K:$K,Data!$A:$A,Vitezistii!$B37,Data!$C:$C,Vitezistii!F$1))+SUMIFS(Data!$Q:$Q,Data!$A:$A,Vitezistii!$B37,Data!$C:$C,Vitezistii!F$1),0)</f>
        <v>0</v>
      </c>
      <c r="G37" s="39">
        <f>IFERROR(IF(SUMIFS(Data!$K:$K,Data!$A:$A,Vitezistii!$B37,Data!$C:$C,Vitezistii!G$1)=0," ",SUMIFS(Data!$K:$K,Data!$A:$A,Vitezistii!$B37,Data!$C:$C,Vitezistii!G$1))+SUMIFS(Data!$Q:$Q,Data!$A:$A,Vitezistii!$B37,Data!$C:$C,Vitezistii!G$1),0)</f>
        <v>0</v>
      </c>
      <c r="H37" s="39">
        <f>IFERROR(IF(SUMIFS(Data!$K:$K,Data!$A:$A,Vitezistii!$B37,Data!$C:$C,Vitezistii!H$1)=0," ",SUMIFS(Data!$K:$K,Data!$A:$A,Vitezistii!$B37,Data!$C:$C,Vitezistii!H$1))+SUMIFS(Data!$Q:$Q,Data!$A:$A,Vitezistii!$B37,Data!$C:$C,Vitezistii!H$1),0)</f>
        <v>0</v>
      </c>
      <c r="I37" s="39">
        <f>IFERROR(IF(SUMIFS(Data!$K:$K,Data!$A:$A,Vitezistii!$B37,Data!$C:$C,Vitezistii!I$1)=0," ",SUMIFS(Data!$K:$K,Data!$A:$A,Vitezistii!$B37,Data!$C:$C,Vitezistii!I$1))+SUMIFS(Data!$Q:$Q,Data!$A:$A,Vitezistii!$B37,Data!$C:$C,Vitezistii!I$1),0)</f>
        <v>0</v>
      </c>
      <c r="J37" s="39">
        <f>IFERROR(IF(SUMIFS(Data!$K:$K,Data!$A:$A,Vitezistii!$B37,Data!$C:$C,Vitezistii!J$1)=0," ",SUMIFS(Data!$K:$K,Data!$A:$A,Vitezistii!$B37,Data!$C:$C,Vitezistii!J$1))+SUMIFS(Data!$Q:$Q,Data!$A:$A,Vitezistii!$B37,Data!$C:$C,Vitezistii!J$1),0)</f>
        <v>0</v>
      </c>
      <c r="K37" s="39">
        <f>IFERROR(IF(SUMIFS(Data!$K:$K,Data!$A:$A,Vitezistii!$B37,Data!$C:$C,Vitezistii!K$1)=0," ",SUMIFS(Data!$K:$K,Data!$A:$A,Vitezistii!$B37,Data!$C:$C,Vitezistii!K$1))+SUMIFS(Data!$Q:$Q,Data!$A:$A,Vitezistii!$B37,Data!$C:$C,Vitezistii!K$1),0)</f>
        <v>0</v>
      </c>
      <c r="L37" s="39">
        <f>IFERROR(IF(SUMIFS(Data!$K:$K,Data!$A:$A,Vitezistii!$B37,Data!$C:$C,Vitezistii!L$1)=0," ",SUMIFS(Data!$K:$K,Data!$A:$A,Vitezistii!$B37,Data!$C:$C,Vitezistii!L$1))+SUMIFS(Data!$Q:$Q,Data!$A:$A,Vitezistii!$B37,Data!$C:$C,Vitezistii!L$1),0)</f>
        <v>0</v>
      </c>
      <c r="M37" s="39">
        <f>IFERROR(IF(SUMIFS(Data!$K:$K,Data!$A:$A,Vitezistii!$B37,Data!$C:$C,Vitezistii!M$1)=0," ",SUMIFS(Data!$K:$K,Data!$A:$A,Vitezistii!$B37,Data!$C:$C,Vitezistii!M$1))+SUMIFS(Data!$Q:$Q,Data!$A:$A,Vitezistii!$B37,Data!$C:$C,Vitezistii!M$1),0)</f>
        <v>0</v>
      </c>
      <c r="N37" s="39">
        <f>IFERROR(IF(SUMIFS(Data!$K:$K,Data!$A:$A,Vitezistii!$B37,Data!$C:$C,Vitezistii!N$1)=0," ",SUMIFS(Data!$K:$K,Data!$A:$A,Vitezistii!$B37,Data!$C:$C,Vitezistii!N$1))+SUMIFS(Data!$Q:$Q,Data!$A:$A,Vitezistii!$B37,Data!$C:$C,Vitezistii!N$1),0)</f>
        <v>0</v>
      </c>
      <c r="O37" s="39">
        <f>IFERROR(IF(SUMIFS(Data!$K:$K,Data!$A:$A,Vitezistii!$B37,Data!$C:$C,Vitezistii!O$1)=0," ",SUMIFS(Data!$K:$K,Data!$A:$A,Vitezistii!$B37,Data!$C:$C,Vitezistii!O$1))+SUMIFS(Data!$Q:$Q,Data!$A:$A,Vitezistii!$B37,Data!$C:$C,Vitezistii!O$1),0)</f>
        <v>0</v>
      </c>
      <c r="P37" s="39">
        <f>IFERROR(IF(SUMIFS(Data!$K:$K,Data!$A:$A,Vitezistii!$B37,Data!$C:$C,Vitezistii!P$1)=0," ",SUMIFS(Data!$K:$K,Data!$A:$A,Vitezistii!$B37,Data!$C:$C,Vitezistii!P$1))+SUMIFS(Data!$Q:$Q,Data!$A:$A,Vitezistii!$B37,Data!$C:$C,Vitezistii!P$1),0)</f>
        <v>3.5</v>
      </c>
      <c r="Q37" s="39">
        <f>IFERROR(IF(SUMIFS(Data!$K:$K,Data!$A:$A,Vitezistii!$B37,Data!$C:$C,Vitezistii!Q$1)=0," ",SUMIFS(Data!$K:$K,Data!$A:$A,Vitezistii!$B37,Data!$C:$C,Vitezistii!Q$1))+SUMIFS(Data!$Q:$Q,Data!$A:$A,Vitezistii!$B37,Data!$C:$C,Vitezistii!Q$1),0)</f>
        <v>0</v>
      </c>
      <c r="R37" s="39">
        <f t="shared" si="0"/>
        <v>3.5</v>
      </c>
      <c r="S37" s="39">
        <f>SUMIFS(Data!D:D,Data!A:A,Vitezistii!B37)</f>
        <v>6.02</v>
      </c>
      <c r="T37" s="14">
        <f>SUMIFS(Data!I:I,Data!A:A,Vitezistii!B37)/COUNTIF(Data!A:A,Vitezistii!B37)</f>
        <v>1.7985957302817767E-3</v>
      </c>
    </row>
    <row r="38" spans="1:20" ht="13.8" x14ac:dyDescent="0.3">
      <c r="A38" s="151">
        <v>37</v>
      </c>
      <c r="B38" s="38" t="s">
        <v>101</v>
      </c>
      <c r="C38" s="39">
        <f>IFERROR(IF(SUMIFS(Data!$K:$K,Data!$A:$A,Vitezistii!$B38,Data!$C:$C,Vitezistii!C$1)=0," ",SUMIFS(Data!$K:$K,Data!$A:$A,Vitezistii!$B38,Data!$C:$C,Vitezistii!C$1))+SUMIFS(Data!$Q:$Q,Data!$A:$A,Vitezistii!$B38,Data!$C:$C,Vitezistii!C$1),0)</f>
        <v>0</v>
      </c>
      <c r="D38" s="39">
        <f>IFERROR(IF(SUMIFS(Data!$K:$K,Data!$A:$A,Vitezistii!$B38,Data!$C:$C,Vitezistii!D$1)=0," ",SUMIFS(Data!$K:$K,Data!$A:$A,Vitezistii!$B38,Data!$C:$C,Vitezistii!D$1))+SUMIFS(Data!$Q:$Q,Data!$A:$A,Vitezistii!$B38,Data!$C:$C,Vitezistii!D$1),0)</f>
        <v>0</v>
      </c>
      <c r="E38" s="39">
        <f>IFERROR(IF(SUMIFS(Data!$K:$K,Data!$A:$A,Vitezistii!$B38,Data!$C:$C,Vitezistii!E$1)=0," ",SUMIFS(Data!$K:$K,Data!$A:$A,Vitezistii!$B38,Data!$C:$C,Vitezistii!E$1))+SUMIFS(Data!$Q:$Q,Data!$A:$A,Vitezistii!$B38,Data!$C:$C,Vitezistii!E$1),0)</f>
        <v>0</v>
      </c>
      <c r="F38" s="39">
        <f>IFERROR(IF(SUMIFS(Data!$K:$K,Data!$A:$A,Vitezistii!$B38,Data!$C:$C,Vitezistii!F$1)=0," ",SUMIFS(Data!$K:$K,Data!$A:$A,Vitezistii!$B38,Data!$C:$C,Vitezistii!F$1))+SUMIFS(Data!$Q:$Q,Data!$A:$A,Vitezistii!$B38,Data!$C:$C,Vitezistii!F$1),0)</f>
        <v>0</v>
      </c>
      <c r="G38" s="39">
        <f>IFERROR(IF(SUMIFS(Data!$K:$K,Data!$A:$A,Vitezistii!$B38,Data!$C:$C,Vitezistii!G$1)=0," ",SUMIFS(Data!$K:$K,Data!$A:$A,Vitezistii!$B38,Data!$C:$C,Vitezistii!G$1))+SUMIFS(Data!$Q:$Q,Data!$A:$A,Vitezistii!$B38,Data!$C:$C,Vitezistii!G$1),0)</f>
        <v>0</v>
      </c>
      <c r="H38" s="39">
        <f>IFERROR(IF(SUMIFS(Data!$K:$K,Data!$A:$A,Vitezistii!$B38,Data!$C:$C,Vitezistii!H$1)=0," ",SUMIFS(Data!$K:$K,Data!$A:$A,Vitezistii!$B38,Data!$C:$C,Vitezistii!H$1))+SUMIFS(Data!$Q:$Q,Data!$A:$A,Vitezistii!$B38,Data!$C:$C,Vitezistii!H$1),0)</f>
        <v>0</v>
      </c>
      <c r="I38" s="39">
        <f>IFERROR(IF(SUMIFS(Data!$K:$K,Data!$A:$A,Vitezistii!$B38,Data!$C:$C,Vitezistii!I$1)=0," ",SUMIFS(Data!$K:$K,Data!$A:$A,Vitezistii!$B38,Data!$C:$C,Vitezistii!I$1))+SUMIFS(Data!$Q:$Q,Data!$A:$A,Vitezistii!$B38,Data!$C:$C,Vitezistii!I$1),0)</f>
        <v>0</v>
      </c>
      <c r="J38" s="39">
        <f>IFERROR(IF(SUMIFS(Data!$K:$K,Data!$A:$A,Vitezistii!$B38,Data!$C:$C,Vitezistii!J$1)=0," ",SUMIFS(Data!$K:$K,Data!$A:$A,Vitezistii!$B38,Data!$C:$C,Vitezistii!J$1))+SUMIFS(Data!$Q:$Q,Data!$A:$A,Vitezistii!$B38,Data!$C:$C,Vitezistii!J$1),0)</f>
        <v>1.5</v>
      </c>
      <c r="K38" s="39">
        <f>IFERROR(IF(SUMIFS(Data!$K:$K,Data!$A:$A,Vitezistii!$B38,Data!$C:$C,Vitezistii!K$1)=0," ",SUMIFS(Data!$K:$K,Data!$A:$A,Vitezistii!$B38,Data!$C:$C,Vitezistii!K$1))+SUMIFS(Data!$Q:$Q,Data!$A:$A,Vitezistii!$B38,Data!$C:$C,Vitezistii!K$1),0)</f>
        <v>0</v>
      </c>
      <c r="L38" s="39">
        <f>IFERROR(IF(SUMIFS(Data!$K:$K,Data!$A:$A,Vitezistii!$B38,Data!$C:$C,Vitezistii!L$1)=0," ",SUMIFS(Data!$K:$K,Data!$A:$A,Vitezistii!$B38,Data!$C:$C,Vitezistii!L$1))+SUMIFS(Data!$Q:$Q,Data!$A:$A,Vitezistii!$B38,Data!$C:$C,Vitezistii!L$1),0)</f>
        <v>0</v>
      </c>
      <c r="M38" s="39">
        <f>IFERROR(IF(SUMIFS(Data!$K:$K,Data!$A:$A,Vitezistii!$B38,Data!$C:$C,Vitezistii!M$1)=0," ",SUMIFS(Data!$K:$K,Data!$A:$A,Vitezistii!$B38,Data!$C:$C,Vitezistii!M$1))+SUMIFS(Data!$Q:$Q,Data!$A:$A,Vitezistii!$B38,Data!$C:$C,Vitezistii!M$1),0)</f>
        <v>0</v>
      </c>
      <c r="N38" s="39">
        <f>IFERROR(IF(SUMIFS(Data!$K:$K,Data!$A:$A,Vitezistii!$B38,Data!$C:$C,Vitezistii!N$1)=0," ",SUMIFS(Data!$K:$K,Data!$A:$A,Vitezistii!$B38,Data!$C:$C,Vitezistii!N$1))+SUMIFS(Data!$Q:$Q,Data!$A:$A,Vitezistii!$B38,Data!$C:$C,Vitezistii!N$1),0)</f>
        <v>0</v>
      </c>
      <c r="O38" s="39">
        <f>IFERROR(IF(SUMIFS(Data!$K:$K,Data!$A:$A,Vitezistii!$B38,Data!$C:$C,Vitezistii!O$1)=0," ",SUMIFS(Data!$K:$K,Data!$A:$A,Vitezistii!$B38,Data!$C:$C,Vitezistii!O$1))+SUMIFS(Data!$Q:$Q,Data!$A:$A,Vitezistii!$B38,Data!$C:$C,Vitezistii!O$1),0)</f>
        <v>0</v>
      </c>
      <c r="P38" s="39">
        <f>IFERROR(IF(SUMIFS(Data!$K:$K,Data!$A:$A,Vitezistii!$B38,Data!$C:$C,Vitezistii!P$1)=0," ",SUMIFS(Data!$K:$K,Data!$A:$A,Vitezistii!$B38,Data!$C:$C,Vitezistii!P$1))+SUMIFS(Data!$Q:$Q,Data!$A:$A,Vitezistii!$B38,Data!$C:$C,Vitezistii!P$1),0)</f>
        <v>0</v>
      </c>
      <c r="Q38" s="39">
        <f>IFERROR(IF(SUMIFS(Data!$K:$K,Data!$A:$A,Vitezistii!$B38,Data!$C:$C,Vitezistii!Q$1)=0," ",SUMIFS(Data!$K:$K,Data!$A:$A,Vitezistii!$B38,Data!$C:$C,Vitezistii!Q$1))+SUMIFS(Data!$Q:$Q,Data!$A:$A,Vitezistii!$B38,Data!$C:$C,Vitezistii!Q$1),0)</f>
        <v>0</v>
      </c>
      <c r="R38" s="39">
        <f t="shared" si="0"/>
        <v>1.5</v>
      </c>
      <c r="S38" s="39">
        <f>SUMIFS(Data!D:D,Data!A:A,Vitezistii!B38)</f>
        <v>42.3</v>
      </c>
      <c r="T38" s="14">
        <f>SUMIFS(Data!I:I,Data!A:A,Vitezistii!B38)/COUNTIF(Data!A:A,Vitezistii!B38)</f>
        <v>1.9291491550652308E-3</v>
      </c>
    </row>
    <row r="39" spans="1:20" ht="13.8" x14ac:dyDescent="0.3">
      <c r="A39" s="151">
        <v>38</v>
      </c>
      <c r="B39" s="38" t="s">
        <v>80</v>
      </c>
      <c r="C39" s="39">
        <f>IFERROR(IF(SUMIFS(Data!$K:$K,Data!$A:$A,Vitezistii!$B39,Data!$C:$C,Vitezistii!C$1)=0," ",SUMIFS(Data!$K:$K,Data!$A:$A,Vitezistii!$B39,Data!$C:$C,Vitezistii!C$1))+SUMIFS(Data!$Q:$Q,Data!$A:$A,Vitezistii!$B39,Data!$C:$C,Vitezistii!C$1),0)</f>
        <v>0</v>
      </c>
      <c r="D39" s="39">
        <f>IFERROR(IF(SUMIFS(Data!$K:$K,Data!$A:$A,Vitezistii!$B39,Data!$C:$C,Vitezistii!D$1)=0," ",SUMIFS(Data!$K:$K,Data!$A:$A,Vitezistii!$B39,Data!$C:$C,Vitezistii!D$1))+SUMIFS(Data!$Q:$Q,Data!$A:$A,Vitezistii!$B39,Data!$C:$C,Vitezistii!D$1),0)</f>
        <v>0</v>
      </c>
      <c r="E39" s="39">
        <f>IFERROR(IF(SUMIFS(Data!$K:$K,Data!$A:$A,Vitezistii!$B39,Data!$C:$C,Vitezistii!E$1)=0," ",SUMIFS(Data!$K:$K,Data!$A:$A,Vitezistii!$B39,Data!$C:$C,Vitezistii!E$1))+SUMIFS(Data!$Q:$Q,Data!$A:$A,Vitezistii!$B39,Data!$C:$C,Vitezistii!E$1),0)</f>
        <v>0</v>
      </c>
      <c r="F39" s="39">
        <f>IFERROR(IF(SUMIFS(Data!$K:$K,Data!$A:$A,Vitezistii!$B39,Data!$C:$C,Vitezistii!F$1)=0," ",SUMIFS(Data!$K:$K,Data!$A:$A,Vitezistii!$B39,Data!$C:$C,Vitezistii!F$1))+SUMIFS(Data!$Q:$Q,Data!$A:$A,Vitezistii!$B39,Data!$C:$C,Vitezistii!F$1),0)</f>
        <v>0</v>
      </c>
      <c r="G39" s="39">
        <f>IFERROR(IF(SUMIFS(Data!$K:$K,Data!$A:$A,Vitezistii!$B39,Data!$C:$C,Vitezistii!G$1)=0," ",SUMIFS(Data!$K:$K,Data!$A:$A,Vitezistii!$B39,Data!$C:$C,Vitezistii!G$1))+SUMIFS(Data!$Q:$Q,Data!$A:$A,Vitezistii!$B39,Data!$C:$C,Vitezistii!G$1),0)</f>
        <v>0</v>
      </c>
      <c r="H39" s="39">
        <f>IFERROR(IF(SUMIFS(Data!$K:$K,Data!$A:$A,Vitezistii!$B39,Data!$C:$C,Vitezistii!H$1)=0," ",SUMIFS(Data!$K:$K,Data!$A:$A,Vitezistii!$B39,Data!$C:$C,Vitezistii!H$1))+SUMIFS(Data!$Q:$Q,Data!$A:$A,Vitezistii!$B39,Data!$C:$C,Vitezistii!H$1),0)</f>
        <v>0</v>
      </c>
      <c r="I39" s="39">
        <f>IFERROR(IF(SUMIFS(Data!$K:$K,Data!$A:$A,Vitezistii!$B39,Data!$C:$C,Vitezistii!I$1)=0," ",SUMIFS(Data!$K:$K,Data!$A:$A,Vitezistii!$B39,Data!$C:$C,Vitezistii!I$1))+SUMIFS(Data!$Q:$Q,Data!$A:$A,Vitezistii!$B39,Data!$C:$C,Vitezistii!I$1),0)</f>
        <v>0</v>
      </c>
      <c r="J39" s="39">
        <f>IFERROR(IF(SUMIFS(Data!$K:$K,Data!$A:$A,Vitezistii!$B39,Data!$C:$C,Vitezistii!J$1)=0," ",SUMIFS(Data!$K:$K,Data!$A:$A,Vitezistii!$B39,Data!$C:$C,Vitezistii!J$1))+SUMIFS(Data!$Q:$Q,Data!$A:$A,Vitezistii!$B39,Data!$C:$C,Vitezistii!J$1),0)</f>
        <v>0</v>
      </c>
      <c r="K39" s="39">
        <f>IFERROR(IF(SUMIFS(Data!$K:$K,Data!$A:$A,Vitezistii!$B39,Data!$C:$C,Vitezistii!K$1)=0," ",SUMIFS(Data!$K:$K,Data!$A:$A,Vitezistii!$B39,Data!$C:$C,Vitezistii!K$1))+SUMIFS(Data!$Q:$Q,Data!$A:$A,Vitezistii!$B39,Data!$C:$C,Vitezistii!K$1),0)</f>
        <v>0</v>
      </c>
      <c r="L39" s="39">
        <f>IFERROR(IF(SUMIFS(Data!$K:$K,Data!$A:$A,Vitezistii!$B39,Data!$C:$C,Vitezistii!L$1)=0," ",SUMIFS(Data!$K:$K,Data!$A:$A,Vitezistii!$B39,Data!$C:$C,Vitezistii!L$1))+SUMIFS(Data!$Q:$Q,Data!$A:$A,Vitezistii!$B39,Data!$C:$C,Vitezistii!L$1),0)</f>
        <v>0</v>
      </c>
      <c r="M39" s="39">
        <f>IFERROR(IF(SUMIFS(Data!$K:$K,Data!$A:$A,Vitezistii!$B39,Data!$C:$C,Vitezistii!M$1)=0," ",SUMIFS(Data!$K:$K,Data!$A:$A,Vitezistii!$B39,Data!$C:$C,Vitezistii!M$1))+SUMIFS(Data!$Q:$Q,Data!$A:$A,Vitezistii!$B39,Data!$C:$C,Vitezistii!M$1),0)</f>
        <v>0</v>
      </c>
      <c r="N39" s="39">
        <f>IFERROR(IF(SUMIFS(Data!$K:$K,Data!$A:$A,Vitezistii!$B39,Data!$C:$C,Vitezistii!N$1)=0," ",SUMIFS(Data!$K:$K,Data!$A:$A,Vitezistii!$B39,Data!$C:$C,Vitezistii!N$1))+SUMIFS(Data!$Q:$Q,Data!$A:$A,Vitezistii!$B39,Data!$C:$C,Vitezistii!N$1),0)</f>
        <v>0</v>
      </c>
      <c r="O39" s="39">
        <f>IFERROR(IF(SUMIFS(Data!$K:$K,Data!$A:$A,Vitezistii!$B39,Data!$C:$C,Vitezistii!O$1)=0," ",SUMIFS(Data!$K:$K,Data!$A:$A,Vitezistii!$B39,Data!$C:$C,Vitezistii!O$1))+SUMIFS(Data!$Q:$Q,Data!$A:$A,Vitezistii!$B39,Data!$C:$C,Vitezistii!O$1),0)</f>
        <v>0</v>
      </c>
      <c r="P39" s="39">
        <f>IFERROR(IF(SUMIFS(Data!$K:$K,Data!$A:$A,Vitezistii!$B39,Data!$C:$C,Vitezistii!P$1)=0," ",SUMIFS(Data!$K:$K,Data!$A:$A,Vitezistii!$B39,Data!$C:$C,Vitezistii!P$1))+SUMIFS(Data!$Q:$Q,Data!$A:$A,Vitezistii!$B39,Data!$C:$C,Vitezistii!P$1),0)</f>
        <v>0</v>
      </c>
      <c r="Q39" s="39">
        <f>IFERROR(IF(SUMIFS(Data!$K:$K,Data!$A:$A,Vitezistii!$B39,Data!$C:$C,Vitezistii!Q$1)=0," ",SUMIFS(Data!$K:$K,Data!$A:$A,Vitezistii!$B39,Data!$C:$C,Vitezistii!Q$1))+SUMIFS(Data!$Q:$Q,Data!$A:$A,Vitezistii!$B39,Data!$C:$C,Vitezistii!Q$1),0)</f>
        <v>0</v>
      </c>
      <c r="R39" s="39">
        <f t="shared" si="0"/>
        <v>0</v>
      </c>
      <c r="S39" s="39">
        <f>SUMIFS(Data!D:D,Data!A:A,Vitezistii!B39)</f>
        <v>331.3</v>
      </c>
      <c r="T39" s="14">
        <f>SUMIFS(Data!I:I,Data!A:A,Vitezistii!B39)/COUNTIF(Data!A:A,Vitezistii!B39)</f>
        <v>6.8301944174448282E-3</v>
      </c>
    </row>
    <row r="40" spans="1:20" ht="13.8" x14ac:dyDescent="0.3">
      <c r="A40" s="151">
        <v>39</v>
      </c>
      <c r="B40" s="38"/>
      <c r="C40" s="39"/>
      <c r="D40" s="39"/>
      <c r="E40" s="39"/>
      <c r="F40" s="39" t="str">
        <f>IF(SUMIFS(Data!$S:$S,Data!$A:$A,$B40,Data!$C:$C,F$1)=0,"",SUMIFS(Data!$S:$S,Data!$A:$A,$B40,Data!$C:$C,F$1))</f>
        <v/>
      </c>
      <c r="G40" s="39" t="str">
        <f>IF(SUMIFS(Data!$S:$S,Data!$A:$A,$B40,Data!$C:$C,G$1)=0,"",SUMIFS(Data!$S:$S,Data!$A:$A,$B40,Data!$C:$C,G$1))</f>
        <v/>
      </c>
      <c r="H40" s="39" t="str">
        <f>IF(SUMIFS(Data!$S:$S,Data!$A:$A,$B40,Data!$C:$C,H$1)=0,"",SUMIFS(Data!$S:$S,Data!$A:$A,$B40,Data!$C:$C,H$1))</f>
        <v/>
      </c>
      <c r="I40" s="39" t="str">
        <f>IF(SUMIFS(Data!$S:$S,Data!$A:$A,$B40,Data!$C:$C,I$1)=0,"",SUMIFS(Data!$S:$S,Data!$A:$A,$B40,Data!$C:$C,I$1))</f>
        <v/>
      </c>
      <c r="J40" s="39" t="str">
        <f>IF(SUMIFS(Data!$S:$S,Data!$A:$A,$B40,Data!$C:$C,J$1)=0,"",SUMIFS(Data!$S:$S,Data!$A:$A,$B40,Data!$C:$C,J$1))</f>
        <v/>
      </c>
      <c r="K40" s="39" t="str">
        <f>IF(SUMIFS(Data!$S:$S,Data!$A:$A,$B40,Data!$C:$C,K$1)=0,"",SUMIFS(Data!$S:$S,Data!$A:$A,$B40,Data!$C:$C,K$1))</f>
        <v/>
      </c>
      <c r="L40" s="39" t="str">
        <f>IF(SUMIFS(Data!$S:$S,Data!$A:$A,$B40,Data!$C:$C,L$1)=0,"",SUMIFS(Data!$S:$S,Data!$A:$A,$B40,Data!$C:$C,L$1))</f>
        <v/>
      </c>
      <c r="M40" s="39" t="str">
        <f>IF(SUMIFS(Data!$S:$S,Data!$A:$A,$B40,Data!$C:$C,M$1)=0,"",SUMIFS(Data!$S:$S,Data!$A:$A,$B40,Data!$C:$C,M$1))</f>
        <v/>
      </c>
      <c r="N40" s="39" t="str">
        <f>IF(SUMIFS(Data!$S:$S,Data!$A:$A,$B40,Data!$C:$C,N$1)=0,"",SUMIFS(Data!$S:$S,Data!$A:$A,$B40,Data!$C:$C,N$1))</f>
        <v/>
      </c>
      <c r="O40" s="39" t="str">
        <f>IF(SUMIFS(Data!$S:$S,Data!$A:$A,$B40,Data!$C:$C,O$1)=0,"",SUMIFS(Data!$S:$S,Data!$A:$A,$B40,Data!$C:$C,O$1))</f>
        <v/>
      </c>
      <c r="P40" s="39" t="str">
        <f>IF(SUMIFS(Data!$S:$S,Data!$A:$A,$B40,Data!$C:$C,P$1)=0,"",SUMIFS(Data!$S:$S,Data!$A:$A,$B40,Data!$C:$C,P$1))</f>
        <v/>
      </c>
      <c r="Q40" s="39" t="str">
        <f>IF(SUMIFS(Data!$S:$S,Data!$A:$A,$B40,Data!$C:$C,Q$1)=0,"",SUMIFS(Data!$S:$S,Data!$A:$A,$B40,Data!$C:$C,Q$1))</f>
        <v/>
      </c>
      <c r="R40" s="39"/>
      <c r="S40" s="39"/>
      <c r="T40" s="14"/>
    </row>
    <row r="41" spans="1:20" ht="13.8" x14ac:dyDescent="0.3">
      <c r="A41" s="151">
        <v>40</v>
      </c>
      <c r="B41" s="38"/>
      <c r="C41" s="39"/>
      <c r="D41" s="39"/>
      <c r="E41" s="39"/>
      <c r="F41" s="39" t="str">
        <f>IF(SUMIFS(Data!$S:$S,Data!$A:$A,$B41,Data!$C:$C,F$1)=0,"",SUMIFS(Data!$S:$S,Data!$A:$A,$B41,Data!$C:$C,F$1))</f>
        <v/>
      </c>
      <c r="G41" s="39" t="str">
        <f>IF(SUMIFS(Data!$S:$S,Data!$A:$A,$B41,Data!$C:$C,G$1)=0,"",SUMIFS(Data!$S:$S,Data!$A:$A,$B41,Data!$C:$C,G$1))</f>
        <v/>
      </c>
      <c r="H41" s="39" t="str">
        <f>IF(SUMIFS(Data!$S:$S,Data!$A:$A,$B41,Data!$C:$C,H$1)=0,"",SUMIFS(Data!$S:$S,Data!$A:$A,$B41,Data!$C:$C,H$1))</f>
        <v/>
      </c>
      <c r="I41" s="39" t="str">
        <f>IF(SUMIFS(Data!$S:$S,Data!$A:$A,$B41,Data!$C:$C,I$1)=0,"",SUMIFS(Data!$S:$S,Data!$A:$A,$B41,Data!$C:$C,I$1))</f>
        <v/>
      </c>
      <c r="J41" s="39" t="str">
        <f>IF(SUMIFS(Data!$S:$S,Data!$A:$A,$B41,Data!$C:$C,J$1)=0,"",SUMIFS(Data!$S:$S,Data!$A:$A,$B41,Data!$C:$C,J$1))</f>
        <v/>
      </c>
      <c r="K41" s="39" t="str">
        <f>IF(SUMIFS(Data!$S:$S,Data!$A:$A,$B41,Data!$C:$C,K$1)=0,"",SUMIFS(Data!$S:$S,Data!$A:$A,$B41,Data!$C:$C,K$1))</f>
        <v/>
      </c>
      <c r="L41" s="39" t="str">
        <f>IF(SUMIFS(Data!$S:$S,Data!$A:$A,$B41,Data!$C:$C,L$1)=0,"",SUMIFS(Data!$S:$S,Data!$A:$A,$B41,Data!$C:$C,L$1))</f>
        <v/>
      </c>
      <c r="M41" s="39" t="str">
        <f>IF(SUMIFS(Data!$S:$S,Data!$A:$A,$B41,Data!$C:$C,M$1)=0,"",SUMIFS(Data!$S:$S,Data!$A:$A,$B41,Data!$C:$C,M$1))</f>
        <v/>
      </c>
      <c r="N41" s="39" t="str">
        <f>IF(SUMIFS(Data!$S:$S,Data!$A:$A,$B41,Data!$C:$C,N$1)=0,"",SUMIFS(Data!$S:$S,Data!$A:$A,$B41,Data!$C:$C,N$1))</f>
        <v/>
      </c>
      <c r="O41" s="39" t="str">
        <f>IF(SUMIFS(Data!$S:$S,Data!$A:$A,$B41,Data!$C:$C,O$1)=0,"",SUMIFS(Data!$S:$S,Data!$A:$A,$B41,Data!$C:$C,O$1))</f>
        <v/>
      </c>
      <c r="P41" s="39" t="str">
        <f>IF(SUMIFS(Data!$S:$S,Data!$A:$A,$B41,Data!$C:$C,P$1)=0,"",SUMIFS(Data!$S:$S,Data!$A:$A,$B41,Data!$C:$C,P$1))</f>
        <v/>
      </c>
      <c r="Q41" s="39" t="str">
        <f>IF(SUMIFS(Data!$S:$S,Data!$A:$A,$B41,Data!$C:$C,Q$1)=0,"",SUMIFS(Data!$S:$S,Data!$A:$A,$B41,Data!$C:$C,Q$1))</f>
        <v/>
      </c>
      <c r="R41" s="39"/>
      <c r="S41" s="39"/>
      <c r="T41" s="14"/>
    </row>
    <row r="42" spans="1:20" ht="13.8" x14ac:dyDescent="0.3">
      <c r="A42" s="151">
        <v>41</v>
      </c>
      <c r="B42" s="38"/>
      <c r="C42" s="39"/>
      <c r="D42" s="39"/>
      <c r="E42" s="39"/>
      <c r="F42" s="39" t="str">
        <f>IF(SUMIFS(Data!$S:$S,Data!$A:$A,$B42,Data!$C:$C,F$1)=0,"",SUMIFS(Data!$S:$S,Data!$A:$A,$B42,Data!$C:$C,F$1))</f>
        <v/>
      </c>
      <c r="G42" s="39" t="str">
        <f>IF(SUMIFS(Data!$S:$S,Data!$A:$A,$B42,Data!$C:$C,G$1)=0,"",SUMIFS(Data!$S:$S,Data!$A:$A,$B42,Data!$C:$C,G$1))</f>
        <v/>
      </c>
      <c r="H42" s="39" t="str">
        <f>IF(SUMIFS(Data!$S:$S,Data!$A:$A,$B42,Data!$C:$C,H$1)=0,"",SUMIFS(Data!$S:$S,Data!$A:$A,$B42,Data!$C:$C,H$1))</f>
        <v/>
      </c>
      <c r="I42" s="39" t="str">
        <f>IF(SUMIFS(Data!$S:$S,Data!$A:$A,$B42,Data!$C:$C,I$1)=0,"",SUMIFS(Data!$S:$S,Data!$A:$A,$B42,Data!$C:$C,I$1))</f>
        <v/>
      </c>
      <c r="J42" s="39" t="str">
        <f>IF(SUMIFS(Data!$S:$S,Data!$A:$A,$B42,Data!$C:$C,J$1)=0,"",SUMIFS(Data!$S:$S,Data!$A:$A,$B42,Data!$C:$C,J$1))</f>
        <v/>
      </c>
      <c r="K42" s="39" t="str">
        <f>IF(SUMIFS(Data!$S:$S,Data!$A:$A,$B42,Data!$C:$C,K$1)=0,"",SUMIFS(Data!$S:$S,Data!$A:$A,$B42,Data!$C:$C,K$1))</f>
        <v/>
      </c>
      <c r="L42" s="39" t="str">
        <f>IF(SUMIFS(Data!$S:$S,Data!$A:$A,$B42,Data!$C:$C,L$1)=0,"",SUMIFS(Data!$S:$S,Data!$A:$A,$B42,Data!$C:$C,L$1))</f>
        <v/>
      </c>
      <c r="M42" s="39" t="str">
        <f>IF(SUMIFS(Data!$S:$S,Data!$A:$A,$B42,Data!$C:$C,M$1)=0,"",SUMIFS(Data!$S:$S,Data!$A:$A,$B42,Data!$C:$C,M$1))</f>
        <v/>
      </c>
      <c r="N42" s="39" t="str">
        <f>IF(SUMIFS(Data!$S:$S,Data!$A:$A,$B42,Data!$C:$C,N$1)=0,"",SUMIFS(Data!$S:$S,Data!$A:$A,$B42,Data!$C:$C,N$1))</f>
        <v/>
      </c>
      <c r="O42" s="39" t="str">
        <f>IF(SUMIFS(Data!$S:$S,Data!$A:$A,$B42,Data!$C:$C,O$1)=0,"",SUMIFS(Data!$S:$S,Data!$A:$A,$B42,Data!$C:$C,O$1))</f>
        <v/>
      </c>
      <c r="P42" s="39" t="str">
        <f>IF(SUMIFS(Data!$S:$S,Data!$A:$A,$B42,Data!$C:$C,P$1)=0,"",SUMIFS(Data!$S:$S,Data!$A:$A,$B42,Data!$C:$C,P$1))</f>
        <v/>
      </c>
      <c r="Q42" s="39" t="str">
        <f>IF(SUMIFS(Data!$S:$S,Data!$A:$A,$B42,Data!$C:$C,Q$1)=0,"",SUMIFS(Data!$S:$S,Data!$A:$A,$B42,Data!$C:$C,Q$1))</f>
        <v/>
      </c>
      <c r="R42" s="39"/>
      <c r="S42" s="39"/>
      <c r="T42" s="14"/>
    </row>
    <row r="43" spans="1:20" ht="13.8" x14ac:dyDescent="0.3">
      <c r="A43" s="151">
        <v>42</v>
      </c>
      <c r="B43" s="38"/>
      <c r="C43" s="39"/>
      <c r="D43" s="39"/>
      <c r="E43" s="39"/>
      <c r="F43" s="39" t="str">
        <f>IF(SUMIFS(Data!$S:$S,Data!$A:$A,$B43,Data!$C:$C,F$1)=0,"",SUMIFS(Data!$S:$S,Data!$A:$A,$B43,Data!$C:$C,F$1))</f>
        <v/>
      </c>
      <c r="G43" s="39" t="str">
        <f>IF(SUMIFS(Data!$S:$S,Data!$A:$A,$B43,Data!$C:$C,G$1)=0,"",SUMIFS(Data!$S:$S,Data!$A:$A,$B43,Data!$C:$C,G$1))</f>
        <v/>
      </c>
      <c r="H43" s="39" t="str">
        <f>IF(SUMIFS(Data!$S:$S,Data!$A:$A,$B43,Data!$C:$C,H$1)=0,"",SUMIFS(Data!$S:$S,Data!$A:$A,$B43,Data!$C:$C,H$1))</f>
        <v/>
      </c>
      <c r="I43" s="39" t="str">
        <f>IF(SUMIFS(Data!$S:$S,Data!$A:$A,$B43,Data!$C:$C,I$1)=0,"",SUMIFS(Data!$S:$S,Data!$A:$A,$B43,Data!$C:$C,I$1))</f>
        <v/>
      </c>
      <c r="J43" s="39" t="str">
        <f>IF(SUMIFS(Data!$S:$S,Data!$A:$A,$B43,Data!$C:$C,J$1)=0,"",SUMIFS(Data!$S:$S,Data!$A:$A,$B43,Data!$C:$C,J$1))</f>
        <v/>
      </c>
      <c r="K43" s="39" t="str">
        <f>IF(SUMIFS(Data!$S:$S,Data!$A:$A,$B43,Data!$C:$C,K$1)=0,"",SUMIFS(Data!$S:$S,Data!$A:$A,$B43,Data!$C:$C,K$1))</f>
        <v/>
      </c>
      <c r="L43" s="39" t="str">
        <f>IF(SUMIFS(Data!$S:$S,Data!$A:$A,$B43,Data!$C:$C,L$1)=0,"",SUMIFS(Data!$S:$S,Data!$A:$A,$B43,Data!$C:$C,L$1))</f>
        <v/>
      </c>
      <c r="M43" s="39" t="str">
        <f>IF(SUMIFS(Data!$S:$S,Data!$A:$A,$B43,Data!$C:$C,M$1)=0,"",SUMIFS(Data!$S:$S,Data!$A:$A,$B43,Data!$C:$C,M$1))</f>
        <v/>
      </c>
      <c r="N43" s="39" t="str">
        <f>IF(SUMIFS(Data!$S:$S,Data!$A:$A,$B43,Data!$C:$C,N$1)=0,"",SUMIFS(Data!$S:$S,Data!$A:$A,$B43,Data!$C:$C,N$1))</f>
        <v/>
      </c>
      <c r="O43" s="39" t="str">
        <f>IF(SUMIFS(Data!$S:$S,Data!$A:$A,$B43,Data!$C:$C,O$1)=0,"",SUMIFS(Data!$S:$S,Data!$A:$A,$B43,Data!$C:$C,O$1))</f>
        <v/>
      </c>
      <c r="P43" s="39" t="str">
        <f>IF(SUMIFS(Data!$S:$S,Data!$A:$A,$B43,Data!$C:$C,P$1)=0,"",SUMIFS(Data!$S:$S,Data!$A:$A,$B43,Data!$C:$C,P$1))</f>
        <v/>
      </c>
      <c r="Q43" s="39" t="str">
        <f>IF(SUMIFS(Data!$S:$S,Data!$A:$A,$B43,Data!$C:$C,Q$1)=0,"",SUMIFS(Data!$S:$S,Data!$A:$A,$B43,Data!$C:$C,Q$1))</f>
        <v/>
      </c>
      <c r="R43" s="39"/>
      <c r="S43" s="39"/>
      <c r="T43" s="14"/>
    </row>
  </sheetData>
  <autoFilter ref="A1:T43"/>
  <sortState ref="B2:T39">
    <sortCondition descending="1" ref="R2:R39"/>
    <sortCondition descending="1" ref="S2:S39"/>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3"/>
  <sheetViews>
    <sheetView workbookViewId="0">
      <selection activeCell="U16" sqref="U16"/>
    </sheetView>
  </sheetViews>
  <sheetFormatPr defaultColWidth="9.109375" defaultRowHeight="13.8" x14ac:dyDescent="0.3"/>
  <cols>
    <col min="1" max="1" width="3.6640625" style="157" customWidth="1"/>
    <col min="2" max="2" width="13.33203125" style="52" bestFit="1" customWidth="1"/>
    <col min="3" max="3" width="6.5546875" style="52" bestFit="1" customWidth="1"/>
    <col min="4" max="7" width="5.5546875" style="52" bestFit="1" customWidth="1"/>
    <col min="8" max="8" width="6.6640625" style="52" customWidth="1"/>
    <col min="9" max="13" width="5.5546875" style="52" bestFit="1" customWidth="1"/>
    <col min="14" max="14" width="7" style="52" customWidth="1"/>
    <col min="15" max="15" width="6.33203125" style="52" customWidth="1"/>
    <col min="16" max="20" width="6.44140625" style="52" customWidth="1"/>
    <col min="21" max="16384" width="9.109375" style="52"/>
  </cols>
  <sheetData>
    <row r="1" spans="1:21" x14ac:dyDescent="0.3">
      <c r="A1" s="156" t="s">
        <v>69</v>
      </c>
      <c r="B1" s="54" t="s">
        <v>121</v>
      </c>
      <c r="C1" s="45">
        <v>1</v>
      </c>
      <c r="D1" s="45">
        <v>2</v>
      </c>
      <c r="E1" s="45">
        <v>3</v>
      </c>
      <c r="F1" s="45">
        <v>4</v>
      </c>
      <c r="G1" s="45">
        <v>5</v>
      </c>
      <c r="H1" s="81" t="s">
        <v>145</v>
      </c>
      <c r="I1" s="45">
        <v>6</v>
      </c>
      <c r="J1" s="45">
        <v>7</v>
      </c>
      <c r="K1" s="45">
        <v>8</v>
      </c>
      <c r="L1" s="45">
        <v>9</v>
      </c>
      <c r="M1" s="45">
        <v>10</v>
      </c>
      <c r="N1" s="81" t="s">
        <v>146</v>
      </c>
      <c r="O1" s="45">
        <v>11</v>
      </c>
      <c r="P1" s="45">
        <v>12</v>
      </c>
      <c r="Q1" s="45">
        <v>13</v>
      </c>
      <c r="R1" s="45">
        <v>14</v>
      </c>
      <c r="S1" s="45">
        <v>15</v>
      </c>
      <c r="T1" s="81" t="s">
        <v>147</v>
      </c>
      <c r="U1" s="56" t="s">
        <v>71</v>
      </c>
    </row>
    <row r="2" spans="1:21" x14ac:dyDescent="0.3">
      <c r="A2" s="156">
        <v>1</v>
      </c>
      <c r="B2" s="52" t="s">
        <v>249</v>
      </c>
      <c r="C2" s="53">
        <f>SUMPRODUCT((Data_echipe!B$2:B$37)*(Data_echipe!$A$2:$A$37=Echipe!$B2))</f>
        <v>3.8320577380952372</v>
      </c>
      <c r="D2" s="53">
        <f>SUMPRODUCT((Data_echipe!C$2:C$37)*(Data_echipe!$A$2:$A$37=Echipe!$B2))</f>
        <v>3.6128904761904765</v>
      </c>
      <c r="E2" s="53">
        <f>SUMPRODUCT((Data_echipe!D$2:D$37)*(Data_echipe!$A$2:$A$37=Echipe!$B2))</f>
        <v>3.9216774891774899</v>
      </c>
      <c r="F2" s="53">
        <f>SUMPRODUCT((Data_echipe!E$2:E$37)*(Data_echipe!$A$2:$A$37=Echipe!$B2))</f>
        <v>3.9848349567099572</v>
      </c>
      <c r="G2" s="53">
        <f>SUMPRODUCT((Data_echipe!F$2:F$37)*(Data_echipe!$A$2:$A$37=Echipe!$B2))</f>
        <v>3.1332213203463208</v>
      </c>
      <c r="H2" s="53">
        <f>SUMPRODUCT((Data_echipe!G$2:G$37)*(Data_echipe!$A$2:$A$37=Echipe!$B2))</f>
        <v>2.1837121212121211</v>
      </c>
      <c r="I2" s="53">
        <f>SUMPRODUCT((Data_echipe!H$2:H$37)*(Data_echipe!$A$2:$A$37=Echipe!$B2))</f>
        <v>2.9277711038961041</v>
      </c>
      <c r="J2" s="53">
        <f>SUMPRODUCT((Data_echipe!I$2:I$37)*(Data_echipe!$A$2:$A$37=Echipe!$B2))</f>
        <v>3.8197510822510821</v>
      </c>
      <c r="K2" s="53">
        <f>SUMPRODUCT((Data_echipe!J$2:J$37)*(Data_echipe!$A$2:$A$37=Echipe!$B2))</f>
        <v>3.6941617965367968</v>
      </c>
      <c r="L2" s="53">
        <f>SUMPRODUCT((Data_echipe!K$2:K$37)*(Data_echipe!$A$2:$A$37=Echipe!$B2))</f>
        <v>2.9287440476190478</v>
      </c>
      <c r="M2" s="53">
        <f>SUMPRODUCT((Data_echipe!L$2:L$37)*(Data_echipe!$A$2:$A$37=Echipe!$B2))</f>
        <v>3.7042516233766234</v>
      </c>
      <c r="N2" s="53">
        <f>SUMPRODUCT((Data_echipe!M$2:M$37)*(Data_echipe!$A$2:$A$37=Echipe!$B2))</f>
        <v>1.6363636363636365</v>
      </c>
      <c r="O2" s="53">
        <f>SUMPRODUCT((Data_echipe!N$2:N$37)*(Data_echipe!$A$2:$A$37=Echipe!$B2))</f>
        <v>2.6369101731601732</v>
      </c>
      <c r="P2" s="53">
        <f>SUMPRODUCT((Data_echipe!O$2:O$37)*(Data_echipe!$A$2:$A$37=Echipe!$B2))</f>
        <v>2.9819778138528137</v>
      </c>
      <c r="Q2" s="53">
        <f>SUMPRODUCT((Data_echipe!P$2:P$37)*(Data_echipe!$A$2:$A$37=Echipe!$B2))</f>
        <v>3.7136331168831167</v>
      </c>
      <c r="R2" s="53">
        <f>SUMPRODUCT((Data_echipe!Q$2:Q$37)*(Data_echipe!$A$2:$A$37=Echipe!$B2))</f>
        <v>3.1620995670995669</v>
      </c>
      <c r="S2" s="53">
        <f>SUMPRODUCT((Data_echipe!R$2:R$37)*(Data_echipe!$A$2:$A$37=Echipe!$B2))</f>
        <v>2.9094816017316019</v>
      </c>
      <c r="T2" s="53">
        <f>SUMPRODUCT((Data_echipe!S$2:S$37)*(Data_echipe!$A$2:$A$37=Echipe!$B2))</f>
        <v>1.8314393939393938</v>
      </c>
      <c r="U2" s="55">
        <f>SUM(C2:T2)</f>
        <v>56.614979058441548</v>
      </c>
    </row>
    <row r="3" spans="1:21" x14ac:dyDescent="0.3">
      <c r="A3" s="156">
        <v>2</v>
      </c>
      <c r="B3" s="52" t="s">
        <v>248</v>
      </c>
      <c r="C3" s="53">
        <f>SUMPRODUCT((Data_echipe!B$2:B$37)*(Data_echipe!$A$2:$A$37=Echipe!$B3))</f>
        <v>3.4786916666666672</v>
      </c>
      <c r="D3" s="53">
        <f>SUMPRODUCT((Data_echipe!C$2:C$37)*(Data_echipe!$A$2:$A$37=Echipe!$B3))</f>
        <v>3.3718827380952385</v>
      </c>
      <c r="E3" s="53">
        <f>SUMPRODUCT((Data_echipe!D$2:D$37)*(Data_echipe!$A$2:$A$37=Echipe!$B3))</f>
        <v>4.3680815476190471</v>
      </c>
      <c r="F3" s="53">
        <f>SUMPRODUCT((Data_echipe!E$2:E$37)*(Data_echipe!$A$2:$A$37=Echipe!$B3))</f>
        <v>3.3181291666666666</v>
      </c>
      <c r="G3" s="53">
        <f>SUMPRODUCT((Data_echipe!F$2:F$37)*(Data_echipe!$A$2:$A$37=Echipe!$B3))</f>
        <v>3.4123375000000005</v>
      </c>
      <c r="H3" s="53">
        <f>SUMPRODUCT((Data_echipe!G$2:G$37)*(Data_echipe!$A$2:$A$37=Echipe!$B3))</f>
        <v>2.9750000000000001</v>
      </c>
      <c r="I3" s="53">
        <f>SUMPRODUCT((Data_echipe!H$2:H$37)*(Data_echipe!$A$2:$A$37=Echipe!$B3))</f>
        <v>3.4023922619047617</v>
      </c>
      <c r="J3" s="53">
        <f>SUMPRODUCT((Data_echipe!I$2:I$37)*(Data_echipe!$A$2:$A$37=Echipe!$B3))</f>
        <v>2.5271089285714283</v>
      </c>
      <c r="K3" s="53">
        <f>SUMPRODUCT((Data_echipe!J$2:J$37)*(Data_echipe!$A$2:$A$37=Echipe!$B3))</f>
        <v>3.3761375</v>
      </c>
      <c r="L3" s="53">
        <f>SUMPRODUCT((Data_echipe!K$2:K$37)*(Data_echipe!$A$2:$A$37=Echipe!$B3))</f>
        <v>3.5300553571428566</v>
      </c>
      <c r="M3" s="53">
        <f>SUMPRODUCT((Data_echipe!L$2:L$37)*(Data_echipe!$A$2:$A$37=Echipe!$B3))</f>
        <v>2.5851589285714285</v>
      </c>
      <c r="N3" s="53">
        <f>SUMPRODUCT((Data_echipe!M$2:M$37)*(Data_echipe!$A$2:$A$37=Echipe!$B3))</f>
        <v>3.0125000000000002</v>
      </c>
      <c r="O3" s="53">
        <f>SUMPRODUCT((Data_echipe!N$2:N$37)*(Data_echipe!$A$2:$A$37=Echipe!$B3))</f>
        <v>2.988609523809524</v>
      </c>
      <c r="P3" s="53">
        <f>SUMPRODUCT((Data_echipe!O$2:O$37)*(Data_echipe!$A$2:$A$37=Echipe!$B3))</f>
        <v>2.5878803571428568</v>
      </c>
      <c r="Q3" s="53">
        <f>SUMPRODUCT((Data_echipe!P$2:P$37)*(Data_echipe!$A$2:$A$37=Echipe!$B3))</f>
        <v>2.9826226190476186</v>
      </c>
      <c r="R3" s="53">
        <f>SUMPRODUCT((Data_echipe!Q$2:Q$37)*(Data_echipe!$A$2:$A$37=Echipe!$B3))</f>
        <v>2.7871017857142859</v>
      </c>
      <c r="S3" s="53">
        <f>SUMPRODUCT((Data_echipe!R$2:R$37)*(Data_echipe!$A$2:$A$37=Echipe!$B3))</f>
        <v>2.8660642857142862</v>
      </c>
      <c r="T3" s="53">
        <f>SUMPRODUCT((Data_echipe!S$2:S$37)*(Data_echipe!$A$2:$A$37=Echipe!$B3))</f>
        <v>2.9874999999999998</v>
      </c>
      <c r="U3" s="55">
        <f>SUM(C3:T3)</f>
        <v>56.557254166666667</v>
      </c>
    </row>
  </sheetData>
  <sortState ref="B2:U3">
    <sortCondition descending="1" ref="U2:U3"/>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38"/>
  <sheetViews>
    <sheetView workbookViewId="0">
      <pane ySplit="1" topLeftCell="A2" activePane="bottomLeft" state="frozen"/>
      <selection pane="bottomLeft" activeCell="S2" sqref="S2"/>
    </sheetView>
  </sheetViews>
  <sheetFormatPr defaultColWidth="9.109375" defaultRowHeight="14.4" x14ac:dyDescent="0.3"/>
  <cols>
    <col min="1" max="1" width="23.21875" style="60" bestFit="1" customWidth="1"/>
    <col min="2" max="6" width="6.6640625" style="60" customWidth="1"/>
    <col min="7" max="7" width="6.6640625" style="76" customWidth="1"/>
    <col min="8" max="11" width="6.6640625" style="60" customWidth="1"/>
    <col min="12" max="13" width="6.6640625" style="51" customWidth="1"/>
    <col min="14" max="18" width="6.6640625" style="60" customWidth="1"/>
    <col min="19" max="19" width="6.6640625" style="76" customWidth="1"/>
    <col min="20" max="20" width="9.109375" style="60"/>
    <col min="21" max="21" width="11.6640625" style="60" bestFit="1" customWidth="1"/>
    <col min="22" max="22" width="9.109375" style="17"/>
    <col min="23" max="16384" width="9.109375" style="60"/>
  </cols>
  <sheetData>
    <row r="1" spans="1:24" x14ac:dyDescent="0.3">
      <c r="B1" s="158">
        <v>1</v>
      </c>
      <c r="C1" s="158">
        <v>2</v>
      </c>
      <c r="D1" s="158">
        <v>3</v>
      </c>
      <c r="E1" s="158">
        <v>4</v>
      </c>
      <c r="F1" s="158">
        <v>5</v>
      </c>
      <c r="G1" s="159" t="s">
        <v>145</v>
      </c>
      <c r="H1" s="158">
        <v>6</v>
      </c>
      <c r="I1" s="158">
        <v>7</v>
      </c>
      <c r="J1" s="158">
        <v>8</v>
      </c>
      <c r="K1" s="158">
        <v>9</v>
      </c>
      <c r="L1" s="158">
        <v>10</v>
      </c>
      <c r="M1" s="159" t="s">
        <v>146</v>
      </c>
      <c r="N1" s="158">
        <v>11</v>
      </c>
      <c r="O1" s="158">
        <v>12</v>
      </c>
      <c r="P1" s="158">
        <v>13</v>
      </c>
      <c r="Q1" s="158">
        <v>14</v>
      </c>
      <c r="R1" s="158">
        <v>15</v>
      </c>
      <c r="S1" s="159" t="s">
        <v>147</v>
      </c>
      <c r="T1" s="158" t="s">
        <v>71</v>
      </c>
      <c r="U1" s="160"/>
    </row>
    <row r="2" spans="1:24" s="61" customFormat="1" ht="12" x14ac:dyDescent="0.25">
      <c r="A2" s="79" t="s">
        <v>248</v>
      </c>
      <c r="B2" s="62">
        <f>AVERAGE(B3,B5,B7:B14)</f>
        <v>3.4786916666666672</v>
      </c>
      <c r="C2" s="62">
        <f>AVERAGE(C11:C14,C3:C8)</f>
        <v>3.3718827380952385</v>
      </c>
      <c r="D2" s="62">
        <f>AVERAGE(D3:D5,D7:D11,D13:D14)</f>
        <v>4.3680815476190471</v>
      </c>
      <c r="E2" s="62">
        <f>AVERAGE(E3:E6,E8:E13)</f>
        <v>3.3181291666666666</v>
      </c>
      <c r="F2" s="62">
        <f>AVERAGE(F3:F4,F6:F11,F13:F14)</f>
        <v>3.4123375000000005</v>
      </c>
      <c r="G2" s="62">
        <f>AVERAGE(G4:G11,G13:G14)</f>
        <v>2.9750000000000001</v>
      </c>
      <c r="H2" s="62">
        <f>AVERAGE(H4:H12,H14)</f>
        <v>3.4023922619047617</v>
      </c>
      <c r="I2" s="62">
        <f>AVERAGE(I3:I4,I6:I8,I10:I14)</f>
        <v>2.5271089285714283</v>
      </c>
      <c r="J2" s="62">
        <f>AVERAGE(J3:J5,J7:J9,J11:J14)</f>
        <v>3.3761375</v>
      </c>
      <c r="K2" s="62">
        <f>AVERAGE(K3:K5,K7:K9,K11:K14)</f>
        <v>3.5300553571428566</v>
      </c>
      <c r="L2" s="62">
        <f>AVERAGE(L4:L5,L7:L14)</f>
        <v>2.5851589285714285</v>
      </c>
      <c r="M2" s="62">
        <f>AVERAGE(M4:M9,M11:M14)</f>
        <v>3.0125000000000002</v>
      </c>
      <c r="N2" s="62">
        <f>AVERAGE(N3:N5,N7:N8,N10:N14)</f>
        <v>2.988609523809524</v>
      </c>
      <c r="O2" s="62">
        <f>AVERAGE(O3:O9,O11:O13)</f>
        <v>2.5878803571428568</v>
      </c>
      <c r="P2" s="62">
        <f>AVERAGE(P3:P9,P11:P13)</f>
        <v>2.9826226190476186</v>
      </c>
      <c r="Q2" s="62">
        <f>AVERAGE(Q3:Q5,Q7:Q13)</f>
        <v>2.7871017857142859</v>
      </c>
      <c r="R2" s="62">
        <f>AVERAGE(R3:R4,R7:R14)</f>
        <v>2.8660642857142862</v>
      </c>
      <c r="S2" s="62">
        <f>AVERAGE(S4:S5,S7:S14)</f>
        <v>2.9874999999999998</v>
      </c>
      <c r="T2" s="62">
        <f>SUM(B2:S2)</f>
        <v>56.557254166666667</v>
      </c>
      <c r="X2" s="69"/>
    </row>
    <row r="3" spans="1:24" x14ac:dyDescent="0.3">
      <c r="A3" s="60" t="s">
        <v>51</v>
      </c>
      <c r="B3" s="51">
        <f>SUMIFS(Data!$S:$S,Data!$A:$A,Data_echipe!$A3,Data!$C:$C,Data_echipe!B$1)</f>
        <v>5.9579999999999993</v>
      </c>
      <c r="C3" s="51">
        <f>SUMIFS(Data!$S:$S,Data!$A:$A,Data_echipe!$A3,Data!$C:$C,Data_echipe!C$1)</f>
        <v>3.625</v>
      </c>
      <c r="D3" s="51">
        <f>SUMIFS(Data!$S:$S,Data!$A:$A,Data_echipe!$A3,Data!$C:$C,Data_echipe!D$1)</f>
        <v>7.1400000000000006</v>
      </c>
      <c r="E3" s="51">
        <f>SUMIFS(Data!$S:$S,Data!$A:$A,Data_echipe!$A3,Data!$C:$C,Data_echipe!E$1)</f>
        <v>4.75</v>
      </c>
      <c r="F3" s="51">
        <f>SUMIFS(Data!$S:$S,Data!$A:$A,Data_echipe!$A3,Data!$C:$C,Data_echipe!F$1)</f>
        <v>4.0720000000000001</v>
      </c>
      <c r="G3" s="129">
        <f>SUMIFS(Data!$S:$S,Data!$A:$A,Data_echipe!$A3,Data!$C:$C,Data_echipe!G$1)</f>
        <v>4.4375</v>
      </c>
      <c r="H3" s="129">
        <f>SUMIFS(Data!$S:$S,Data!$A:$A,Data_echipe!$A3,Data!$C:$C,Data_echipe!H$1)</f>
        <v>5.6506666666666669</v>
      </c>
      <c r="I3" s="51">
        <f>SUMIFS(Data!$S:$S,Data!$A:$A,Data_echipe!$A3,Data!$C:$C,Data_echipe!I$1)</f>
        <v>5.4966666666666661</v>
      </c>
      <c r="J3" s="51">
        <f>SUMIFS(Data!$S:$S,Data!$A:$A,Data_echipe!$A3,Data!$C:$C,Data_echipe!J$1)</f>
        <v>3.5</v>
      </c>
      <c r="K3" s="51">
        <f>SUMIFS(Data!$S:$S,Data!$A:$A,Data_echipe!$A3,Data!$C:$C,Data_echipe!K$1)</f>
        <v>5.5026666666666664</v>
      </c>
      <c r="L3" s="129">
        <f>SUMIFS(Data!$S:$S,Data!$A:$A,Data_echipe!$A3,Data!$C:$C,Data_echipe!L$1)</f>
        <v>4.9316666666666666</v>
      </c>
      <c r="M3" s="129">
        <f>SUMIFS(Data!$S:$S,Data!$A:$A,Data_echipe!$A3,Data!$C:$C,Data_echipe!M$1)</f>
        <v>4.6875</v>
      </c>
      <c r="N3" s="51">
        <f>SUMIFS(Data!$S:$S,Data!$A:$A,Data_echipe!$A3,Data!$C:$C,Data_echipe!N$1)</f>
        <v>3.9453333333333331</v>
      </c>
      <c r="O3" s="51">
        <f>SUMIFS(Data!$S:$S,Data!$A:$A,Data_echipe!$A3,Data!$C:$C,Data_echipe!O$1)</f>
        <v>4.49</v>
      </c>
      <c r="P3" s="51">
        <f>SUMIFS(Data!$S:$S,Data!$A:$A,Data_echipe!$A3,Data!$C:$C,Data_echipe!P$1)</f>
        <v>3.9203333333333332</v>
      </c>
      <c r="Q3" s="51">
        <f>SUMIFS(Data!$S:$S,Data!$A:$A,Data_echipe!$A3,Data!$C:$C,Data_echipe!Q$1)</f>
        <v>3.875</v>
      </c>
      <c r="R3" s="51">
        <f>SUMIFS(Data!$S:$S,Data!$A:$A,Data_echipe!$A3,Data!$C:$C,Data_echipe!R$1)</f>
        <v>3.6</v>
      </c>
      <c r="S3" s="129">
        <f>SUMIFS(Data!$S:$S,Data!$A:$A,Data_echipe!$A3,Data!$C:$C,Data_echipe!S$1)</f>
        <v>4.6875</v>
      </c>
      <c r="U3" s="80" t="str">
        <f>$A$2</f>
        <v>UltraSYR</v>
      </c>
    </row>
    <row r="4" spans="1:24" x14ac:dyDescent="0.3">
      <c r="A4" s="60" t="s">
        <v>117</v>
      </c>
      <c r="B4" s="129">
        <f>SUMIFS(Data!$S:$S,Data!$A:$A,Data_echipe!$A4,Data!$C:$C,Data_echipe!B$1)</f>
        <v>1.1428571428571428</v>
      </c>
      <c r="C4" s="51">
        <f>SUMIFS(Data!$S:$S,Data!$A:$A,Data_echipe!$A4,Data!$C:$C,Data_echipe!C$1)</f>
        <v>1.5</v>
      </c>
      <c r="D4" s="51">
        <f>SUMIFS(Data!$S:$S,Data!$A:$A,Data_echipe!$A4,Data!$C:$C,Data_echipe!D$1)</f>
        <v>1.4232142857142858</v>
      </c>
      <c r="E4" s="51">
        <f>SUMIFS(Data!$S:$S,Data!$A:$A,Data_echipe!$A4,Data!$C:$C,Data_echipe!E$1)</f>
        <v>2.8892857142857142</v>
      </c>
      <c r="F4" s="51">
        <f>SUMIFS(Data!$S:$S,Data!$A:$A,Data_echipe!$A4,Data!$C:$C,Data_echipe!F$1)</f>
        <v>0</v>
      </c>
      <c r="G4" s="51">
        <f>SUMIFS(Data!$S:$S,Data!$A:$A,Data_echipe!$A4,Data!$C:$C,Data_echipe!G$1)</f>
        <v>1.8125</v>
      </c>
      <c r="H4" s="51">
        <f>SUMIFS(Data!$S:$S,Data!$A:$A,Data_echipe!$A4,Data!$C:$C,Data_echipe!H$1)</f>
        <v>1.7976190476190477</v>
      </c>
      <c r="I4" s="51">
        <f>SUMIFS(Data!$S:$S,Data!$A:$A,Data_echipe!$A4,Data!$C:$C,Data_echipe!I$1)</f>
        <v>1.7446428571428569</v>
      </c>
      <c r="J4" s="51">
        <f>SUMIFS(Data!$S:$S,Data!$A:$A,Data_echipe!$A4,Data!$C:$C,Data_echipe!J$1)</f>
        <v>4.125</v>
      </c>
      <c r="K4" s="51">
        <f>SUMIFS(Data!$S:$S,Data!$A:$A,Data_echipe!$A4,Data!$C:$C,Data_echipe!K$1)</f>
        <v>2.1642857142857141</v>
      </c>
      <c r="L4" s="51">
        <f>SUMIFS(Data!$S:$S,Data!$A:$A,Data_echipe!$A4,Data!$C:$C,Data_echipe!L$1)</f>
        <v>4.0366666666666671</v>
      </c>
      <c r="M4" s="51">
        <f>SUMIFS(Data!$S:$S,Data!$A:$A,Data_echipe!$A4,Data!$C:$C,Data_echipe!M$1)</f>
        <v>1.1875</v>
      </c>
      <c r="N4" s="51">
        <f>SUMIFS(Data!$S:$S,Data!$A:$A,Data_echipe!$A4,Data!$C:$C,Data_echipe!N$1)</f>
        <v>2.0553571428571429</v>
      </c>
      <c r="O4" s="51">
        <f>SUMIFS(Data!$S:$S,Data!$A:$A,Data_echipe!$A4,Data!$C:$C,Data_echipe!O$1)</f>
        <v>2.183928571428571</v>
      </c>
      <c r="P4" s="51">
        <f>SUMIFS(Data!$S:$S,Data!$A:$A,Data_echipe!$A4,Data!$C:$C,Data_echipe!P$1)</f>
        <v>0</v>
      </c>
      <c r="Q4" s="51">
        <f>SUMIFS(Data!$S:$S,Data!$A:$A,Data_echipe!$A4,Data!$C:$C,Data_echipe!Q$1)</f>
        <v>1.5464285714285715</v>
      </c>
      <c r="R4" s="51">
        <f>SUMIFS(Data!$S:$S,Data!$A:$A,Data_echipe!$A4,Data!$C:$C,Data_echipe!R$1)</f>
        <v>2.0345238095238094</v>
      </c>
      <c r="S4" s="51">
        <f>SUMIFS(Data!$S:$S,Data!$A:$A,Data_echipe!$A4,Data!$C:$C,Data_echipe!S$1)</f>
        <v>3.25</v>
      </c>
      <c r="U4" s="80" t="str">
        <f t="shared" ref="U4:U19" si="0">$A$2</f>
        <v>UltraSYR</v>
      </c>
    </row>
    <row r="5" spans="1:24" x14ac:dyDescent="0.3">
      <c r="A5" s="60" t="s">
        <v>118</v>
      </c>
      <c r="B5" s="51">
        <f>SUMIFS(Data!$S:$S,Data!$A:$A,Data_echipe!$A5,Data!$C:$C,Data_echipe!B$1)</f>
        <v>4.2</v>
      </c>
      <c r="C5" s="51">
        <f>SUMIFS(Data!$S:$S,Data!$A:$A,Data_echipe!$A5,Data!$C:$C,Data_echipe!C$1)</f>
        <v>4.625</v>
      </c>
      <c r="D5" s="51">
        <f>SUMIFS(Data!$S:$S,Data!$A:$A,Data_echipe!$A5,Data!$C:$C,Data_echipe!D$1)</f>
        <v>4.3791666666666664</v>
      </c>
      <c r="E5" s="51">
        <f>SUMIFS(Data!$S:$S,Data!$A:$A,Data_echipe!$A5,Data!$C:$C,Data_echipe!E$1)</f>
        <v>3.5958333333333332</v>
      </c>
      <c r="F5" s="129">
        <f>SUMIFS(Data!$S:$S,Data!$A:$A,Data_echipe!$A5,Data!$C:$C,Data_echipe!F$1)</f>
        <v>6.7743333333333329</v>
      </c>
      <c r="G5" s="51">
        <f>SUMIFS(Data!$S:$S,Data!$A:$A,Data_echipe!$A5,Data!$C:$C,Data_echipe!G$1)</f>
        <v>2.5625</v>
      </c>
      <c r="H5" s="51">
        <f>SUMIFS(Data!$S:$S,Data!$A:$A,Data_echipe!$A5,Data!$C:$C,Data_echipe!H$1)</f>
        <v>4.8291666666666666</v>
      </c>
      <c r="I5" s="129">
        <f>SUMIFS(Data!$S:$S,Data!$A:$A,Data_echipe!$A5,Data!$C:$C,Data_echipe!I$1)</f>
        <v>0</v>
      </c>
      <c r="J5" s="51">
        <f>SUMIFS(Data!$S:$S,Data!$A:$A,Data_echipe!$A5,Data!$C:$C,Data_echipe!J$1)</f>
        <v>4.3106666666666671</v>
      </c>
      <c r="K5" s="51">
        <f>SUMIFS(Data!$S:$S,Data!$A:$A,Data_echipe!$A5,Data!$C:$C,Data_echipe!K$1)</f>
        <v>3.7380952380952381</v>
      </c>
      <c r="L5" s="51">
        <f>SUMIFS(Data!$S:$S,Data!$A:$A,Data_echipe!$A5,Data!$C:$C,Data_echipe!L$1)</f>
        <v>4.625</v>
      </c>
      <c r="M5" s="51">
        <f>SUMIFS(Data!$S:$S,Data!$A:$A,Data_echipe!$A5,Data!$C:$C,Data_echipe!M$1)</f>
        <v>2.625</v>
      </c>
      <c r="N5" s="51">
        <f>SUMIFS(Data!$S:$S,Data!$A:$A,Data_echipe!$A5,Data!$C:$C,Data_echipe!N$1)</f>
        <v>4.3797619047619047</v>
      </c>
      <c r="O5" s="51">
        <f>SUMIFS(Data!$S:$S,Data!$A:$A,Data_echipe!$A5,Data!$C:$C,Data_echipe!O$1)</f>
        <v>2.6002142857142858</v>
      </c>
      <c r="P5" s="51">
        <f>SUMIFS(Data!$S:$S,Data!$A:$A,Data_echipe!$A5,Data!$C:$C,Data_echipe!P$1)</f>
        <v>4.7809999999999997</v>
      </c>
      <c r="Q5" s="51">
        <f>SUMIFS(Data!$S:$S,Data!$A:$A,Data_echipe!$A5,Data!$C:$C,Data_echipe!Q$1)</f>
        <v>4.0339999999999998</v>
      </c>
      <c r="R5" s="129">
        <f>SUMIFS(Data!$S:$S,Data!$A:$A,Data_echipe!$A5,Data!$C:$C,Data_echipe!R$1)</f>
        <v>4.1806666666666663</v>
      </c>
      <c r="S5" s="51">
        <f>SUMIFS(Data!$S:$S,Data!$A:$A,Data_echipe!$A5,Data!$C:$C,Data_echipe!S$1)</f>
        <v>3.25</v>
      </c>
      <c r="U5" s="80" t="str">
        <f t="shared" si="0"/>
        <v>UltraSYR</v>
      </c>
    </row>
    <row r="6" spans="1:24" x14ac:dyDescent="0.3">
      <c r="A6" s="60" t="s">
        <v>80</v>
      </c>
      <c r="B6" s="129">
        <f>SUMIFS(Data!$S:$S,Data!$A:$A,Data_echipe!$A6,Data!$C:$C,Data_echipe!B$1)</f>
        <v>6.075333333333333</v>
      </c>
      <c r="C6" s="51">
        <f>SUMIFS(Data!$S:$S,Data!$A:$A,Data_echipe!$A6,Data!$C:$C,Data_echipe!C$1)</f>
        <v>2.7826666666666666</v>
      </c>
      <c r="D6" s="129">
        <f>SUMIFS(Data!$S:$S,Data!$A:$A,Data_echipe!$A6,Data!$C:$C,Data_echipe!D$1)</f>
        <v>7.4139999999999997</v>
      </c>
      <c r="E6" s="51">
        <f>SUMIFS(Data!$S:$S,Data!$A:$A,Data_echipe!$A6,Data!$C:$C,Data_echipe!E$1)</f>
        <v>1.9946666666666668</v>
      </c>
      <c r="F6" s="51">
        <f>SUMIFS(Data!$S:$S,Data!$A:$A,Data_echipe!$A6,Data!$C:$C,Data_echipe!F$1)</f>
        <v>5.7906666666666675</v>
      </c>
      <c r="G6" s="51">
        <f>SUMIFS(Data!$S:$S,Data!$A:$A,Data_echipe!$A6,Data!$C:$C,Data_echipe!G$1)</f>
        <v>3.875</v>
      </c>
      <c r="H6" s="51">
        <f>SUMIFS(Data!$S:$S,Data!$A:$A,Data_echipe!$A6,Data!$C:$C,Data_echipe!H$1)</f>
        <v>3.7013333333333329</v>
      </c>
      <c r="I6" s="51">
        <f>SUMIFS(Data!$S:$S,Data!$A:$A,Data_echipe!$A6,Data!$C:$C,Data_echipe!I$1)</f>
        <v>0</v>
      </c>
      <c r="J6" s="129">
        <f>SUMIFS(Data!$S:$S,Data!$A:$A,Data_echipe!$A6,Data!$C:$C,Data_echipe!J$1)</f>
        <v>6.2993333333333341</v>
      </c>
      <c r="K6" s="129">
        <f>SUMIFS(Data!$S:$S,Data!$A:$A,Data_echipe!$A6,Data!$C:$C,Data_echipe!K$1)</f>
        <v>9.1873333333333331</v>
      </c>
      <c r="L6" s="129">
        <f>SUMIFS(Data!$S:$S,Data!$A:$A,Data_echipe!$A6,Data!$C:$C,Data_echipe!L$1)</f>
        <v>0</v>
      </c>
      <c r="M6" s="51">
        <f>SUMIFS(Data!$S:$S,Data!$A:$A,Data_echipe!$A6,Data!$C:$C,Data_echipe!M$1)</f>
        <v>4.25</v>
      </c>
      <c r="N6" s="129">
        <f>SUMIFS(Data!$S:$S,Data!$A:$A,Data_echipe!$A6,Data!$C:$C,Data_echipe!N$1)</f>
        <v>0</v>
      </c>
      <c r="O6" s="51">
        <f>SUMIFS(Data!$S:$S,Data!$A:$A,Data_echipe!$A6,Data!$C:$C,Data_echipe!O$1)</f>
        <v>0</v>
      </c>
      <c r="P6" s="51">
        <f>SUMIFS(Data!$S:$S,Data!$A:$A,Data_echipe!$A6,Data!$C:$C,Data_echipe!P$1)</f>
        <v>0</v>
      </c>
      <c r="Q6" s="129">
        <f>SUMIFS(Data!$S:$S,Data!$A:$A,Data_echipe!$A6,Data!$C:$C,Data_echipe!Q$1)</f>
        <v>0</v>
      </c>
      <c r="R6" s="129">
        <f>SUMIFS(Data!$S:$S,Data!$A:$A,Data_echipe!$A6,Data!$C:$C,Data_echipe!R$1)</f>
        <v>0</v>
      </c>
      <c r="S6" s="129">
        <f>SUMIFS(Data!$S:$S,Data!$A:$A,Data_echipe!$A6,Data!$C:$C,Data_echipe!S$1)</f>
        <v>0</v>
      </c>
      <c r="U6" s="80" t="str">
        <f t="shared" si="0"/>
        <v>UltraSYR</v>
      </c>
    </row>
    <row r="7" spans="1:24" x14ac:dyDescent="0.3">
      <c r="A7" s="60" t="s">
        <v>103</v>
      </c>
      <c r="B7" s="51">
        <f>SUMIFS(Data!$S:$S,Data!$A:$A,Data_echipe!$A7,Data!$C:$C,Data_echipe!B$1)</f>
        <v>1.51</v>
      </c>
      <c r="C7" s="51">
        <f>SUMIFS(Data!$S:$S,Data!$A:$A,Data_echipe!$A7,Data!$C:$C,Data_echipe!C$1)</f>
        <v>4.375</v>
      </c>
      <c r="D7" s="51">
        <f>SUMIFS(Data!$S:$S,Data!$A:$A,Data_echipe!$A7,Data!$C:$C,Data_echipe!D$1)</f>
        <v>2.6287500000000001</v>
      </c>
      <c r="E7" s="129">
        <f>SUMIFS(Data!$S:$S,Data!$A:$A,Data_echipe!$A7,Data!$C:$C,Data_echipe!E$1)</f>
        <v>1.441875</v>
      </c>
      <c r="F7" s="51">
        <f>SUMIFS(Data!$S:$S,Data!$A:$A,Data_echipe!$A7,Data!$C:$C,Data_echipe!F$1)</f>
        <v>2.8756249999999999</v>
      </c>
      <c r="G7" s="51">
        <f>SUMIFS(Data!$S:$S,Data!$A:$A,Data_echipe!$A7,Data!$C:$C,Data_echipe!G$1)</f>
        <v>1.8125</v>
      </c>
      <c r="H7" s="51">
        <f>SUMIFS(Data!$S:$S,Data!$A:$A,Data_echipe!$A7,Data!$C:$C,Data_echipe!H$1)</f>
        <v>3.3143750000000001</v>
      </c>
      <c r="I7" s="51">
        <f>SUMIFS(Data!$S:$S,Data!$A:$A,Data_echipe!$A7,Data!$C:$C,Data_echipe!I$1)</f>
        <v>3.1893750000000001</v>
      </c>
      <c r="J7" s="51">
        <f>SUMIFS(Data!$S:$S,Data!$A:$A,Data_echipe!$A7,Data!$C:$C,Data_echipe!J$1)</f>
        <v>0</v>
      </c>
      <c r="K7" s="51">
        <f>SUMIFS(Data!$S:$S,Data!$A:$A,Data_echipe!$A7,Data!$C:$C,Data_echipe!K$1)</f>
        <v>1.5</v>
      </c>
      <c r="L7" s="51">
        <f>SUMIFS(Data!$S:$S,Data!$A:$A,Data_echipe!$A7,Data!$C:$C,Data_echipe!L$1)</f>
        <v>3.1881249999999999</v>
      </c>
      <c r="M7" s="51">
        <f>SUMIFS(Data!$S:$S,Data!$A:$A,Data_echipe!$A7,Data!$C:$C,Data_echipe!M$1)</f>
        <v>1.5625</v>
      </c>
      <c r="N7" s="51">
        <f>SUMIFS(Data!$S:$S,Data!$A:$A,Data_echipe!$A7,Data!$C:$C,Data_echipe!N$1)</f>
        <v>2.8131249999999999</v>
      </c>
      <c r="O7" s="51">
        <f>SUMIFS(Data!$S:$S,Data!$A:$A,Data_echipe!$A7,Data!$C:$C,Data_echipe!O$1)</f>
        <v>3.4873750000000001</v>
      </c>
      <c r="P7" s="51">
        <f>SUMIFS(Data!$S:$S,Data!$A:$A,Data_echipe!$A7,Data!$C:$C,Data_echipe!P$1)</f>
        <v>2.8131249999999999</v>
      </c>
      <c r="Q7" s="51">
        <f>SUMIFS(Data!$S:$S,Data!$A:$A,Data_echipe!$A7,Data!$C:$C,Data_echipe!Q$1)</f>
        <v>2.2506249999999999</v>
      </c>
      <c r="R7" s="51">
        <f>SUMIFS(Data!$S:$S,Data!$A:$A,Data_echipe!$A7,Data!$C:$C,Data_echipe!R$1)</f>
        <v>2.5225</v>
      </c>
      <c r="S7" s="51">
        <f>SUMIFS(Data!$S:$S,Data!$A:$A,Data_echipe!$A7,Data!$C:$C,Data_echipe!S$1)</f>
        <v>2.375</v>
      </c>
      <c r="U7" s="80" t="str">
        <f t="shared" si="0"/>
        <v>UltraSYR</v>
      </c>
    </row>
    <row r="8" spans="1:24" x14ac:dyDescent="0.3">
      <c r="A8" s="60" t="s">
        <v>196</v>
      </c>
      <c r="B8" s="51">
        <f>SUMIFS(Data!$S:$S,Data!$A:$A,Data_echipe!$A8,Data!$C:$C,Data_echipe!B$1)</f>
        <v>3.7856666666666667</v>
      </c>
      <c r="C8" s="51">
        <f>SUMIFS(Data!$S:$S,Data!$A:$A,Data_echipe!$A8,Data!$C:$C,Data_echipe!C$1)</f>
        <v>1.7318750000000001</v>
      </c>
      <c r="D8" s="51">
        <f>SUMIFS(Data!$S:$S,Data!$A:$A,Data_echipe!$A8,Data!$C:$C,Data_echipe!D$1)</f>
        <v>3.6311249999999995</v>
      </c>
      <c r="E8" s="51">
        <f>SUMIFS(Data!$S:$S,Data!$A:$A,Data_echipe!$A8,Data!$C:$C,Data_echipe!E$1)</f>
        <v>1.8131250000000001</v>
      </c>
      <c r="F8" s="51">
        <f>SUMIFS(Data!$S:$S,Data!$A:$A,Data_echipe!$A8,Data!$C:$C,Data_echipe!F$1)</f>
        <v>1.765625</v>
      </c>
      <c r="G8" s="51">
        <f>SUMIFS(Data!$S:$S,Data!$A:$A,Data_echipe!$A8,Data!$C:$C,Data_echipe!G$1)</f>
        <v>4.0625</v>
      </c>
      <c r="H8" s="51">
        <f>SUMIFS(Data!$S:$S,Data!$A:$A,Data_echipe!$A8,Data!$C:$C,Data_echipe!H$1)</f>
        <v>4.3466666666666667</v>
      </c>
      <c r="I8" s="51">
        <f>SUMIFS(Data!$S:$S,Data!$A:$A,Data_echipe!$A8,Data!$C:$C,Data_echipe!I$1)</f>
        <v>0</v>
      </c>
      <c r="J8" s="51">
        <f>SUMIFS(Data!$S:$S,Data!$A:$A,Data_echipe!$A8,Data!$C:$C,Data_echipe!J$1)</f>
        <v>2.879375</v>
      </c>
      <c r="K8" s="51">
        <f>SUMIFS(Data!$S:$S,Data!$A:$A,Data_echipe!$A8,Data!$C:$C,Data_echipe!K$1)</f>
        <v>1.6875</v>
      </c>
      <c r="L8" s="51">
        <f>SUMIFS(Data!$S:$S,Data!$A:$A,Data_echipe!$A8,Data!$C:$C,Data_echipe!L$1)</f>
        <v>0</v>
      </c>
      <c r="M8" s="51">
        <f>SUMIFS(Data!$S:$S,Data!$A:$A,Data_echipe!$A8,Data!$C:$C,Data_echipe!M$1)</f>
        <v>3.5</v>
      </c>
      <c r="N8" s="51">
        <f>SUMIFS(Data!$S:$S,Data!$A:$A,Data_echipe!$A8,Data!$C:$C,Data_echipe!N$1)</f>
        <v>2.8768750000000001</v>
      </c>
      <c r="O8" s="51">
        <f>SUMIFS(Data!$S:$S,Data!$A:$A,Data_echipe!$A8,Data!$C:$C,Data_echipe!O$1)</f>
        <v>1.4781249999999999</v>
      </c>
      <c r="P8" s="51">
        <f>SUMIFS(Data!$S:$S,Data!$A:$A,Data_echipe!$A8,Data!$C:$C,Data_echipe!P$1)</f>
        <v>3.1875</v>
      </c>
      <c r="Q8" s="51">
        <f>SUMIFS(Data!$S:$S,Data!$A:$A,Data_echipe!$A8,Data!$C:$C,Data_echipe!Q$1)</f>
        <v>1.75</v>
      </c>
      <c r="R8" s="51">
        <f>SUMIFS(Data!$S:$S,Data!$A:$A,Data_echipe!$A8,Data!$C:$C,Data_echipe!R$1)</f>
        <v>2.0499999999999998</v>
      </c>
      <c r="S8" s="51">
        <f>SUMIFS(Data!$S:$S,Data!$A:$A,Data_echipe!$A8,Data!$C:$C,Data_echipe!S$1)</f>
        <v>2.1875</v>
      </c>
      <c r="U8" s="80" t="str">
        <f t="shared" si="0"/>
        <v>UltraSYR</v>
      </c>
    </row>
    <row r="9" spans="1:24" s="76" customFormat="1" x14ac:dyDescent="0.3">
      <c r="A9" s="76" t="s">
        <v>211</v>
      </c>
      <c r="B9" s="51">
        <f>SUMIFS(Data!$S:$S,Data!$A:$A,Data_echipe!$A9,Data!$C:$C,Data_echipe!B$1)</f>
        <v>2.917416666666667</v>
      </c>
      <c r="C9" s="129">
        <f>SUMIFS(Data!$S:$S,Data!$A:$A,Data_echipe!$A9,Data!$C:$C,Data_echipe!C$1)</f>
        <v>6.5626666666666669</v>
      </c>
      <c r="D9" s="51">
        <f>SUMIFS(Data!$S:$S,Data!$A:$A,Data_echipe!$A9,Data!$C:$C,Data_echipe!D$1)</f>
        <v>3.2952499999999998</v>
      </c>
      <c r="E9" s="51">
        <f>SUMIFS(Data!$S:$S,Data!$A:$A,Data_echipe!$A9,Data!$C:$C,Data_echipe!E$1)</f>
        <v>6.120333333333333</v>
      </c>
      <c r="F9" s="51">
        <f>SUMIFS(Data!$S:$S,Data!$A:$A,Data_echipe!$A9,Data!$C:$C,Data_echipe!F$1)</f>
        <v>5.4381249999999994</v>
      </c>
      <c r="G9" s="51">
        <f>SUMIFS(Data!$S:$S,Data!$A:$A,Data_echipe!$A9,Data!$C:$C,Data_echipe!G$1)</f>
        <v>2.25</v>
      </c>
      <c r="H9" s="51">
        <f>SUMIFS(Data!$S:$S,Data!$A:$A,Data_echipe!$A9,Data!$C:$C,Data_echipe!H$1)</f>
        <v>4.8933333333333335</v>
      </c>
      <c r="I9" s="129">
        <f>SUMIFS(Data!$S:$S,Data!$A:$A,Data_echipe!$A9,Data!$C:$C,Data_echipe!I$1)</f>
        <v>7.601583333333334</v>
      </c>
      <c r="J9" s="51">
        <f>SUMIFS(Data!$S:$S,Data!$A:$A,Data_echipe!$A9,Data!$C:$C,Data_echipe!J$1)</f>
        <v>4.3886666666666665</v>
      </c>
      <c r="K9" s="51">
        <f>SUMIFS(Data!$S:$S,Data!$A:$A,Data_echipe!$A9,Data!$C:$C,Data_echipe!K$1)</f>
        <v>4.4506250000000005</v>
      </c>
      <c r="L9" s="51">
        <f>SUMIFS(Data!$S:$S,Data!$A:$A,Data_echipe!$A9,Data!$C:$C,Data_echipe!L$1)</f>
        <v>3.4914166666666664</v>
      </c>
      <c r="M9" s="51">
        <f>SUMIFS(Data!$S:$S,Data!$A:$A,Data_echipe!$A9,Data!$C:$C,Data_echipe!M$1)</f>
        <v>3.625</v>
      </c>
      <c r="N9" s="129">
        <f>SUMIFS(Data!$S:$S,Data!$A:$A,Data_echipe!$A9,Data!$C:$C,Data_echipe!N$1)</f>
        <v>4.6983333333333333</v>
      </c>
      <c r="O9" s="51">
        <f>SUMIFS(Data!$S:$S,Data!$A:$A,Data_echipe!$A9,Data!$C:$C,Data_echipe!O$1)</f>
        <v>4.1230416666666665</v>
      </c>
      <c r="P9" s="51">
        <f>SUMIFS(Data!$S:$S,Data!$A:$A,Data_echipe!$A9,Data!$C:$C,Data_echipe!P$1)</f>
        <v>3.5631249999999999</v>
      </c>
      <c r="Q9" s="51">
        <f>SUMIFS(Data!$S:$S,Data!$A:$A,Data_echipe!$A9,Data!$C:$C,Data_echipe!Q$1)</f>
        <v>3.5762499999999999</v>
      </c>
      <c r="R9" s="51">
        <f>SUMIFS(Data!$S:$S,Data!$A:$A,Data_echipe!$A9,Data!$C:$C,Data_echipe!R$1)</f>
        <v>3.6839999999999997</v>
      </c>
      <c r="S9" s="51">
        <f>SUMIFS(Data!$S:$S,Data!$A:$A,Data_echipe!$A9,Data!$C:$C,Data_echipe!S$1)</f>
        <v>1.625</v>
      </c>
      <c r="U9" s="80" t="str">
        <f t="shared" si="0"/>
        <v>UltraSYR</v>
      </c>
      <c r="V9" s="74"/>
    </row>
    <row r="10" spans="1:24" s="76" customFormat="1" x14ac:dyDescent="0.3">
      <c r="A10" s="76" t="s">
        <v>65</v>
      </c>
      <c r="B10" s="51">
        <f>SUMIFS(Data!$S:$S,Data!$A:$A,Data_echipe!$A10,Data!$C:$C,Data_echipe!B$1)</f>
        <v>2.1696428571428572</v>
      </c>
      <c r="C10" s="129">
        <f>SUMIFS(Data!$S:$S,Data!$A:$A,Data_echipe!$A10,Data!$C:$C,Data_echipe!C$1)</f>
        <v>0</v>
      </c>
      <c r="D10" s="51">
        <f>SUMIFS(Data!$S:$S,Data!$A:$A,Data_echipe!$A10,Data!$C:$C,Data_echipe!D$1)</f>
        <v>7.0986666666666665</v>
      </c>
      <c r="E10" s="51">
        <f>SUMIFS(Data!$S:$S,Data!$A:$A,Data_echipe!$A10,Data!$C:$C,Data_echipe!E$1)</f>
        <v>3.0428571428571427</v>
      </c>
      <c r="F10" s="51">
        <f>SUMIFS(Data!$S:$S,Data!$A:$A,Data_echipe!$A10,Data!$C:$C,Data_echipe!F$1)</f>
        <v>1.5</v>
      </c>
      <c r="G10" s="51">
        <f>SUMIFS(Data!$S:$S,Data!$A:$A,Data_echipe!$A10,Data!$C:$C,Data_echipe!G$1)</f>
        <v>3.5</v>
      </c>
      <c r="H10" s="51">
        <f>SUMIFS(Data!$S:$S,Data!$A:$A,Data_echipe!$A10,Data!$C:$C,Data_echipe!H$1)</f>
        <v>0</v>
      </c>
      <c r="I10" s="51">
        <f>SUMIFS(Data!$S:$S,Data!$A:$A,Data_echipe!$A10,Data!$C:$C,Data_echipe!I$1)</f>
        <v>0</v>
      </c>
      <c r="J10" s="129">
        <f>SUMIFS(Data!$S:$S,Data!$A:$A,Data_echipe!$A10,Data!$C:$C,Data_echipe!J$1)</f>
        <v>0</v>
      </c>
      <c r="K10" s="129">
        <f>SUMIFS(Data!$S:$S,Data!$A:$A,Data_echipe!$A10,Data!$C:$C,Data_echipe!K$1)</f>
        <v>0</v>
      </c>
      <c r="L10" s="51">
        <f>SUMIFS(Data!$S:$S,Data!$A:$A,Data_echipe!$A10,Data!$C:$C,Data_echipe!L$1)</f>
        <v>0</v>
      </c>
      <c r="M10" s="129">
        <f>SUMIFS(Data!$S:$S,Data!$A:$A,Data_echipe!$A10,Data!$C:$C,Data_echipe!M$1)</f>
        <v>0</v>
      </c>
      <c r="N10" s="51">
        <f>SUMIFS(Data!$S:$S,Data!$A:$A,Data_echipe!$A10,Data!$C:$C,Data_echipe!N$1)</f>
        <v>0</v>
      </c>
      <c r="O10" s="129">
        <f>SUMIFS(Data!$S:$S,Data!$A:$A,Data_echipe!$A10,Data!$C:$C,Data_echipe!O$1)</f>
        <v>0</v>
      </c>
      <c r="P10" s="129">
        <f>SUMIFS(Data!$S:$S,Data!$A:$A,Data_echipe!$A10,Data!$C:$C,Data_echipe!P$1)</f>
        <v>5.2359999999999998</v>
      </c>
      <c r="Q10" s="51">
        <f>SUMIFS(Data!$S:$S,Data!$A:$A,Data_echipe!$A10,Data!$C:$C,Data_echipe!Q$1)</f>
        <v>3.0571428571428569</v>
      </c>
      <c r="R10" s="51">
        <f>SUMIFS(Data!$S:$S,Data!$A:$A,Data_echipe!$A10,Data!$C:$C,Data_echipe!R$1)</f>
        <v>2.8344761904761904</v>
      </c>
      <c r="S10" s="51">
        <f>SUMIFS(Data!$S:$S,Data!$A:$A,Data_echipe!$A10,Data!$C:$C,Data_echipe!S$1)</f>
        <v>4.25</v>
      </c>
      <c r="U10" s="80" t="str">
        <f t="shared" si="0"/>
        <v>UltraSYR</v>
      </c>
      <c r="V10" s="74"/>
    </row>
    <row r="11" spans="1:24" s="76" customFormat="1" x14ac:dyDescent="0.3">
      <c r="A11" s="76" t="s">
        <v>61</v>
      </c>
      <c r="B11" s="51">
        <f>SUMIFS(Data!$S:$S,Data!$A:$A,Data_echipe!$A11,Data!$C:$C,Data_echipe!B$1)</f>
        <v>3.6726190476190474</v>
      </c>
      <c r="C11" s="51">
        <f>SUMIFS(Data!$S:$S,Data!$A:$A,Data_echipe!$A11,Data!$C:$C,Data_echipe!C$1)</f>
        <v>3.1964285714285712</v>
      </c>
      <c r="D11" s="51">
        <f>SUMIFS(Data!$S:$S,Data!$A:$A,Data_echipe!$A11,Data!$C:$C,Data_echipe!D$1)</f>
        <v>3.4749999999999996</v>
      </c>
      <c r="E11" s="51">
        <f>SUMIFS(Data!$S:$S,Data!$A:$A,Data_echipe!$A11,Data!$C:$C,Data_echipe!E$1)</f>
        <v>2.4971904761904766</v>
      </c>
      <c r="F11" s="51">
        <f>SUMIFS(Data!$S:$S,Data!$A:$A,Data_echipe!$A11,Data!$C:$C,Data_echipe!F$1)</f>
        <v>3.3053571428571433</v>
      </c>
      <c r="G11" s="51">
        <f>SUMIFS(Data!$S:$S,Data!$A:$A,Data_echipe!$A11,Data!$C:$C,Data_echipe!G$1)</f>
        <v>2</v>
      </c>
      <c r="H11" s="51">
        <f>SUMIFS(Data!$S:$S,Data!$A:$A,Data_echipe!$A11,Data!$C:$C,Data_echipe!H$1)</f>
        <v>2.9226190476190474</v>
      </c>
      <c r="I11" s="51">
        <f>SUMIFS(Data!$S:$S,Data!$A:$A,Data_echipe!$A11,Data!$C:$C,Data_echipe!I$1)</f>
        <v>5.7403333333333331</v>
      </c>
      <c r="J11" s="51">
        <f>SUMIFS(Data!$S:$S,Data!$A:$A,Data_echipe!$A11,Data!$C:$C,Data_echipe!J$1)</f>
        <v>3.4369047619047617</v>
      </c>
      <c r="K11" s="51">
        <f>SUMIFS(Data!$S:$S,Data!$A:$A,Data_echipe!$A11,Data!$C:$C,Data_echipe!K$1)</f>
        <v>4.6983333333333333</v>
      </c>
      <c r="L11" s="51">
        <f>SUMIFS(Data!$S:$S,Data!$A:$A,Data_echipe!$A11,Data!$C:$C,Data_echipe!L$1)</f>
        <v>0</v>
      </c>
      <c r="M11" s="51">
        <f>SUMIFS(Data!$S:$S,Data!$A:$A,Data_echipe!$A11,Data!$C:$C,Data_echipe!M$1)</f>
        <v>3.5625</v>
      </c>
      <c r="N11" s="51">
        <f>SUMIFS(Data!$S:$S,Data!$A:$A,Data_echipe!$A11,Data!$C:$C,Data_echipe!N$1)</f>
        <v>3.4896904761904763</v>
      </c>
      <c r="O11" s="51">
        <f>SUMIFS(Data!$S:$S,Data!$A:$A,Data_echipe!$A11,Data!$C:$C,Data_echipe!O$1)</f>
        <v>2.8547619047619048</v>
      </c>
      <c r="P11" s="51">
        <f>SUMIFS(Data!$S:$S,Data!$A:$A,Data_echipe!$A11,Data!$C:$C,Data_echipe!P$1)</f>
        <v>3.4214285714285713</v>
      </c>
      <c r="Q11" s="51">
        <f>SUMIFS(Data!$S:$S,Data!$A:$A,Data_echipe!$A11,Data!$C:$C,Data_echipe!Q$1)</f>
        <v>2.1285714285714286</v>
      </c>
      <c r="R11" s="51">
        <f>SUMIFS(Data!$S:$S,Data!$A:$A,Data_echipe!$A11,Data!$C:$C,Data_echipe!R$1)</f>
        <v>3.0119047619047619</v>
      </c>
      <c r="S11" s="51">
        <f>SUMIFS(Data!$S:$S,Data!$A:$A,Data_echipe!$A11,Data!$C:$C,Data_echipe!S$1)</f>
        <v>1.5</v>
      </c>
      <c r="U11" s="80" t="str">
        <f t="shared" si="0"/>
        <v>UltraSYR</v>
      </c>
      <c r="V11" s="74"/>
    </row>
    <row r="12" spans="1:24" s="76" customFormat="1" x14ac:dyDescent="0.3">
      <c r="A12" s="76" t="s">
        <v>50</v>
      </c>
      <c r="B12" s="51">
        <f>SUMIFS(Data!$S:$S,Data!$A:$A,Data_echipe!$A12,Data!$C:$C,Data_echipe!B$1)</f>
        <v>2.4097142857142857</v>
      </c>
      <c r="C12" s="51">
        <f>SUMIFS(Data!$S:$S,Data!$A:$A,Data_echipe!$A12,Data!$C:$C,Data_echipe!C$1)</f>
        <v>4.7666666666666666</v>
      </c>
      <c r="D12" s="129">
        <f>SUMIFS(Data!$S:$S,Data!$A:$A,Data_echipe!$A12,Data!$C:$C,Data_echipe!D$1)</f>
        <v>0</v>
      </c>
      <c r="E12" s="51">
        <f>SUMIFS(Data!$S:$S,Data!$A:$A,Data_echipe!$A12,Data!$C:$C,Data_echipe!E$1)</f>
        <v>1.5</v>
      </c>
      <c r="F12" s="129">
        <f>SUMIFS(Data!$S:$S,Data!$A:$A,Data_echipe!$A12,Data!$C:$C,Data_echipe!F$1)</f>
        <v>0</v>
      </c>
      <c r="G12" s="129">
        <f>SUMIFS(Data!$S:$S,Data!$A:$A,Data_echipe!$A12,Data!$C:$C,Data_echipe!G$1)</f>
        <v>1.4375</v>
      </c>
      <c r="H12" s="51">
        <f>SUMIFS(Data!$S:$S,Data!$A:$A,Data_echipe!$A12,Data!$C:$C,Data_echipe!H$1)</f>
        <v>2.9938095238095239</v>
      </c>
      <c r="I12" s="51">
        <f>SUMIFS(Data!$S:$S,Data!$A:$A,Data_echipe!$A12,Data!$C:$C,Data_echipe!I$1)</f>
        <v>3.2015714285714285</v>
      </c>
      <c r="J12" s="51">
        <f>SUMIFS(Data!$S:$S,Data!$A:$A,Data_echipe!$A12,Data!$C:$C,Data_echipe!J$1)</f>
        <v>2.3249285714285715</v>
      </c>
      <c r="K12" s="51">
        <f>SUMIFS(Data!$S:$S,Data!$A:$A,Data_echipe!$A12,Data!$C:$C,Data_echipe!K$1)</f>
        <v>2.2285714285714286</v>
      </c>
      <c r="L12" s="51">
        <f>SUMIFS(Data!$S:$S,Data!$A:$A,Data_echipe!$A12,Data!$C:$C,Data_echipe!L$1)</f>
        <v>1.871690476190476</v>
      </c>
      <c r="M12" s="51">
        <f>SUMIFS(Data!$S:$S,Data!$A:$A,Data_echipe!$A12,Data!$C:$C,Data_echipe!M$1)</f>
        <v>3.0625</v>
      </c>
      <c r="N12" s="51">
        <f>SUMIFS(Data!$S:$S,Data!$A:$A,Data_echipe!$A12,Data!$C:$C,Data_echipe!N$1)</f>
        <v>3.0216428571428571</v>
      </c>
      <c r="O12" s="51">
        <f>SUMIFS(Data!$S:$S,Data!$A:$A,Data_echipe!$A12,Data!$C:$C,Data_echipe!O$1)</f>
        <v>1.286357142857143</v>
      </c>
      <c r="P12" s="51">
        <f>SUMIFS(Data!$S:$S,Data!$A:$A,Data_echipe!$A12,Data!$C:$C,Data_echipe!P$1)</f>
        <v>2.9310476190476189</v>
      </c>
      <c r="Q12" s="51">
        <f>SUMIFS(Data!$S:$S,Data!$A:$A,Data_echipe!$A12,Data!$C:$C,Data_echipe!Q$1)</f>
        <v>1.930047619047619</v>
      </c>
      <c r="R12" s="51">
        <f>SUMIFS(Data!$S:$S,Data!$A:$A,Data_echipe!$A12,Data!$C:$C,Data_echipe!R$1)</f>
        <v>1.6012380952380951</v>
      </c>
      <c r="S12" s="51">
        <f>SUMIFS(Data!$S:$S,Data!$A:$A,Data_echipe!$A12,Data!$C:$C,Data_echipe!S$1)</f>
        <v>3.1875</v>
      </c>
      <c r="U12" s="80" t="str">
        <f t="shared" si="0"/>
        <v>UltraSYR</v>
      </c>
      <c r="V12" s="74"/>
    </row>
    <row r="13" spans="1:24" s="76" customFormat="1" x14ac:dyDescent="0.3">
      <c r="A13" s="76" t="s">
        <v>53</v>
      </c>
      <c r="B13" s="51">
        <f>SUMIFS(Data!$S:$S,Data!$A:$A,Data_echipe!$A13,Data!$C:$C,Data_echipe!B$1)</f>
        <v>4.9376666666666669</v>
      </c>
      <c r="C13" s="51">
        <f>SUMIFS(Data!$S:$S,Data!$A:$A,Data_echipe!$A13,Data!$C:$C,Data_echipe!C$1)</f>
        <v>3.8298809523809521</v>
      </c>
      <c r="D13" s="51">
        <f>SUMIFS(Data!$S:$S,Data!$A:$A,Data_echipe!$A13,Data!$C:$C,Data_echipe!D$1)</f>
        <v>5.6029761904761903</v>
      </c>
      <c r="E13" s="51">
        <f>SUMIFS(Data!$S:$S,Data!$A:$A,Data_echipe!$A13,Data!$C:$C,Data_echipe!E$1)</f>
        <v>4.9780000000000006</v>
      </c>
      <c r="F13" s="51">
        <f>SUMIFS(Data!$S:$S,Data!$A:$A,Data_echipe!$A13,Data!$C:$C,Data_echipe!F$1)</f>
        <v>6.0896666666666661</v>
      </c>
      <c r="G13" s="51">
        <f>SUMIFS(Data!$S:$S,Data!$A:$A,Data_echipe!$A13,Data!$C:$C,Data_echipe!G$1)</f>
        <v>4.375</v>
      </c>
      <c r="H13" s="129">
        <f>SUMIFS(Data!$S:$S,Data!$A:$A,Data_echipe!$A13,Data!$C:$C,Data_echipe!H$1)</f>
        <v>0</v>
      </c>
      <c r="I13" s="51">
        <f>SUMIFS(Data!$S:$S,Data!$A:$A,Data_echipe!$A13,Data!$C:$C,Data_echipe!I$1)</f>
        <v>2.4806428571428571</v>
      </c>
      <c r="J13" s="51">
        <f>SUMIFS(Data!$S:$S,Data!$A:$A,Data_echipe!$A13,Data!$C:$C,Data_echipe!J$1)</f>
        <v>4.3458333333333332</v>
      </c>
      <c r="K13" s="51">
        <f>SUMIFS(Data!$S:$S,Data!$A:$A,Data_echipe!$A13,Data!$C:$C,Data_echipe!K$1)</f>
        <v>5.9733333333333327</v>
      </c>
      <c r="L13" s="51">
        <f>SUMIFS(Data!$S:$S,Data!$A:$A,Data_echipe!$A13,Data!$C:$C,Data_echipe!L$1)</f>
        <v>4.0136904761904759</v>
      </c>
      <c r="M13" s="51">
        <f>SUMIFS(Data!$S:$S,Data!$A:$A,Data_echipe!$A13,Data!$C:$C,Data_echipe!M$1)</f>
        <v>4.3125</v>
      </c>
      <c r="N13" s="51">
        <f>SUMIFS(Data!$S:$S,Data!$A:$A,Data_echipe!$A13,Data!$C:$C,Data_echipe!N$1)</f>
        <v>3.5543095238095241</v>
      </c>
      <c r="O13" s="51">
        <f>SUMIFS(Data!$S:$S,Data!$A:$A,Data_echipe!$A13,Data!$C:$C,Data_echipe!O$1)</f>
        <v>3.375</v>
      </c>
      <c r="P13" s="51">
        <f>SUMIFS(Data!$S:$S,Data!$A:$A,Data_echipe!$A13,Data!$C:$C,Data_echipe!P$1)</f>
        <v>5.2086666666666668</v>
      </c>
      <c r="Q13" s="51">
        <f>SUMIFS(Data!$S:$S,Data!$A:$A,Data_echipe!$A13,Data!$C:$C,Data_echipe!Q$1)</f>
        <v>3.7229523809523806</v>
      </c>
      <c r="R13" s="51">
        <f>SUMIFS(Data!$S:$S,Data!$A:$A,Data_echipe!$A13,Data!$C:$C,Data_echipe!R$1)</f>
        <v>3.6779999999999999</v>
      </c>
      <c r="S13" s="51">
        <f>SUMIFS(Data!$S:$S,Data!$A:$A,Data_echipe!$A13,Data!$C:$C,Data_echipe!S$1)</f>
        <v>3.625</v>
      </c>
      <c r="U13" s="80" t="str">
        <f t="shared" si="0"/>
        <v>UltraSYR</v>
      </c>
      <c r="V13" s="74"/>
    </row>
    <row r="14" spans="1:24" s="76" customFormat="1" x14ac:dyDescent="0.3">
      <c r="A14" s="76" t="s">
        <v>111</v>
      </c>
      <c r="B14" s="51">
        <f>SUMIFS(Data!$S:$S,Data!$A:$A,Data_echipe!$A14,Data!$C:$C,Data_echipe!B$1)</f>
        <v>3.2261904761904763</v>
      </c>
      <c r="C14" s="51">
        <f>SUMIFS(Data!$S:$S,Data!$A:$A,Data_echipe!$A14,Data!$C:$C,Data_echipe!C$1)</f>
        <v>3.2863095238095239</v>
      </c>
      <c r="D14" s="51">
        <f>SUMIFS(Data!$S:$S,Data!$A:$A,Data_echipe!$A14,Data!$C:$C,Data_echipe!D$1)</f>
        <v>5.0066666666666668</v>
      </c>
      <c r="E14" s="129">
        <f>SUMIFS(Data!$S:$S,Data!$A:$A,Data_echipe!$A14,Data!$C:$C,Data_echipe!E$1)</f>
        <v>7.5793333333333335</v>
      </c>
      <c r="F14" s="51">
        <f>SUMIFS(Data!$S:$S,Data!$A:$A,Data_echipe!$A14,Data!$C:$C,Data_echipe!F$1)</f>
        <v>3.2863095238095239</v>
      </c>
      <c r="G14" s="51">
        <f>SUMIFS(Data!$S:$S,Data!$A:$A,Data_echipe!$A14,Data!$C:$C,Data_echipe!G$1)</f>
        <v>3.5</v>
      </c>
      <c r="H14" s="51">
        <f>SUMIFS(Data!$S:$S,Data!$A:$A,Data_echipe!$A14,Data!$C:$C,Data_echipe!H$1)</f>
        <v>5.2249999999999996</v>
      </c>
      <c r="I14" s="51">
        <f>SUMIFS(Data!$S:$S,Data!$A:$A,Data_echipe!$A14,Data!$C:$C,Data_echipe!I$1)</f>
        <v>3.4178571428571427</v>
      </c>
      <c r="J14" s="51">
        <f>SUMIFS(Data!$S:$S,Data!$A:$A,Data_echipe!$A14,Data!$C:$C,Data_echipe!J$1)</f>
        <v>4.45</v>
      </c>
      <c r="K14" s="51">
        <f>SUMIFS(Data!$S:$S,Data!$A:$A,Data_echipe!$A14,Data!$C:$C,Data_echipe!K$1)</f>
        <v>3.3571428571428572</v>
      </c>
      <c r="L14" s="51">
        <f>SUMIFS(Data!$S:$S,Data!$A:$A,Data_echipe!$A14,Data!$C:$C,Data_echipe!L$1)</f>
        <v>4.625</v>
      </c>
      <c r="M14" s="51">
        <f>SUMIFS(Data!$S:$S,Data!$A:$A,Data_echipe!$A14,Data!$C:$C,Data_echipe!M$1)</f>
        <v>2.4375</v>
      </c>
      <c r="N14" s="51">
        <f>SUMIFS(Data!$S:$S,Data!$A:$A,Data_echipe!$A14,Data!$C:$C,Data_echipe!N$1)</f>
        <v>3.75</v>
      </c>
      <c r="O14" s="129">
        <f>SUMIFS(Data!$S:$S,Data!$A:$A,Data_echipe!$A14,Data!$C:$C,Data_echipe!O$1)</f>
        <v>4.5</v>
      </c>
      <c r="P14" s="129">
        <f>SUMIFS(Data!$S:$S,Data!$A:$A,Data_echipe!$A14,Data!$C:$C,Data_echipe!P$1)</f>
        <v>0</v>
      </c>
      <c r="Q14" s="129">
        <f>SUMIFS(Data!$S:$S,Data!$A:$A,Data_echipe!$A14,Data!$C:$C,Data_echipe!Q$1)</f>
        <v>4.3906666666666663</v>
      </c>
      <c r="R14" s="51">
        <f>SUMIFS(Data!$S:$S,Data!$A:$A,Data_echipe!$A14,Data!$C:$C,Data_echipe!R$1)</f>
        <v>3.6440000000000001</v>
      </c>
      <c r="S14" s="51">
        <f>SUMIFS(Data!$S:$S,Data!$A:$A,Data_echipe!$A14,Data!$C:$C,Data_echipe!S$1)</f>
        <v>4.625</v>
      </c>
      <c r="U14" s="80" t="str">
        <f t="shared" si="0"/>
        <v>UltraSYR</v>
      </c>
      <c r="V14" s="74"/>
    </row>
    <row r="15" spans="1:24" s="76" customFormat="1" x14ac:dyDescent="0.3">
      <c r="B15" s="131"/>
      <c r="C15" s="131"/>
      <c r="D15" s="131"/>
      <c r="E15" s="131"/>
      <c r="F15" s="131"/>
      <c r="G15" s="131"/>
      <c r="H15" s="131"/>
      <c r="I15" s="131"/>
      <c r="J15" s="131"/>
      <c r="K15" s="131"/>
      <c r="L15" s="131"/>
      <c r="M15" s="131"/>
      <c r="N15" s="131"/>
      <c r="O15" s="131"/>
      <c r="P15" s="131"/>
      <c r="Q15" s="131"/>
      <c r="R15" s="131"/>
      <c r="S15" s="131"/>
      <c r="U15" s="80" t="str">
        <f t="shared" si="0"/>
        <v>UltraSYR</v>
      </c>
      <c r="V15" s="74"/>
    </row>
    <row r="16" spans="1:24" s="76" customFormat="1" x14ac:dyDescent="0.3">
      <c r="B16" s="131"/>
      <c r="C16" s="131"/>
      <c r="D16" s="131"/>
      <c r="E16" s="131"/>
      <c r="F16" s="131"/>
      <c r="G16" s="131"/>
      <c r="H16" s="131"/>
      <c r="I16" s="131"/>
      <c r="J16" s="131"/>
      <c r="K16" s="131"/>
      <c r="L16" s="131"/>
      <c r="M16" s="131"/>
      <c r="N16" s="131"/>
      <c r="O16" s="131"/>
      <c r="P16" s="131"/>
      <c r="Q16" s="131"/>
      <c r="R16" s="131"/>
      <c r="S16" s="131"/>
      <c r="U16" s="80" t="str">
        <f t="shared" si="0"/>
        <v>UltraSYR</v>
      </c>
      <c r="V16" s="74"/>
    </row>
    <row r="17" spans="1:22" s="76" customFormat="1" x14ac:dyDescent="0.3">
      <c r="B17" s="131"/>
      <c r="C17" s="131"/>
      <c r="D17" s="131"/>
      <c r="E17" s="131"/>
      <c r="F17" s="131"/>
      <c r="G17" s="131"/>
      <c r="H17" s="131"/>
      <c r="I17" s="131"/>
      <c r="J17" s="131"/>
      <c r="K17" s="131"/>
      <c r="L17" s="131"/>
      <c r="M17" s="131"/>
      <c r="N17" s="131"/>
      <c r="O17" s="131"/>
      <c r="P17" s="131"/>
      <c r="Q17" s="131"/>
      <c r="R17" s="131"/>
      <c r="S17" s="131"/>
      <c r="U17" s="80" t="str">
        <f t="shared" si="0"/>
        <v>UltraSYR</v>
      </c>
      <c r="V17" s="74"/>
    </row>
    <row r="18" spans="1:22" x14ac:dyDescent="0.3">
      <c r="B18" s="131"/>
      <c r="C18" s="131"/>
      <c r="D18" s="131"/>
      <c r="E18" s="131"/>
      <c r="F18" s="131"/>
      <c r="G18" s="131"/>
      <c r="H18" s="131"/>
      <c r="I18" s="131"/>
      <c r="J18" s="131"/>
      <c r="K18" s="131"/>
      <c r="L18" s="131"/>
      <c r="M18" s="131"/>
      <c r="N18" s="131"/>
      <c r="O18" s="131"/>
      <c r="P18" s="131"/>
      <c r="Q18" s="131"/>
      <c r="R18" s="131"/>
      <c r="S18" s="131"/>
      <c r="U18" s="80" t="str">
        <f t="shared" si="0"/>
        <v>UltraSYR</v>
      </c>
    </row>
    <row r="19" spans="1:22" s="76" customFormat="1" x14ac:dyDescent="0.3">
      <c r="B19" s="131"/>
      <c r="C19" s="131"/>
      <c r="D19" s="131"/>
      <c r="E19" s="131"/>
      <c r="F19" s="131"/>
      <c r="G19" s="131"/>
      <c r="H19" s="131"/>
      <c r="I19" s="131"/>
      <c r="J19" s="131"/>
      <c r="K19" s="131"/>
      <c r="L19" s="131"/>
      <c r="M19" s="131"/>
      <c r="N19" s="131"/>
      <c r="O19" s="131"/>
      <c r="P19" s="131"/>
      <c r="Q19" s="131"/>
      <c r="R19" s="131"/>
      <c r="S19" s="131"/>
      <c r="U19" s="80" t="str">
        <f t="shared" si="0"/>
        <v>UltraSYR</v>
      </c>
      <c r="V19" s="74"/>
    </row>
    <row r="20" spans="1:22" x14ac:dyDescent="0.3">
      <c r="B20" s="51"/>
      <c r="C20" s="51"/>
      <c r="D20" s="51"/>
      <c r="E20" s="51"/>
      <c r="F20" s="51"/>
      <c r="G20" s="51"/>
      <c r="H20" s="51"/>
      <c r="I20" s="51"/>
      <c r="J20" s="51"/>
      <c r="K20" s="51"/>
      <c r="N20" s="51"/>
      <c r="O20" s="51"/>
      <c r="P20" s="51"/>
      <c r="Q20" s="51"/>
      <c r="R20" s="51"/>
      <c r="S20" s="51"/>
    </row>
    <row r="21" spans="1:22" s="61" customFormat="1" x14ac:dyDescent="0.3">
      <c r="A21" s="79" t="s">
        <v>249</v>
      </c>
      <c r="B21" s="62">
        <f>AVERAGE(B31:B33,B26:B29,B22:B24)</f>
        <v>3.8320577380952372</v>
      </c>
      <c r="C21" s="62">
        <f>AVERAGE(C31:C33,C26:C29,C22:C24)</f>
        <v>3.6128904761904765</v>
      </c>
      <c r="D21" s="62">
        <f>AVERAGE(D22:D24,D26:D27,D29:D34)</f>
        <v>3.9216774891774899</v>
      </c>
      <c r="E21" s="62">
        <f>AVERAGE(E22:E24,E27:E34)</f>
        <v>3.9848349567099572</v>
      </c>
      <c r="F21" s="62">
        <f>AVERAGE(F22:F24,F27:F34)</f>
        <v>3.1332213203463208</v>
      </c>
      <c r="G21" s="62">
        <f>AVERAGE(G22:G24,G26:G29,G31:G34)</f>
        <v>2.1837121212121211</v>
      </c>
      <c r="H21" s="62">
        <f>AVERAGE(H22:H24,H26:H28,H30:H34)</f>
        <v>2.9277711038961041</v>
      </c>
      <c r="I21" s="62">
        <f>AVERAGE(I22:I23,I25:I33)</f>
        <v>3.8197510822510821</v>
      </c>
      <c r="J21" s="62">
        <f>AVERAGE(J22:J25,J27:J31,J33:J34)</f>
        <v>3.6941617965367968</v>
      </c>
      <c r="K21" s="62">
        <f>AVERAGE(K22:K24,K27:K34)</f>
        <v>2.9287440476190478</v>
      </c>
      <c r="L21" s="62">
        <f>AVERAGE(L22:L25,L27:L33)</f>
        <v>3.7042516233766234</v>
      </c>
      <c r="M21" s="62">
        <f>AVERAGE(M23:M25,M27:M34)</f>
        <v>1.6363636363636365</v>
      </c>
      <c r="N21" s="62">
        <f>AVERAGE(N22:N24,N27:N34)</f>
        <v>2.6369101731601732</v>
      </c>
      <c r="O21" s="62">
        <f>AVERAGE(O22:O24,O27:O34)</f>
        <v>2.9819778138528137</v>
      </c>
      <c r="P21" s="62">
        <f>AVERAGE(P22,P24:P25,P27:P34)</f>
        <v>3.7136331168831167</v>
      </c>
      <c r="Q21" s="62">
        <f>AVERAGE(Q22:Q24,Q27:Q34)</f>
        <v>3.1620995670995669</v>
      </c>
      <c r="R21" s="62">
        <f>AVERAGE(R22:R24,R27:R34)</f>
        <v>2.9094816017316019</v>
      </c>
      <c r="S21" s="62">
        <f>AVERAGE(S22:S23,S25,S27:S34)</f>
        <v>1.8314393939393938</v>
      </c>
      <c r="T21" s="62">
        <f>SUM(B21:S21)</f>
        <v>56.614979058441548</v>
      </c>
      <c r="V21" s="63"/>
    </row>
    <row r="22" spans="1:22" x14ac:dyDescent="0.3">
      <c r="A22" s="60" t="s">
        <v>49</v>
      </c>
      <c r="B22" s="51">
        <f>SUMIFS(Data!$S:$S,Data!$A:$A,Data_echipe!$A22,Data!$C:$C,Data_echipe!B$1)</f>
        <v>3.5524047619047621</v>
      </c>
      <c r="C22" s="51">
        <f>SUMIFS(Data!$S:$S,Data!$A:$A,Data_echipe!$A22,Data!$C:$C,Data_echipe!C$1)</f>
        <v>3.9744047619047618</v>
      </c>
      <c r="D22" s="51">
        <f>SUMIFS(Data!$S:$S,Data!$A:$A,Data_echipe!$A22,Data!$C:$C,Data_echipe!D$1)</f>
        <v>2.3267857142857142</v>
      </c>
      <c r="E22" s="51">
        <f>SUMIFS(Data!$S:$S,Data!$A:$A,Data_echipe!$A22,Data!$C:$C,Data_echipe!E$1)</f>
        <v>5.2249999999999996</v>
      </c>
      <c r="F22" s="51">
        <f>SUMIFS(Data!$S:$S,Data!$A:$A,Data_echipe!$A22,Data!$C:$C,Data_echipe!F$1)</f>
        <v>2.2214285714285711</v>
      </c>
      <c r="G22" s="51">
        <f>SUMIFS(Data!$S:$S,Data!$A:$A,Data_echipe!$A22,Data!$C:$C,Data_echipe!G$1)</f>
        <v>1.8333333333333333</v>
      </c>
      <c r="H22" s="51">
        <f>SUMIFS(Data!$S:$S,Data!$A:$A,Data_echipe!$A22,Data!$C:$C,Data_echipe!H$1)</f>
        <v>4.3964285714285714</v>
      </c>
      <c r="I22" s="51">
        <f>SUMIFS(Data!$S:$S,Data!$A:$A,Data_echipe!$A22,Data!$C:$C,Data_echipe!I$1)</f>
        <v>4.2678571428571423</v>
      </c>
      <c r="J22" s="51">
        <f>SUMIFS(Data!$S:$S,Data!$A:$A,Data_echipe!$A22,Data!$C:$C,Data_echipe!J$1)</f>
        <v>4.625</v>
      </c>
      <c r="K22" s="51">
        <f>SUMIFS(Data!$S:$S,Data!$A:$A,Data_echipe!$A22,Data!$C:$C,Data_echipe!K$1)</f>
        <v>2.2019761904761905</v>
      </c>
      <c r="L22" s="51">
        <f>SUMIFS(Data!$S:$S,Data!$A:$A,Data_echipe!$A22,Data!$C:$C,Data_echipe!L$1)</f>
        <v>2.9410714285714286</v>
      </c>
      <c r="M22" s="129">
        <f>SUMIFS(Data!$S:$S,Data!$A:$A,Data_echipe!$A22,Data!$C:$C,Data_echipe!M$1)</f>
        <v>4</v>
      </c>
      <c r="N22" s="51">
        <f>SUMIFS(Data!$S:$S,Data!$A:$A,Data_echipe!$A22,Data!$C:$C,Data_echipe!N$1)</f>
        <v>3.083333333333333</v>
      </c>
      <c r="O22" s="51">
        <f>SUMIFS(Data!$S:$S,Data!$A:$A,Data_echipe!$A22,Data!$C:$C,Data_echipe!O$1)</f>
        <v>3.4880952380952381</v>
      </c>
      <c r="P22" s="51">
        <f>SUMIFS(Data!$S:$S,Data!$A:$A,Data_echipe!$A22,Data!$C:$C,Data_echipe!P$1)</f>
        <v>3.4160714285714286</v>
      </c>
      <c r="Q22" s="51">
        <f>SUMIFS(Data!$S:$S,Data!$A:$A,Data_echipe!$A22,Data!$C:$C,Data_echipe!Q$1)</f>
        <v>2.3374999999999999</v>
      </c>
      <c r="R22" s="51">
        <f>SUMIFS(Data!$S:$S,Data!$A:$A,Data_echipe!$A22,Data!$C:$C,Data_echipe!R$1)</f>
        <v>3.5392857142857141</v>
      </c>
      <c r="S22" s="51">
        <f>SUMIFS(Data!$S:$S,Data!$A:$A,Data_echipe!$A22,Data!$C:$C,Data_echipe!S$1)</f>
        <v>1.3333333333333333</v>
      </c>
      <c r="U22" s="80" t="str">
        <f>$A$21</f>
        <v>All Stars</v>
      </c>
    </row>
    <row r="23" spans="1:22" x14ac:dyDescent="0.3">
      <c r="A23" s="60" t="s">
        <v>203</v>
      </c>
      <c r="B23" s="51">
        <f>SUMIFS(Data!$S:$S,Data!$A:$A,Data_echipe!$A23,Data!$C:$C,Data_echipe!B$1)</f>
        <v>4.8606904761904763</v>
      </c>
      <c r="C23" s="51">
        <f>SUMIFS(Data!$S:$S,Data!$A:$A,Data_echipe!$A23,Data!$C:$C,Data_echipe!C$1)</f>
        <v>5.1553333333333331</v>
      </c>
      <c r="D23" s="51">
        <f>SUMIFS(Data!$S:$S,Data!$A:$A,Data_echipe!$A23,Data!$C:$C,Data_echipe!D$1)</f>
        <v>5.5940000000000003</v>
      </c>
      <c r="E23" s="51">
        <f>SUMIFS(Data!$S:$S,Data!$A:$A,Data_echipe!$A23,Data!$C:$C,Data_echipe!E$1)</f>
        <v>5.4026666666666667</v>
      </c>
      <c r="F23" s="51">
        <f>SUMIFS(Data!$S:$S,Data!$A:$A,Data_echipe!$A23,Data!$C:$C,Data_echipe!F$1)</f>
        <v>4.6052142857142861</v>
      </c>
      <c r="G23" s="51">
        <f>SUMIFS(Data!$S:$S,Data!$A:$A,Data_echipe!$A23,Data!$C:$C,Data_echipe!G$1)</f>
        <v>1</v>
      </c>
      <c r="H23" s="51">
        <f>SUMIFS(Data!$S:$S,Data!$A:$A,Data_echipe!$A23,Data!$C:$C,Data_echipe!H$1)</f>
        <v>5.0009047619047609</v>
      </c>
      <c r="I23" s="51">
        <f>SUMIFS(Data!$S:$S,Data!$A:$A,Data_echipe!$A23,Data!$C:$C,Data_echipe!I$1)</f>
        <v>5.32</v>
      </c>
      <c r="J23" s="51">
        <f>SUMIFS(Data!$S:$S,Data!$A:$A,Data_echipe!$A23,Data!$C:$C,Data_echipe!J$1)</f>
        <v>5.8482142857142856</v>
      </c>
      <c r="K23" s="51">
        <f>SUMIFS(Data!$S:$S,Data!$A:$A,Data_echipe!$A23,Data!$C:$C,Data_echipe!K$1)</f>
        <v>3.7073095238095237</v>
      </c>
      <c r="L23" s="51">
        <f>SUMIFS(Data!$S:$S,Data!$A:$A,Data_echipe!$A23,Data!$C:$C,Data_echipe!L$1)</f>
        <v>5.0072380952380957</v>
      </c>
      <c r="M23" s="51">
        <f>SUMIFS(Data!$S:$S,Data!$A:$A,Data_echipe!$A23,Data!$C:$C,Data_echipe!M$1)</f>
        <v>0.9375</v>
      </c>
      <c r="N23" s="51">
        <f>SUMIFS(Data!$S:$S,Data!$A:$A,Data_echipe!$A23,Data!$C:$C,Data_echipe!N$1)</f>
        <v>3.0875714285714286</v>
      </c>
      <c r="O23" s="51">
        <f>SUMIFS(Data!$S:$S,Data!$A:$A,Data_echipe!$A23,Data!$C:$C,Data_echipe!O$1)</f>
        <v>5.1370000000000005</v>
      </c>
      <c r="P23" s="129">
        <f>SUMIFS(Data!$S:$S,Data!$A:$A,Data_echipe!$A23,Data!$C:$C,Data_echipe!P$1)</f>
        <v>6.7989999999999995</v>
      </c>
      <c r="Q23" s="51">
        <f>SUMIFS(Data!$S:$S,Data!$A:$A,Data_echipe!$A23,Data!$C:$C,Data_echipe!Q$1)</f>
        <v>4.9499999999999993</v>
      </c>
      <c r="R23" s="51">
        <f>SUMIFS(Data!$S:$S,Data!$A:$A,Data_echipe!$A23,Data!$C:$C,Data_echipe!R$1)</f>
        <v>3.620190476190476</v>
      </c>
      <c r="S23" s="51">
        <f>SUMIFS(Data!$S:$S,Data!$A:$A,Data_echipe!$A23,Data!$C:$C,Data_echipe!S$1)</f>
        <v>1.25</v>
      </c>
      <c r="U23" s="80" t="str">
        <f t="shared" ref="U23:U38" si="1">$A$21</f>
        <v>All Stars</v>
      </c>
    </row>
    <row r="24" spans="1:22" x14ac:dyDescent="0.3">
      <c r="A24" s="60" t="s">
        <v>244</v>
      </c>
      <c r="B24" s="51">
        <f>SUMIFS(Data!$S:$S,Data!$A:$A,Data_echipe!$A24,Data!$C:$C,Data_echipe!B$1)</f>
        <v>4.8165238095238099</v>
      </c>
      <c r="C24" s="51">
        <f>SUMIFS(Data!$S:$S,Data!$A:$A,Data_echipe!$A24,Data!$C:$C,Data_echipe!C$1)</f>
        <v>2.5154761904761904</v>
      </c>
      <c r="D24" s="51">
        <f>SUMIFS(Data!$S:$S,Data!$A:$A,Data_echipe!$A24,Data!$C:$C,Data_echipe!D$1)</f>
        <v>4.5931190476190471</v>
      </c>
      <c r="E24" s="51">
        <f>SUMIFS(Data!$S:$S,Data!$A:$A,Data_echipe!$A24,Data!$C:$C,Data_echipe!E$1)</f>
        <v>5.7126666666666663</v>
      </c>
      <c r="F24" s="51">
        <f>SUMIFS(Data!$S:$S,Data!$A:$A,Data_echipe!$A24,Data!$C:$C,Data_echipe!F$1)</f>
        <v>2.6055476190476186</v>
      </c>
      <c r="G24" s="51">
        <f>SUMIFS(Data!$S:$S,Data!$A:$A,Data_echipe!$A24,Data!$C:$C,Data_echipe!G$1)</f>
        <v>2.375</v>
      </c>
      <c r="H24" s="51">
        <f>SUMIFS(Data!$S:$S,Data!$A:$A,Data_echipe!$A24,Data!$C:$C,Data_echipe!H$1)</f>
        <v>1.5</v>
      </c>
      <c r="I24" s="129">
        <f>SUMIFS(Data!$S:$S,Data!$A:$A,Data_echipe!$A24,Data!$C:$C,Data_echipe!I$1)</f>
        <v>0</v>
      </c>
      <c r="J24" s="51">
        <f>SUMIFS(Data!$S:$S,Data!$A:$A,Data_echipe!$A24,Data!$C:$C,Data_echipe!J$1)</f>
        <v>0</v>
      </c>
      <c r="K24" s="51">
        <f>SUMIFS(Data!$S:$S,Data!$A:$A,Data_echipe!$A24,Data!$C:$C,Data_echipe!K$1)</f>
        <v>0</v>
      </c>
      <c r="L24" s="51">
        <f>SUMIFS(Data!$S:$S,Data!$A:$A,Data_echipe!$A24,Data!$C:$C,Data_echipe!L$1)</f>
        <v>4.7213333333333329</v>
      </c>
      <c r="M24" s="51">
        <f>SUMIFS(Data!$S:$S,Data!$A:$A,Data_echipe!$A24,Data!$C:$C,Data_echipe!M$1)</f>
        <v>2.625</v>
      </c>
      <c r="N24" s="51">
        <f>SUMIFS(Data!$S:$S,Data!$A:$A,Data_echipe!$A24,Data!$C:$C,Data_echipe!N$1)</f>
        <v>0</v>
      </c>
      <c r="O24" s="51">
        <f>SUMIFS(Data!$S:$S,Data!$A:$A,Data_echipe!$A24,Data!$C:$C,Data_echipe!O$1)</f>
        <v>0</v>
      </c>
      <c r="P24" s="51">
        <f>SUMIFS(Data!$S:$S,Data!$A:$A,Data_echipe!$A24,Data!$C:$C,Data_echipe!P$1)</f>
        <v>4.9215952380952377</v>
      </c>
      <c r="Q24" s="51">
        <f>SUMIFS(Data!$S:$S,Data!$A:$A,Data_echipe!$A24,Data!$C:$C,Data_echipe!Q$1)</f>
        <v>4.6713333333333331</v>
      </c>
      <c r="R24" s="51">
        <f>SUMIFS(Data!$S:$S,Data!$A:$A,Data_echipe!$A24,Data!$C:$C,Data_echipe!R$1)</f>
        <v>2.8271904761904763</v>
      </c>
      <c r="S24" s="129">
        <f>SUMIFS(Data!$S:$S,Data!$A:$A,Data_echipe!$A24,Data!$C:$C,Data_echipe!S$1)</f>
        <v>4.3125</v>
      </c>
      <c r="U24" s="80" t="str">
        <f t="shared" si="1"/>
        <v>All Stars</v>
      </c>
    </row>
    <row r="25" spans="1:22" x14ac:dyDescent="0.3">
      <c r="A25" s="60" t="s">
        <v>242</v>
      </c>
      <c r="B25" s="129">
        <f>SUMIFS(Data!$S:$S,Data!$A:$A,Data_echipe!$A25,Data!$C:$C,Data_echipe!B$1)</f>
        <v>5.0203333333333333</v>
      </c>
      <c r="C25" s="129">
        <f>SUMIFS(Data!$S:$S,Data!$A:$A,Data_echipe!$A25,Data!$C:$C,Data_echipe!C$1)</f>
        <v>5.9540000000000006</v>
      </c>
      <c r="D25" s="129">
        <f>SUMIFS(Data!$S:$S,Data!$A:$A,Data_echipe!$A25,Data!$C:$C,Data_echipe!D$1)</f>
        <v>9.4369047619047635</v>
      </c>
      <c r="E25" s="129">
        <f>SUMIFS(Data!$S:$S,Data!$A:$A,Data_echipe!$A25,Data!$C:$C,Data_echipe!E$1)</f>
        <v>6.702</v>
      </c>
      <c r="F25" s="129">
        <f>SUMIFS(Data!$S:$S,Data!$A:$A,Data_echipe!$A25,Data!$C:$C,Data_echipe!F$1)</f>
        <v>7.5318333333333332</v>
      </c>
      <c r="G25" s="134">
        <f>SUMIFS(Data!$S:$S,Data!$A:$A,Data_echipe!$A25,Data!$C:$C,Data_echipe!G$1)</f>
        <v>3.625</v>
      </c>
      <c r="H25" s="129">
        <f>SUMIFS(Data!$S:$S,Data!$A:$A,Data_echipe!$A25,Data!$C:$C,Data_echipe!H$1)</f>
        <v>5.7539999999999996</v>
      </c>
      <c r="I25" s="51">
        <f>SUMIFS(Data!$S:$S,Data!$A:$A,Data_echipe!$A25,Data!$C:$C,Data_echipe!I$1)</f>
        <v>8.5804999999999989</v>
      </c>
      <c r="J25" s="51">
        <f>SUMIFS(Data!$S:$S,Data!$A:$A,Data_echipe!$A25,Data!$C:$C,Data_echipe!J$1)</f>
        <v>5.6926666666666668</v>
      </c>
      <c r="K25" s="129">
        <f>SUMIFS(Data!$S:$S,Data!$A:$A,Data_echipe!$A25,Data!$C:$C,Data_echipe!K$1)</f>
        <v>6.5958333333333332</v>
      </c>
      <c r="L25" s="51">
        <f>SUMIFS(Data!$S:$S,Data!$A:$A,Data_echipe!$A25,Data!$C:$C,Data_echipe!L$1)</f>
        <v>8.5458333333333325</v>
      </c>
      <c r="M25" s="51">
        <f>SUMIFS(Data!$S:$S,Data!$A:$A,Data_echipe!$A25,Data!$C:$C,Data_echipe!M$1)</f>
        <v>2.4375</v>
      </c>
      <c r="N25" s="129">
        <f>SUMIFS(Data!$S:$S,Data!$A:$A,Data_echipe!$A25,Data!$C:$C,Data_echipe!N$1)</f>
        <v>5.2273333333333332</v>
      </c>
      <c r="O25" s="129">
        <f>SUMIFS(Data!$S:$S,Data!$A:$A,Data_echipe!$A25,Data!$C:$C,Data_echipe!O$1)</f>
        <v>5.5539999999999994</v>
      </c>
      <c r="P25" s="51">
        <f>SUMIFS(Data!$S:$S,Data!$A:$A,Data_echipe!$A25,Data!$C:$C,Data_echipe!P$1)</f>
        <v>5.8818333333333328</v>
      </c>
      <c r="Q25" s="129">
        <f>SUMIFS(Data!$S:$S,Data!$A:$A,Data_echipe!$A25,Data!$C:$C,Data_echipe!Q$1)</f>
        <v>8.2482142857142851</v>
      </c>
      <c r="R25" s="129">
        <f>SUMIFS(Data!$S:$S,Data!$A:$A,Data_echipe!$A25,Data!$C:$C,Data_echipe!R$1)</f>
        <v>6.0020000000000007</v>
      </c>
      <c r="S25" s="51">
        <f>SUMIFS(Data!$S:$S,Data!$A:$A,Data_echipe!$A25,Data!$C:$C,Data_echipe!S$1)</f>
        <v>3.8125</v>
      </c>
      <c r="U25" s="80" t="str">
        <f t="shared" si="1"/>
        <v>All Stars</v>
      </c>
    </row>
    <row r="26" spans="1:22" x14ac:dyDescent="0.3">
      <c r="A26" s="60" t="s">
        <v>5</v>
      </c>
      <c r="B26" s="51">
        <f>SUMIFS(Data!$S:$S,Data!$A:$A,Data_echipe!$A26,Data!$C:$C,Data_echipe!B$1)</f>
        <v>4.8406666666666665</v>
      </c>
      <c r="C26" s="51">
        <f>SUMIFS(Data!$S:$S,Data!$A:$A,Data_echipe!$A26,Data!$C:$C,Data_echipe!C$1)</f>
        <v>4.5318750000000003</v>
      </c>
      <c r="D26" s="51">
        <f>SUMIFS(Data!$S:$S,Data!$A:$A,Data_echipe!$A26,Data!$C:$C,Data_echipe!D$1)</f>
        <v>3.4406249999999998</v>
      </c>
      <c r="E26" s="129">
        <f>SUMIFS(Data!$S:$S,Data!$A:$A,Data_echipe!$A26,Data!$C:$C,Data_echipe!E$1)</f>
        <v>1.5</v>
      </c>
      <c r="F26" s="129">
        <f>SUMIFS(Data!$S:$S,Data!$A:$A,Data_echipe!$A26,Data!$C:$C,Data_echipe!F$1)</f>
        <v>0</v>
      </c>
      <c r="G26" s="133">
        <f>SUMIFS(Data!$S:$S,Data!$A:$A,Data_echipe!$A26,Data!$C:$C,Data_echipe!G$1)</f>
        <v>3.625</v>
      </c>
      <c r="H26" s="51">
        <f>SUMIFS(Data!$S:$S,Data!$A:$A,Data_echipe!$A26,Data!$C:$C,Data_echipe!H$1)</f>
        <v>0</v>
      </c>
      <c r="I26" s="51">
        <f>SUMIFS(Data!$S:$S,Data!$A:$A,Data_echipe!$A26,Data!$C:$C,Data_echipe!I$1)</f>
        <v>0</v>
      </c>
      <c r="J26" s="129">
        <f>SUMIFS(Data!$S:$S,Data!$A:$A,Data_echipe!$A26,Data!$C:$C,Data_echipe!J$1)</f>
        <v>0</v>
      </c>
      <c r="K26" s="129">
        <f>SUMIFS(Data!$S:$S,Data!$A:$A,Data_echipe!$A26,Data!$C:$C,Data_echipe!K$1)</f>
        <v>0</v>
      </c>
      <c r="L26" s="129">
        <f>SUMIFS(Data!$S:$S,Data!$A:$A,Data_echipe!$A26,Data!$C:$C,Data_echipe!L$1)</f>
        <v>0</v>
      </c>
      <c r="M26" s="129">
        <f>SUMIFS(Data!$S:$S,Data!$A:$A,Data_echipe!$A26,Data!$C:$C,Data_echipe!M$1)</f>
        <v>0</v>
      </c>
      <c r="N26" s="129">
        <f>SUMIFS(Data!$S:$S,Data!$A:$A,Data_echipe!$A26,Data!$C:$C,Data_echipe!N$1)</f>
        <v>0</v>
      </c>
      <c r="O26" s="129">
        <f>SUMIFS(Data!$S:$S,Data!$A:$A,Data_echipe!$A26,Data!$C:$C,Data_echipe!O$1)</f>
        <v>0</v>
      </c>
      <c r="P26" s="129">
        <f>SUMIFS(Data!$S:$S,Data!$A:$A,Data_echipe!$A26,Data!$C:$C,Data_echipe!P$1)</f>
        <v>0</v>
      </c>
      <c r="Q26" s="129">
        <f>SUMIFS(Data!$S:$S,Data!$A:$A,Data_echipe!$A26,Data!$C:$C,Data_echipe!Q$1)</f>
        <v>0</v>
      </c>
      <c r="R26" s="129">
        <f>SUMIFS(Data!$S:$S,Data!$A:$A,Data_echipe!$A26,Data!$C:$C,Data_echipe!R$1)</f>
        <v>0</v>
      </c>
      <c r="S26" s="129">
        <f>SUMIFS(Data!$S:$S,Data!$A:$A,Data_echipe!$A26,Data!$C:$C,Data_echipe!S$1)</f>
        <v>0</v>
      </c>
      <c r="U26" s="80" t="str">
        <f t="shared" si="1"/>
        <v>All Stars</v>
      </c>
    </row>
    <row r="27" spans="1:22" x14ac:dyDescent="0.3">
      <c r="A27" s="60" t="s">
        <v>102</v>
      </c>
      <c r="B27" s="51">
        <f>SUMIFS(Data!$S:$S,Data!$A:$A,Data_echipe!$A27,Data!$C:$C,Data_echipe!B$1)</f>
        <v>2.5357142857142856</v>
      </c>
      <c r="C27" s="51">
        <f>SUMIFS(Data!$S:$S,Data!$A:$A,Data_echipe!$A27,Data!$C:$C,Data_echipe!C$1)</f>
        <v>5.45</v>
      </c>
      <c r="D27" s="51">
        <f>SUMIFS(Data!$S:$S,Data!$A:$A,Data_echipe!$A27,Data!$C:$C,Data_echipe!D$1)</f>
        <v>3.1619047619047618</v>
      </c>
      <c r="E27" s="51">
        <f>SUMIFS(Data!$S:$S,Data!$A:$A,Data_echipe!$A27,Data!$C:$C,Data_echipe!E$1)</f>
        <v>3.7916666666666665</v>
      </c>
      <c r="F27" s="51">
        <f>SUMIFS(Data!$S:$S,Data!$A:$A,Data_echipe!$A27,Data!$C:$C,Data_echipe!F$1)</f>
        <v>3.5297619047619047</v>
      </c>
      <c r="G27" s="51">
        <f>SUMIFS(Data!$S:$S,Data!$A:$A,Data_echipe!$A27,Data!$C:$C,Data_echipe!G$1)</f>
        <v>0.8125</v>
      </c>
      <c r="H27" s="51">
        <f>SUMIFS(Data!$S:$S,Data!$A:$A,Data_echipe!$A27,Data!$C:$C,Data_echipe!H$1)</f>
        <v>4.551333333333333</v>
      </c>
      <c r="I27" s="51">
        <f>SUMIFS(Data!$S:$S,Data!$A:$A,Data_echipe!$A27,Data!$C:$C,Data_echipe!I$1)</f>
        <v>4.3535714285714278</v>
      </c>
      <c r="J27" s="51">
        <f>SUMIFS(Data!$S:$S,Data!$A:$A,Data_echipe!$A27,Data!$C:$C,Data_echipe!J$1)</f>
        <v>5.9</v>
      </c>
      <c r="K27" s="51">
        <f>SUMIFS(Data!$S:$S,Data!$A:$A,Data_echipe!$A27,Data!$C:$C,Data_echipe!K$1)</f>
        <v>4.0369523809523802</v>
      </c>
      <c r="L27" s="51">
        <f>SUMIFS(Data!$S:$S,Data!$A:$A,Data_echipe!$A27,Data!$C:$C,Data_echipe!L$1)</f>
        <v>1.4827380952380951</v>
      </c>
      <c r="M27" s="51">
        <f>SUMIFS(Data!$S:$S,Data!$A:$A,Data_echipe!$A27,Data!$C:$C,Data_echipe!M$1)</f>
        <v>0.8125</v>
      </c>
      <c r="N27" s="51">
        <f>SUMIFS(Data!$S:$S,Data!$A:$A,Data_echipe!$A27,Data!$C:$C,Data_echipe!N$1)</f>
        <v>3.4857142857142858</v>
      </c>
      <c r="O27" s="51">
        <f>SUMIFS(Data!$S:$S,Data!$A:$A,Data_echipe!$A27,Data!$C:$C,Data_echipe!O$1)</f>
        <v>3.6029761904761903</v>
      </c>
      <c r="P27" s="51">
        <f>SUMIFS(Data!$S:$S,Data!$A:$A,Data_echipe!$A27,Data!$C:$C,Data_echipe!P$1)</f>
        <v>4.8769523809523809</v>
      </c>
      <c r="Q27" s="51">
        <f>SUMIFS(Data!$S:$S,Data!$A:$A,Data_echipe!$A27,Data!$C:$C,Data_echipe!Q$1)</f>
        <v>2.6749999999999998</v>
      </c>
      <c r="R27" s="51">
        <f>SUMIFS(Data!$S:$S,Data!$A:$A,Data_echipe!$A27,Data!$C:$C,Data_echipe!R$1)</f>
        <v>0</v>
      </c>
      <c r="S27" s="51">
        <f>SUMIFS(Data!$S:$S,Data!$A:$A,Data_echipe!$A27,Data!$C:$C,Data_echipe!S$1)</f>
        <v>0.9375</v>
      </c>
      <c r="U27" s="80" t="str">
        <f t="shared" si="1"/>
        <v>All Stars</v>
      </c>
    </row>
    <row r="28" spans="1:22" s="76" customFormat="1" x14ac:dyDescent="0.3">
      <c r="A28" s="76" t="s">
        <v>7</v>
      </c>
      <c r="B28" s="51">
        <f>SUMIFS(Data!$S:$S,Data!$A:$A,Data_echipe!$A28,Data!$C:$C,Data_echipe!B$1)</f>
        <v>3.5535714285714284</v>
      </c>
      <c r="C28" s="51">
        <f>SUMIFS(Data!$S:$S,Data!$A:$A,Data_echipe!$A28,Data!$C:$C,Data_echipe!C$1)</f>
        <v>2.5178571428571428</v>
      </c>
      <c r="D28" s="129">
        <f>SUMIFS(Data!$S:$S,Data!$A:$A,Data_echipe!$A28,Data!$C:$C,Data_echipe!D$1)</f>
        <v>1.4369047619047619</v>
      </c>
      <c r="E28" s="51">
        <f>SUMIFS(Data!$S:$S,Data!$A:$A,Data_echipe!$A28,Data!$C:$C,Data_echipe!E$1)</f>
        <v>1.4380952380952381</v>
      </c>
      <c r="F28" s="51">
        <f>SUMIFS(Data!$S:$S,Data!$A:$A,Data_echipe!$A28,Data!$C:$C,Data_echipe!F$1)</f>
        <v>2.1113095238095236</v>
      </c>
      <c r="G28" s="51">
        <f>SUMIFS(Data!$S:$S,Data!$A:$A,Data_echipe!$A28,Data!$C:$C,Data_echipe!G$1)</f>
        <v>2.125</v>
      </c>
      <c r="H28" s="51">
        <f>SUMIFS(Data!$S:$S,Data!$A:$A,Data_echipe!$A28,Data!$C:$C,Data_echipe!H$1)</f>
        <v>3.1785714285714284</v>
      </c>
      <c r="I28" s="51">
        <f>SUMIFS(Data!$S:$S,Data!$A:$A,Data_echipe!$A28,Data!$C:$C,Data_echipe!I$1)</f>
        <v>3.3571428571428572</v>
      </c>
      <c r="J28" s="51">
        <f>SUMIFS(Data!$S:$S,Data!$A:$A,Data_echipe!$A28,Data!$C:$C,Data_echipe!J$1)</f>
        <v>2.9627142857142856</v>
      </c>
      <c r="K28" s="51">
        <f>SUMIFS(Data!$S:$S,Data!$A:$A,Data_echipe!$A28,Data!$C:$C,Data_echipe!K$1)</f>
        <v>3.3125</v>
      </c>
      <c r="L28" s="51">
        <f>SUMIFS(Data!$S:$S,Data!$A:$A,Data_echipe!$A28,Data!$C:$C,Data_echipe!L$1)</f>
        <v>3.8839285714285712</v>
      </c>
      <c r="M28" s="51">
        <f>SUMIFS(Data!$S:$S,Data!$A:$A,Data_echipe!$A28,Data!$C:$C,Data_echipe!M$1)</f>
        <v>1.875</v>
      </c>
      <c r="N28" s="51">
        <f>SUMIFS(Data!$S:$S,Data!$A:$A,Data_echipe!$A28,Data!$C:$C,Data_echipe!N$1)</f>
        <v>4.0553571428571429</v>
      </c>
      <c r="O28" s="51">
        <f>SUMIFS(Data!$S:$S,Data!$A:$A,Data_echipe!$A28,Data!$C:$C,Data_echipe!O$1)</f>
        <v>4.0178571428571423</v>
      </c>
      <c r="P28" s="51">
        <f>SUMIFS(Data!$S:$S,Data!$A:$A,Data_echipe!$A28,Data!$C:$C,Data_echipe!P$1)</f>
        <v>3.7130476190476189</v>
      </c>
      <c r="Q28" s="51">
        <f>SUMIFS(Data!$S:$S,Data!$A:$A,Data_echipe!$A28,Data!$C:$C,Data_echipe!Q$1)</f>
        <v>3.013095238095238</v>
      </c>
      <c r="R28" s="51">
        <f>SUMIFS(Data!$S:$S,Data!$A:$A,Data_echipe!$A28,Data!$C:$C,Data_echipe!R$1)</f>
        <v>3.7933333333333334</v>
      </c>
      <c r="S28" s="51">
        <f>SUMIFS(Data!$S:$S,Data!$A:$A,Data_echipe!$A28,Data!$C:$C,Data_echipe!S$1)</f>
        <v>1.25</v>
      </c>
      <c r="U28" s="80" t="str">
        <f t="shared" si="1"/>
        <v>All Stars</v>
      </c>
      <c r="V28" s="74"/>
    </row>
    <row r="29" spans="1:22" s="76" customFormat="1" x14ac:dyDescent="0.3">
      <c r="A29" s="76" t="s">
        <v>154</v>
      </c>
      <c r="B29" s="51">
        <f>SUMIFS(Data!$S:$S,Data!$A:$A,Data_echipe!$A29,Data!$C:$C,Data_echipe!B$1)</f>
        <v>4.25</v>
      </c>
      <c r="C29" s="51">
        <f>SUMIFS(Data!$S:$S,Data!$A:$A,Data_echipe!$A29,Data!$C:$C,Data_echipe!C$1)</f>
        <v>2.4708333333333332</v>
      </c>
      <c r="D29" s="51">
        <f>SUMIFS(Data!$S:$S,Data!$A:$A,Data_echipe!$A29,Data!$C:$C,Data_echipe!D$1)</f>
        <v>4.375</v>
      </c>
      <c r="E29" s="51">
        <f>SUMIFS(Data!$S:$S,Data!$A:$A,Data_echipe!$A29,Data!$C:$C,Data_echipe!E$1)</f>
        <v>3.7482142857142855</v>
      </c>
      <c r="F29" s="51">
        <f>SUMIFS(Data!$S:$S,Data!$A:$A,Data_echipe!$A29,Data!$C:$C,Data_echipe!F$1)</f>
        <v>3.375</v>
      </c>
      <c r="G29" s="51">
        <f>SUMIFS(Data!$S:$S,Data!$A:$A,Data_echipe!$A29,Data!$C:$C,Data_echipe!G$1)</f>
        <v>1.1875</v>
      </c>
      <c r="H29" s="129">
        <f>SUMIFS(Data!$S:$S,Data!$A:$A,Data_echipe!$A29,Data!$C:$C,Data_echipe!H$1)</f>
        <v>0</v>
      </c>
      <c r="I29" s="51">
        <f>SUMIFS(Data!$S:$S,Data!$A:$A,Data_echipe!$A29,Data!$C:$C,Data_echipe!I$1)</f>
        <v>2.9678333333333331</v>
      </c>
      <c r="J29" s="51">
        <f>SUMIFS(Data!$S:$S,Data!$A:$A,Data_echipe!$A29,Data!$C:$C,Data_echipe!J$1)</f>
        <v>2.4833333333333334</v>
      </c>
      <c r="K29" s="51">
        <f>SUMIFS(Data!$S:$S,Data!$A:$A,Data_echipe!$A29,Data!$C:$C,Data_echipe!K$1)</f>
        <v>2.6017857142857141</v>
      </c>
      <c r="L29" s="51">
        <f>SUMIFS(Data!$S:$S,Data!$A:$A,Data_echipe!$A29,Data!$C:$C,Data_echipe!L$1)</f>
        <v>2.2148809523809523</v>
      </c>
      <c r="M29" s="51">
        <f>SUMIFS(Data!$S:$S,Data!$A:$A,Data_echipe!$A29,Data!$C:$C,Data_echipe!M$1)</f>
        <v>1.625</v>
      </c>
      <c r="N29" s="51">
        <f>SUMIFS(Data!$S:$S,Data!$A:$A,Data_echipe!$A29,Data!$C:$C,Data_echipe!N$1)</f>
        <v>4.291666666666667</v>
      </c>
      <c r="O29" s="51">
        <f>SUMIFS(Data!$S:$S,Data!$A:$A,Data_echipe!$A29,Data!$C:$C,Data_echipe!O$1)</f>
        <v>2.7442619047619048</v>
      </c>
      <c r="P29" s="51">
        <f>SUMIFS(Data!$S:$S,Data!$A:$A,Data_echipe!$A29,Data!$C:$C,Data_echipe!P$1)</f>
        <v>4.1796666666666669</v>
      </c>
      <c r="Q29" s="51">
        <f>SUMIFS(Data!$S:$S,Data!$A:$A,Data_echipe!$A29,Data!$C:$C,Data_echipe!Q$1)</f>
        <v>1.0797619047619047</v>
      </c>
      <c r="R29" s="51">
        <f>SUMIFS(Data!$S:$S,Data!$A:$A,Data_echipe!$A29,Data!$C:$C,Data_echipe!R$1)</f>
        <v>3.5640000000000001</v>
      </c>
      <c r="S29" s="51">
        <f>SUMIFS(Data!$S:$S,Data!$A:$A,Data_echipe!$A29,Data!$C:$C,Data_echipe!S$1)</f>
        <v>1.6875</v>
      </c>
      <c r="U29" s="80" t="str">
        <f t="shared" si="1"/>
        <v>All Stars</v>
      </c>
      <c r="V29" s="74"/>
    </row>
    <row r="30" spans="1:22" s="76" customFormat="1" x14ac:dyDescent="0.3">
      <c r="A30" s="76" t="s">
        <v>100</v>
      </c>
      <c r="B30" s="129">
        <f>SUMIFS(Data!$S:$S,Data!$A:$A,Data_echipe!$A30,Data!$C:$C,Data_echipe!B$1)</f>
        <v>2.5249999999999999</v>
      </c>
      <c r="C30" s="129">
        <f>SUMIFS(Data!$S:$S,Data!$A:$A,Data_echipe!$A30,Data!$C:$C,Data_echipe!C$1)</f>
        <v>0</v>
      </c>
      <c r="D30" s="51">
        <f>SUMIFS(Data!$S:$S,Data!$A:$A,Data_echipe!$A30,Data!$C:$C,Data_echipe!D$1)</f>
        <v>2.5596666666666668</v>
      </c>
      <c r="E30" s="51">
        <f>SUMIFS(Data!$S:$S,Data!$A:$A,Data_echipe!$A30,Data!$C:$C,Data_echipe!E$1)</f>
        <v>1.6018750000000002</v>
      </c>
      <c r="F30" s="51">
        <f>SUMIFS(Data!$S:$S,Data!$A:$A,Data_echipe!$A30,Data!$C:$C,Data_echipe!F$1)</f>
        <v>1.4725000000000001</v>
      </c>
      <c r="G30" s="129">
        <f>SUMIFS(Data!$S:$S,Data!$A:$A,Data_echipe!$A30,Data!$C:$C,Data_echipe!G$1)</f>
        <v>0.3125</v>
      </c>
      <c r="H30" s="51">
        <f>SUMIFS(Data!$S:$S,Data!$A:$A,Data_echipe!$A30,Data!$C:$C,Data_echipe!H$1)</f>
        <v>0.78562500000000002</v>
      </c>
      <c r="I30" s="51">
        <f>SUMIFS(Data!$S:$S,Data!$A:$A,Data_echipe!$A30,Data!$C:$C,Data_echipe!I$1)</f>
        <v>2.526875</v>
      </c>
      <c r="J30" s="51">
        <f>SUMIFS(Data!$S:$S,Data!$A:$A,Data_echipe!$A30,Data!$C:$C,Data_echipe!J$1)</f>
        <v>0.79812499999999997</v>
      </c>
      <c r="K30" s="51">
        <f>SUMIFS(Data!$S:$S,Data!$A:$A,Data_echipe!$A30,Data!$C:$C,Data_echipe!K$1)</f>
        <v>1.9</v>
      </c>
      <c r="L30" s="51">
        <f>SUMIFS(Data!$S:$S,Data!$A:$A,Data_echipe!$A30,Data!$C:$C,Data_echipe!L$1)</f>
        <v>0.8131250000000001</v>
      </c>
      <c r="M30" s="51">
        <f>SUMIFS(Data!$S:$S,Data!$A:$A,Data_echipe!$A30,Data!$C:$C,Data_echipe!M$1)</f>
        <v>0.125</v>
      </c>
      <c r="N30" s="51">
        <f>SUMIFS(Data!$S:$S,Data!$A:$A,Data_echipe!$A30,Data!$C:$C,Data_echipe!N$1)</f>
        <v>0</v>
      </c>
      <c r="O30" s="51">
        <f>SUMIFS(Data!$S:$S,Data!$A:$A,Data_echipe!$A30,Data!$C:$C,Data_echipe!O$1)</f>
        <v>0</v>
      </c>
      <c r="P30" s="51">
        <f>SUMIFS(Data!$S:$S,Data!$A:$A,Data_echipe!$A30,Data!$C:$C,Data_echipe!P$1)</f>
        <v>0</v>
      </c>
      <c r="Q30" s="51">
        <f>SUMIFS(Data!$S:$S,Data!$A:$A,Data_echipe!$A30,Data!$C:$C,Data_echipe!Q$1)</f>
        <v>0</v>
      </c>
      <c r="R30" s="51">
        <f>SUMIFS(Data!$S:$S,Data!$A:$A,Data_echipe!$A30,Data!$C:$C,Data_echipe!R$1)</f>
        <v>0</v>
      </c>
      <c r="S30" s="51">
        <f>SUMIFS(Data!$S:$S,Data!$A:$A,Data_echipe!$A30,Data!$C:$C,Data_echipe!S$1)</f>
        <v>0</v>
      </c>
      <c r="U30" s="80" t="str">
        <f t="shared" si="1"/>
        <v>All Stars</v>
      </c>
      <c r="V30" s="74"/>
    </row>
    <row r="31" spans="1:22" s="76" customFormat="1" x14ac:dyDescent="0.3">
      <c r="A31" s="76" t="s">
        <v>240</v>
      </c>
      <c r="B31" s="51">
        <f>SUMIFS(Data!$S:$S,Data!$A:$A,Data_echipe!$A31,Data!$C:$C,Data_echipe!B$1)</f>
        <v>4.5746666666666664</v>
      </c>
      <c r="C31" s="51">
        <f>SUMIFS(Data!$S:$S,Data!$A:$A,Data_echipe!$A31,Data!$C:$C,Data_echipe!C$1)</f>
        <v>3.5952380952380953</v>
      </c>
      <c r="D31" s="51">
        <f>SUMIFS(Data!$S:$S,Data!$A:$A,Data_echipe!$A31,Data!$C:$C,Data_echipe!D$1)</f>
        <v>3.9744047619047618</v>
      </c>
      <c r="E31" s="51">
        <f>SUMIFS(Data!$S:$S,Data!$A:$A,Data_echipe!$A31,Data!$C:$C,Data_echipe!E$1)</f>
        <v>4.75</v>
      </c>
      <c r="F31" s="51">
        <f>SUMIFS(Data!$S:$S,Data!$A:$A,Data_echipe!$A31,Data!$C:$C,Data_echipe!F$1)</f>
        <v>3.6547619047619047</v>
      </c>
      <c r="G31" s="51">
        <f>SUMIFS(Data!$S:$S,Data!$A:$A,Data_echipe!$A31,Data!$C:$C,Data_echipe!G$1)</f>
        <v>3.1875</v>
      </c>
      <c r="H31" s="51">
        <f>SUMIFS(Data!$S:$S,Data!$A:$A,Data_echipe!$A31,Data!$C:$C,Data_echipe!H$1)</f>
        <v>2.9142857142857137</v>
      </c>
      <c r="I31" s="51">
        <f>SUMIFS(Data!$S:$S,Data!$A:$A,Data_echipe!$A31,Data!$C:$C,Data_echipe!I$1)</f>
        <v>3.8339285714285714</v>
      </c>
      <c r="J31" s="51">
        <f>SUMIFS(Data!$S:$S,Data!$A:$A,Data_echipe!$A31,Data!$C:$C,Data_echipe!J$1)</f>
        <v>5.0856666666666674</v>
      </c>
      <c r="K31" s="51">
        <f>SUMIFS(Data!$S:$S,Data!$A:$A,Data_echipe!$A31,Data!$C:$C,Data_echipe!K$1)</f>
        <v>4.0155000000000003</v>
      </c>
      <c r="L31" s="51">
        <f>SUMIFS(Data!$S:$S,Data!$A:$A,Data_echipe!$A31,Data!$C:$C,Data_echipe!L$1)</f>
        <v>4.6646666666666663</v>
      </c>
      <c r="M31" s="51">
        <f>SUMIFS(Data!$S:$S,Data!$A:$A,Data_echipe!$A31,Data!$C:$C,Data_echipe!M$1)</f>
        <v>1.375</v>
      </c>
      <c r="N31" s="51">
        <f>SUMIFS(Data!$S:$S,Data!$A:$A,Data_echipe!$A31,Data!$C:$C,Data_echipe!N$1)</f>
        <v>3.2511904761904762</v>
      </c>
      <c r="O31" s="51">
        <f>SUMIFS(Data!$S:$S,Data!$A:$A,Data_echipe!$A31,Data!$C:$C,Data_echipe!O$1)</f>
        <v>4.7519999999999998</v>
      </c>
      <c r="P31" s="51">
        <f>SUMIFS(Data!$S:$S,Data!$A:$A,Data_echipe!$A31,Data!$C:$C,Data_echipe!P$1)</f>
        <v>4.2906666666666666</v>
      </c>
      <c r="Q31" s="51">
        <f>SUMIFS(Data!$S:$S,Data!$A:$A,Data_echipe!$A31,Data!$C:$C,Data_echipe!Q$1)</f>
        <v>3.5535714285714284</v>
      </c>
      <c r="R31" s="51">
        <f>SUMIFS(Data!$S:$S,Data!$A:$A,Data_echipe!$A31,Data!$C:$C,Data_echipe!R$1)</f>
        <v>4</v>
      </c>
      <c r="S31" s="51">
        <f>SUMIFS(Data!$S:$S,Data!$A:$A,Data_echipe!$A31,Data!$C:$C,Data_echipe!S$1)</f>
        <v>1.25</v>
      </c>
      <c r="U31" s="80" t="str">
        <f t="shared" si="1"/>
        <v>All Stars</v>
      </c>
      <c r="V31" s="74"/>
    </row>
    <row r="32" spans="1:22" x14ac:dyDescent="0.3">
      <c r="A32" s="60" t="s">
        <v>153</v>
      </c>
      <c r="B32" s="51">
        <f>SUMIFS(Data!$S:$S,Data!$A:$A,Data_echipe!$A32,Data!$C:$C,Data_echipe!B$1)</f>
        <v>2.7506249999999999</v>
      </c>
      <c r="C32" s="51">
        <f>SUMIFS(Data!$S:$S,Data!$A:$A,Data_echipe!$A32,Data!$C:$C,Data_echipe!C$1)</f>
        <v>3.0006249999999999</v>
      </c>
      <c r="D32" s="51">
        <f>SUMIFS(Data!$S:$S,Data!$A:$A,Data_echipe!$A32,Data!$C:$C,Data_echipe!D$1)</f>
        <v>3.0018750000000001</v>
      </c>
      <c r="E32" s="51">
        <f>SUMIFS(Data!$S:$S,Data!$A:$A,Data_echipe!$A32,Data!$C:$C,Data_echipe!E$1)</f>
        <v>3.9710000000000001</v>
      </c>
      <c r="F32" s="51">
        <f>SUMIFS(Data!$S:$S,Data!$A:$A,Data_echipe!$A32,Data!$C:$C,Data_echipe!F$1)</f>
        <v>3.1256249999999999</v>
      </c>
      <c r="G32" s="51">
        <f>SUMIFS(Data!$S:$S,Data!$A:$A,Data_echipe!$A32,Data!$C:$C,Data_echipe!G$1)</f>
        <v>2</v>
      </c>
      <c r="H32" s="51">
        <f>SUMIFS(Data!$S:$S,Data!$A:$A,Data_echipe!$A32,Data!$C:$C,Data_echipe!H$1)</f>
        <v>0.47733333333333328</v>
      </c>
      <c r="I32" s="51">
        <f>SUMIFS(Data!$S:$S,Data!$A:$A,Data_echipe!$A32,Data!$C:$C,Data_echipe!I$1)</f>
        <v>3.0631249999999999</v>
      </c>
      <c r="J32" s="129">
        <f>SUMIFS(Data!$S:$S,Data!$A:$A,Data_echipe!$A32,Data!$C:$C,Data_echipe!J$1)</f>
        <v>12.188750000000001</v>
      </c>
      <c r="K32" s="51">
        <f>SUMIFS(Data!$S:$S,Data!$A:$A,Data_echipe!$A32,Data!$C:$C,Data_echipe!K$1)</f>
        <v>1.9787083333333335</v>
      </c>
      <c r="L32" s="51">
        <f>SUMIFS(Data!$S:$S,Data!$A:$A,Data_echipe!$A32,Data!$C:$C,Data_echipe!L$1)</f>
        <v>3.4901666666666666</v>
      </c>
      <c r="M32" s="51">
        <f>SUMIFS(Data!$S:$S,Data!$A:$A,Data_echipe!$A32,Data!$C:$C,Data_echipe!M$1)</f>
        <v>2.6875</v>
      </c>
      <c r="N32" s="51">
        <f>SUMIFS(Data!$S:$S,Data!$A:$A,Data_echipe!$A32,Data!$C:$C,Data_echipe!N$1)</f>
        <v>0</v>
      </c>
      <c r="O32" s="51">
        <f>SUMIFS(Data!$S:$S,Data!$A:$A,Data_echipe!$A32,Data!$C:$C,Data_echipe!O$1)</f>
        <v>1.6893750000000001</v>
      </c>
      <c r="P32" s="51">
        <f>SUMIFS(Data!$S:$S,Data!$A:$A,Data_echipe!$A32,Data!$C:$C,Data_echipe!P$1)</f>
        <v>2.8617083333333335</v>
      </c>
      <c r="Q32" s="51">
        <f>SUMIFS(Data!$S:$S,Data!$A:$A,Data_echipe!$A32,Data!$C:$C,Data_echipe!Q$1)</f>
        <v>2.7905416666666669</v>
      </c>
      <c r="R32" s="51">
        <f>SUMIFS(Data!$S:$S,Data!$A:$A,Data_echipe!$A32,Data!$C:$C,Data_echipe!R$1)</f>
        <v>3.0012499999999998</v>
      </c>
      <c r="S32" s="51">
        <f>SUMIFS(Data!$S:$S,Data!$A:$A,Data_echipe!$A32,Data!$C:$C,Data_echipe!S$1)</f>
        <v>2.875</v>
      </c>
      <c r="U32" s="80" t="str">
        <f t="shared" si="1"/>
        <v>All Stars</v>
      </c>
    </row>
    <row r="33" spans="1:22" s="76" customFormat="1" x14ac:dyDescent="0.3">
      <c r="A33" s="76" t="s">
        <v>239</v>
      </c>
      <c r="B33" s="51">
        <f>SUMIFS(Data!$S:$S,Data!$A:$A,Data_echipe!$A33,Data!$C:$C,Data_echipe!B$1)</f>
        <v>2.5857142857142859</v>
      </c>
      <c r="C33" s="51">
        <f>SUMIFS(Data!$S:$S,Data!$A:$A,Data_echipe!$A33,Data!$C:$C,Data_echipe!C$1)</f>
        <v>2.9172619047619048</v>
      </c>
      <c r="D33" s="51">
        <f>SUMIFS(Data!$S:$S,Data!$A:$A,Data_echipe!$A33,Data!$C:$C,Data_echipe!D$1)</f>
        <v>3.0535714285714284</v>
      </c>
      <c r="E33" s="51">
        <f>SUMIFS(Data!$S:$S,Data!$A:$A,Data_echipe!$A33,Data!$C:$C,Data_echipe!E$1)</f>
        <v>3.3833333333333333</v>
      </c>
      <c r="F33" s="51">
        <f>SUMIFS(Data!$S:$S,Data!$A:$A,Data_echipe!$A33,Data!$C:$C,Data_echipe!F$1)</f>
        <v>3.1392857142857142</v>
      </c>
      <c r="G33" s="51">
        <f>SUMIFS(Data!$S:$S,Data!$A:$A,Data_echipe!$A33,Data!$C:$C,Data_echipe!G$1)</f>
        <v>3.375</v>
      </c>
      <c r="H33" s="51">
        <f>SUMIFS(Data!$S:$S,Data!$A:$A,Data_echipe!$A33,Data!$C:$C,Data_echipe!H$1)</f>
        <v>4.5386666666666668</v>
      </c>
      <c r="I33" s="51">
        <f>SUMIFS(Data!$S:$S,Data!$A:$A,Data_echipe!$A33,Data!$C:$C,Data_echipe!I$1)</f>
        <v>3.746428571428571</v>
      </c>
      <c r="J33" s="51">
        <f>SUMIFS(Data!$S:$S,Data!$A:$A,Data_echipe!$A33,Data!$C:$C,Data_echipe!J$1)</f>
        <v>3.1863095238095238</v>
      </c>
      <c r="K33" s="51">
        <f>SUMIFS(Data!$S:$S,Data!$A:$A,Data_echipe!$A33,Data!$C:$C,Data_echipe!K$1)</f>
        <v>3.0351190476190477</v>
      </c>
      <c r="L33" s="51">
        <f>SUMIFS(Data!$S:$S,Data!$A:$A,Data_echipe!$A33,Data!$C:$C,Data_echipe!L$1)</f>
        <v>2.9817857142857145</v>
      </c>
      <c r="M33" s="51">
        <f>SUMIFS(Data!$S:$S,Data!$A:$A,Data_echipe!$A33,Data!$C:$C,Data_echipe!M$1)</f>
        <v>1.375</v>
      </c>
      <c r="N33" s="51">
        <f>SUMIFS(Data!$S:$S,Data!$A:$A,Data_echipe!$A33,Data!$C:$C,Data_echipe!N$1)</f>
        <v>3.9824285714285717</v>
      </c>
      <c r="O33" s="51">
        <f>SUMIFS(Data!$S:$S,Data!$A:$A,Data_echipe!$A33,Data!$C:$C,Data_echipe!O$1)</f>
        <v>2.4968571428571429</v>
      </c>
      <c r="P33" s="51">
        <f>SUMIFS(Data!$S:$S,Data!$A:$A,Data_echipe!$A33,Data!$C:$C,Data_echipe!P$1)</f>
        <v>3.2323809523809528</v>
      </c>
      <c r="Q33" s="51">
        <f>SUMIFS(Data!$S:$S,Data!$A:$A,Data_echipe!$A33,Data!$C:$C,Data_echipe!Q$1)</f>
        <v>3.5541666666666667</v>
      </c>
      <c r="R33" s="51">
        <f>SUMIFS(Data!$S:$S,Data!$A:$A,Data_echipe!$A33,Data!$C:$C,Data_echipe!R$1)</f>
        <v>3.7950476190476192</v>
      </c>
      <c r="S33" s="51">
        <f>SUMIFS(Data!$S:$S,Data!$A:$A,Data_echipe!$A33,Data!$C:$C,Data_echipe!S$1)</f>
        <v>1.625</v>
      </c>
      <c r="U33" s="80" t="str">
        <f t="shared" si="1"/>
        <v>All Stars</v>
      </c>
      <c r="V33" s="74"/>
    </row>
    <row r="34" spans="1:22" s="76" customFormat="1" x14ac:dyDescent="0.3">
      <c r="A34" s="76" t="s">
        <v>152</v>
      </c>
      <c r="B34" s="131"/>
      <c r="C34" s="131"/>
      <c r="D34" s="51">
        <f>SUMIFS(Data!$S:$S,Data!$A:$A,Data_echipe!$A34,Data!$C:$C,Data_echipe!D$1)</f>
        <v>7.057500000000001</v>
      </c>
      <c r="E34" s="51">
        <f>SUMIFS(Data!$S:$S,Data!$A:$A,Data_echipe!$A34,Data!$C:$C,Data_echipe!E$1)</f>
        <v>4.8086666666666664</v>
      </c>
      <c r="F34" s="51">
        <f>SUMIFS(Data!$S:$S,Data!$A:$A,Data_echipe!$A34,Data!$C:$C,Data_echipe!F$1)</f>
        <v>4.625</v>
      </c>
      <c r="G34" s="51">
        <f>SUMIFS(Data!$S:$S,Data!$A:$A,Data_echipe!$A34,Data!$C:$C,Data_echipe!G$1)</f>
        <v>2.5</v>
      </c>
      <c r="H34" s="51">
        <f>SUMIFS(Data!$S:$S,Data!$A:$A,Data_echipe!$A34,Data!$C:$C,Data_echipe!H$1)</f>
        <v>4.862333333333333</v>
      </c>
      <c r="I34" s="129">
        <f>SUMIFS(Data!$S:$S,Data!$A:$A,Data_echipe!$A34,Data!$C:$C,Data_echipe!I$1)</f>
        <v>10.658125</v>
      </c>
      <c r="J34" s="51">
        <f>SUMIFS(Data!$S:$S,Data!$A:$A,Data_echipe!$A34,Data!$C:$C,Data_echipe!J$1)</f>
        <v>4.05375</v>
      </c>
      <c r="K34" s="51">
        <f>SUMIFS(Data!$S:$S,Data!$A:$A,Data_echipe!$A34,Data!$C:$C,Data_echipe!K$1)</f>
        <v>5.426333333333333</v>
      </c>
      <c r="L34" s="129">
        <f>SUMIFS(Data!$S:$S,Data!$A:$A,Data_echipe!$A34,Data!$C:$C,Data_echipe!L$1)</f>
        <v>10.639291666666667</v>
      </c>
      <c r="M34" s="51">
        <f>SUMIFS(Data!$S:$S,Data!$A:$A,Data_echipe!$A34,Data!$C:$C,Data_echipe!M$1)</f>
        <v>2.125</v>
      </c>
      <c r="N34" s="51">
        <f>SUMIFS(Data!$S:$S,Data!$A:$A,Data_echipe!$A34,Data!$C:$C,Data_echipe!N$1)</f>
        <v>3.7687499999999998</v>
      </c>
      <c r="O34" s="51">
        <f>SUMIFS(Data!$S:$S,Data!$A:$A,Data_echipe!$A34,Data!$C:$C,Data_echipe!O$1)</f>
        <v>4.8733333333333331</v>
      </c>
      <c r="P34" s="51">
        <f>SUMIFS(Data!$S:$S,Data!$A:$A,Data_echipe!$A34,Data!$C:$C,Data_echipe!P$1)</f>
        <v>3.4760416666666667</v>
      </c>
      <c r="Q34" s="51">
        <f>SUMIFS(Data!$S:$S,Data!$A:$A,Data_echipe!$A34,Data!$C:$C,Data_echipe!Q$1)</f>
        <v>6.1581250000000001</v>
      </c>
      <c r="R34" s="51">
        <f>SUMIFS(Data!$S:$S,Data!$A:$A,Data_echipe!$A34,Data!$C:$C,Data_echipe!R$1)</f>
        <v>3.8639999999999999</v>
      </c>
      <c r="S34" s="51">
        <f>SUMIFS(Data!$S:$S,Data!$A:$A,Data_echipe!$A34,Data!$C:$C,Data_echipe!S$1)</f>
        <v>4.125</v>
      </c>
      <c r="U34" s="80" t="str">
        <f t="shared" si="1"/>
        <v>All Stars</v>
      </c>
      <c r="V34" s="74"/>
    </row>
    <row r="35" spans="1:22" s="76" customFormat="1" x14ac:dyDescent="0.3">
      <c r="B35" s="131"/>
      <c r="C35" s="131"/>
      <c r="D35" s="131"/>
      <c r="E35" s="131"/>
      <c r="F35" s="131"/>
      <c r="G35" s="131"/>
      <c r="H35" s="131"/>
      <c r="I35" s="131"/>
      <c r="J35" s="131"/>
      <c r="K35" s="131"/>
      <c r="L35" s="131"/>
      <c r="M35" s="131"/>
      <c r="N35" s="131"/>
      <c r="O35" s="131"/>
      <c r="P35" s="131"/>
      <c r="Q35" s="131"/>
      <c r="R35" s="131"/>
      <c r="S35" s="131"/>
      <c r="U35" s="80" t="str">
        <f t="shared" si="1"/>
        <v>All Stars</v>
      </c>
      <c r="V35" s="74"/>
    </row>
    <row r="36" spans="1:22" x14ac:dyDescent="0.3">
      <c r="B36" s="131"/>
      <c r="C36" s="131"/>
      <c r="D36" s="131"/>
      <c r="E36" s="131"/>
      <c r="F36" s="131"/>
      <c r="G36" s="131"/>
      <c r="H36" s="131"/>
      <c r="I36" s="131"/>
      <c r="J36" s="131"/>
      <c r="K36" s="131"/>
      <c r="L36" s="131"/>
      <c r="M36" s="131"/>
      <c r="N36" s="131"/>
      <c r="O36" s="131"/>
      <c r="P36" s="131"/>
      <c r="Q36" s="131"/>
      <c r="R36" s="131"/>
      <c r="S36" s="131"/>
      <c r="U36" s="80" t="str">
        <f t="shared" si="1"/>
        <v>All Stars</v>
      </c>
    </row>
    <row r="37" spans="1:22" x14ac:dyDescent="0.3">
      <c r="B37" s="131"/>
      <c r="C37" s="131"/>
      <c r="D37" s="131"/>
      <c r="E37" s="131"/>
      <c r="F37" s="131"/>
      <c r="G37" s="131"/>
      <c r="H37" s="131"/>
      <c r="I37" s="131"/>
      <c r="J37" s="131"/>
      <c r="K37" s="131"/>
      <c r="L37" s="131"/>
      <c r="M37" s="131"/>
      <c r="N37" s="131"/>
      <c r="O37" s="131"/>
      <c r="P37" s="131"/>
      <c r="Q37" s="131"/>
      <c r="R37" s="131"/>
      <c r="S37" s="131"/>
      <c r="U37" s="80" t="str">
        <f t="shared" si="1"/>
        <v>All Stars</v>
      </c>
    </row>
    <row r="38" spans="1:22" x14ac:dyDescent="0.3">
      <c r="B38" s="131"/>
      <c r="C38" s="131"/>
      <c r="D38" s="131"/>
      <c r="E38" s="131"/>
      <c r="F38" s="131"/>
      <c r="G38" s="131"/>
      <c r="H38" s="131"/>
      <c r="I38" s="131"/>
      <c r="J38" s="131"/>
      <c r="K38" s="131"/>
      <c r="L38" s="131"/>
      <c r="M38" s="131"/>
      <c r="N38" s="131"/>
      <c r="O38" s="131"/>
      <c r="P38" s="131"/>
      <c r="Q38" s="131"/>
      <c r="R38" s="131"/>
      <c r="S38" s="131"/>
      <c r="T38" s="76"/>
      <c r="U38" s="80" t="str">
        <f t="shared" si="1"/>
        <v>All Stars</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7"/>
  <sheetViews>
    <sheetView workbookViewId="0">
      <pane ySplit="1" topLeftCell="A2" activePane="bottomLeft" state="frozen"/>
      <selection pane="bottomLeft" activeCell="K21" sqref="K21"/>
    </sheetView>
  </sheetViews>
  <sheetFormatPr defaultRowHeight="13.2" customHeight="1" x14ac:dyDescent="0.3"/>
  <cols>
    <col min="1" max="1" width="23.77734375" bestFit="1" customWidth="1"/>
    <col min="2" max="2" width="5.6640625" style="165" customWidth="1"/>
    <col min="3" max="3" width="73.88671875" style="78" bestFit="1" customWidth="1"/>
    <col min="4" max="4" width="6.44140625" style="78" bestFit="1" customWidth="1"/>
    <col min="5" max="5" width="6.44140625" style="78" customWidth="1"/>
    <col min="6" max="6" width="6.44140625" style="78" bestFit="1" customWidth="1"/>
    <col min="7" max="7" width="6.5546875" style="78" bestFit="1" customWidth="1"/>
    <col min="11" max="11" width="20.77734375" bestFit="1" customWidth="1"/>
    <col min="12" max="12" width="20.21875" bestFit="1" customWidth="1"/>
  </cols>
  <sheetData>
    <row r="1" spans="1:12" s="15" customFormat="1" ht="13.2" customHeight="1" x14ac:dyDescent="0.3">
      <c r="A1" s="15" t="s">
        <v>32</v>
      </c>
      <c r="B1" s="164" t="s">
        <v>29</v>
      </c>
      <c r="C1" s="103" t="s">
        <v>206</v>
      </c>
      <c r="D1" s="103" t="s">
        <v>207</v>
      </c>
      <c r="E1" s="103" t="s">
        <v>208</v>
      </c>
      <c r="F1" s="103" t="s">
        <v>209</v>
      </c>
      <c r="G1" s="103" t="s">
        <v>297</v>
      </c>
      <c r="H1" s="98" t="s">
        <v>145</v>
      </c>
    </row>
    <row r="2" spans="1:12" ht="13.2" customHeight="1" x14ac:dyDescent="0.3">
      <c r="A2" t="s">
        <v>49</v>
      </c>
      <c r="B2" s="165">
        <v>1</v>
      </c>
      <c r="C2" s="102"/>
      <c r="D2" s="162">
        <v>1</v>
      </c>
      <c r="E2" s="162">
        <v>2</v>
      </c>
      <c r="F2" s="162">
        <v>2.5</v>
      </c>
      <c r="G2" s="163"/>
      <c r="H2" s="97">
        <f>AVERAGE(D2:F2)</f>
        <v>1.8333333333333333</v>
      </c>
      <c r="J2" s="16" t="s">
        <v>29</v>
      </c>
      <c r="K2" s="16" t="s">
        <v>94</v>
      </c>
      <c r="L2" s="16" t="s">
        <v>95</v>
      </c>
    </row>
    <row r="3" spans="1:12" ht="13.2" customHeight="1" x14ac:dyDescent="0.3">
      <c r="A3" t="s">
        <v>202</v>
      </c>
      <c r="B3" s="165">
        <v>2</v>
      </c>
      <c r="C3" s="102"/>
      <c r="D3" s="162">
        <v>2.5</v>
      </c>
      <c r="E3" s="162">
        <v>3</v>
      </c>
      <c r="F3" s="162">
        <v>2.5</v>
      </c>
      <c r="G3" s="162">
        <v>2.5</v>
      </c>
      <c r="H3" s="97">
        <f t="shared" ref="H3:H36" si="0">AVERAGE(D3:G3)</f>
        <v>2.625</v>
      </c>
      <c r="J3" s="24">
        <v>1</v>
      </c>
      <c r="K3" s="34">
        <v>44445</v>
      </c>
      <c r="L3" s="34">
        <f>K3+6</f>
        <v>44451</v>
      </c>
    </row>
    <row r="4" spans="1:12" ht="13.2" customHeight="1" x14ac:dyDescent="0.3">
      <c r="A4" t="s">
        <v>239</v>
      </c>
      <c r="B4" s="165">
        <v>3</v>
      </c>
      <c r="C4" s="102"/>
      <c r="D4" s="162">
        <v>3.5</v>
      </c>
      <c r="E4" s="162">
        <v>3</v>
      </c>
      <c r="F4" s="162">
        <v>3.5</v>
      </c>
      <c r="G4" s="162">
        <v>3.5</v>
      </c>
      <c r="H4" s="97">
        <f t="shared" si="0"/>
        <v>3.375</v>
      </c>
      <c r="J4" s="24">
        <v>2</v>
      </c>
      <c r="K4" s="34">
        <f>K3+7</f>
        <v>44452</v>
      </c>
      <c r="L4" s="34">
        <f>L3+7</f>
        <v>44458</v>
      </c>
    </row>
    <row r="5" spans="1:12" ht="13.2" customHeight="1" x14ac:dyDescent="0.3">
      <c r="A5" t="s">
        <v>102</v>
      </c>
      <c r="B5" s="165">
        <v>4</v>
      </c>
      <c r="C5" s="102"/>
      <c r="D5" s="162">
        <v>0.5</v>
      </c>
      <c r="E5" s="162">
        <v>1.25</v>
      </c>
      <c r="F5" s="162">
        <v>1</v>
      </c>
      <c r="G5" s="162">
        <v>0.5</v>
      </c>
      <c r="H5" s="97">
        <f t="shared" si="0"/>
        <v>0.8125</v>
      </c>
      <c r="J5" s="24">
        <v>3</v>
      </c>
      <c r="K5" s="34">
        <f t="shared" ref="K5:L7" si="1">K4+7</f>
        <v>44459</v>
      </c>
      <c r="L5" s="34">
        <f t="shared" si="1"/>
        <v>44465</v>
      </c>
    </row>
    <row r="6" spans="1:12" ht="13.2" customHeight="1" x14ac:dyDescent="0.3">
      <c r="A6" t="s">
        <v>65</v>
      </c>
      <c r="B6" s="161">
        <v>1</v>
      </c>
      <c r="C6" s="102"/>
      <c r="D6" s="162">
        <v>3</v>
      </c>
      <c r="E6" s="162">
        <v>4</v>
      </c>
      <c r="F6" s="162">
        <v>2.5</v>
      </c>
      <c r="G6" s="162">
        <v>4.5</v>
      </c>
      <c r="H6" s="97">
        <f t="shared" si="0"/>
        <v>3.5</v>
      </c>
      <c r="J6" s="24">
        <v>4</v>
      </c>
      <c r="K6" s="34">
        <f t="shared" si="1"/>
        <v>44466</v>
      </c>
      <c r="L6" s="34">
        <f t="shared" si="1"/>
        <v>44472</v>
      </c>
    </row>
    <row r="7" spans="1:12" ht="13.2" customHeight="1" x14ac:dyDescent="0.3">
      <c r="A7" t="s">
        <v>152</v>
      </c>
      <c r="B7" s="165">
        <v>1</v>
      </c>
      <c r="C7" s="102"/>
      <c r="D7" s="162">
        <v>1.5</v>
      </c>
      <c r="E7" s="162">
        <v>2.5</v>
      </c>
      <c r="F7" s="162">
        <v>3</v>
      </c>
      <c r="G7" s="162">
        <v>3</v>
      </c>
      <c r="H7" s="97">
        <f t="shared" si="0"/>
        <v>2.5</v>
      </c>
      <c r="J7" s="106">
        <v>5</v>
      </c>
      <c r="K7" s="107">
        <f t="shared" si="1"/>
        <v>44473</v>
      </c>
      <c r="L7" s="107">
        <f t="shared" si="1"/>
        <v>44479</v>
      </c>
    </row>
    <row r="8" spans="1:12" ht="13.2" customHeight="1" x14ac:dyDescent="0.3">
      <c r="A8" t="s">
        <v>153</v>
      </c>
      <c r="B8" s="165">
        <v>2</v>
      </c>
      <c r="D8" s="162">
        <v>1</v>
      </c>
      <c r="E8" s="162">
        <v>2</v>
      </c>
      <c r="F8" s="162">
        <v>2.5</v>
      </c>
      <c r="G8" s="162">
        <v>2.5</v>
      </c>
      <c r="H8" s="97">
        <f t="shared" si="0"/>
        <v>2</v>
      </c>
    </row>
    <row r="9" spans="1:12" ht="13.2" customHeight="1" x14ac:dyDescent="0.3">
      <c r="A9" t="s">
        <v>242</v>
      </c>
      <c r="B9" s="165">
        <v>3</v>
      </c>
      <c r="D9" s="162">
        <v>3.5</v>
      </c>
      <c r="E9" s="162">
        <v>3.5</v>
      </c>
      <c r="F9" s="162">
        <v>4.5</v>
      </c>
      <c r="G9" s="162">
        <v>3</v>
      </c>
      <c r="H9" s="97">
        <f t="shared" si="0"/>
        <v>3.625</v>
      </c>
    </row>
    <row r="10" spans="1:12" ht="13.2" customHeight="1" x14ac:dyDescent="0.3">
      <c r="A10" t="s">
        <v>52</v>
      </c>
      <c r="B10" s="161">
        <v>2</v>
      </c>
      <c r="D10" s="162">
        <v>1.5</v>
      </c>
      <c r="E10" s="162">
        <v>2.25</v>
      </c>
      <c r="F10" s="162">
        <v>2.5</v>
      </c>
      <c r="G10" s="162">
        <v>2</v>
      </c>
      <c r="H10" s="97">
        <f t="shared" si="0"/>
        <v>2.0625</v>
      </c>
    </row>
    <row r="11" spans="1:12" ht="13.2" customHeight="1" x14ac:dyDescent="0.3">
      <c r="A11" t="s">
        <v>80</v>
      </c>
      <c r="B11" s="165">
        <v>5</v>
      </c>
      <c r="D11" s="162">
        <v>2</v>
      </c>
      <c r="E11" s="162">
        <v>3.5</v>
      </c>
      <c r="F11" s="162">
        <v>5.5</v>
      </c>
      <c r="G11" s="162">
        <v>4.5</v>
      </c>
      <c r="H11" s="97">
        <f t="shared" si="0"/>
        <v>3.875</v>
      </c>
    </row>
    <row r="12" spans="1:12" ht="13.2" customHeight="1" x14ac:dyDescent="0.3">
      <c r="A12" t="s">
        <v>53</v>
      </c>
      <c r="B12" s="165">
        <v>1</v>
      </c>
      <c r="D12" s="162">
        <v>4</v>
      </c>
      <c r="E12" s="162">
        <v>4</v>
      </c>
      <c r="F12" s="162">
        <v>5</v>
      </c>
      <c r="G12" s="162">
        <v>4.5</v>
      </c>
      <c r="H12" s="97">
        <f t="shared" si="0"/>
        <v>4.375</v>
      </c>
    </row>
    <row r="13" spans="1:12" ht="13.2" customHeight="1" x14ac:dyDescent="0.3">
      <c r="A13" t="s">
        <v>119</v>
      </c>
      <c r="B13" s="165">
        <v>2</v>
      </c>
      <c r="D13" s="162">
        <v>2.5</v>
      </c>
      <c r="E13" s="162">
        <v>3.5</v>
      </c>
      <c r="F13" s="162">
        <v>4</v>
      </c>
      <c r="G13" s="162">
        <v>3</v>
      </c>
      <c r="H13" s="97">
        <f t="shared" si="0"/>
        <v>3.25</v>
      </c>
    </row>
    <row r="14" spans="1:12" ht="13.2" customHeight="1" x14ac:dyDescent="0.3">
      <c r="A14" t="s">
        <v>66</v>
      </c>
      <c r="B14" s="165">
        <v>3</v>
      </c>
      <c r="D14" s="162">
        <v>2.5</v>
      </c>
      <c r="E14" s="162">
        <v>3</v>
      </c>
      <c r="F14" s="162">
        <v>4</v>
      </c>
      <c r="G14" s="162">
        <v>2.5</v>
      </c>
      <c r="H14" s="97">
        <f t="shared" si="0"/>
        <v>3</v>
      </c>
    </row>
    <row r="15" spans="1:12" ht="13.2" customHeight="1" x14ac:dyDescent="0.3">
      <c r="A15" t="s">
        <v>67</v>
      </c>
      <c r="B15" s="165">
        <v>4</v>
      </c>
      <c r="D15" s="162">
        <v>2.5</v>
      </c>
      <c r="E15" s="162">
        <v>2.75</v>
      </c>
      <c r="F15" s="162">
        <v>5</v>
      </c>
      <c r="G15" s="162">
        <v>3</v>
      </c>
      <c r="H15" s="97">
        <f t="shared" si="0"/>
        <v>3.3125</v>
      </c>
    </row>
    <row r="16" spans="1:12" ht="13.2" customHeight="1" x14ac:dyDescent="0.3">
      <c r="A16" t="s">
        <v>203</v>
      </c>
      <c r="B16" s="165">
        <v>5</v>
      </c>
      <c r="D16" s="162">
        <v>0.5</v>
      </c>
      <c r="E16" s="162">
        <v>1.5</v>
      </c>
      <c r="F16" s="162">
        <v>1</v>
      </c>
      <c r="G16" s="162">
        <v>1</v>
      </c>
      <c r="H16" s="97">
        <f t="shared" si="0"/>
        <v>1</v>
      </c>
    </row>
    <row r="17" spans="1:8" ht="13.2" customHeight="1" x14ac:dyDescent="0.3">
      <c r="A17" t="s">
        <v>211</v>
      </c>
      <c r="B17" s="165">
        <v>1</v>
      </c>
      <c r="D17" s="162">
        <v>1.5</v>
      </c>
      <c r="E17" s="162">
        <v>2.5</v>
      </c>
      <c r="F17" s="162">
        <v>3</v>
      </c>
      <c r="G17" s="162">
        <v>2</v>
      </c>
      <c r="H17" s="97">
        <f t="shared" si="0"/>
        <v>2.25</v>
      </c>
    </row>
    <row r="18" spans="1:8" ht="13.2" customHeight="1" x14ac:dyDescent="0.3">
      <c r="A18" t="s">
        <v>7</v>
      </c>
      <c r="B18" s="165">
        <v>2</v>
      </c>
      <c r="D18" s="162">
        <v>2</v>
      </c>
      <c r="E18" s="162">
        <v>2.5</v>
      </c>
      <c r="F18" s="162">
        <v>1.5</v>
      </c>
      <c r="G18" s="162">
        <v>2.5</v>
      </c>
      <c r="H18" s="97">
        <f t="shared" si="0"/>
        <v>2.125</v>
      </c>
    </row>
    <row r="19" spans="1:8" ht="13.2" customHeight="1" x14ac:dyDescent="0.3">
      <c r="A19" t="s">
        <v>5</v>
      </c>
      <c r="B19" s="165">
        <v>3</v>
      </c>
      <c r="D19" s="162">
        <v>3.5</v>
      </c>
      <c r="E19" s="162">
        <v>3.5</v>
      </c>
      <c r="F19" s="162">
        <v>3.5</v>
      </c>
      <c r="G19" s="162">
        <v>4</v>
      </c>
      <c r="H19" s="97">
        <f t="shared" si="0"/>
        <v>3.625</v>
      </c>
    </row>
    <row r="20" spans="1:8" ht="13.2" customHeight="1" x14ac:dyDescent="0.3">
      <c r="A20" t="s">
        <v>240</v>
      </c>
      <c r="B20" s="165">
        <v>4</v>
      </c>
      <c r="D20" s="162">
        <v>3.5</v>
      </c>
      <c r="E20" s="162">
        <v>3.25</v>
      </c>
      <c r="F20" s="162">
        <v>2.5</v>
      </c>
      <c r="G20" s="162">
        <v>3.5</v>
      </c>
      <c r="H20" s="97">
        <f t="shared" si="0"/>
        <v>3.1875</v>
      </c>
    </row>
    <row r="21" spans="1:8" ht="13.2" customHeight="1" x14ac:dyDescent="0.3">
      <c r="A21" t="s">
        <v>127</v>
      </c>
      <c r="B21" s="161">
        <v>2</v>
      </c>
      <c r="D21" s="162">
        <v>1.5</v>
      </c>
      <c r="E21" s="162">
        <v>2.75</v>
      </c>
      <c r="F21" s="162">
        <v>2.5</v>
      </c>
      <c r="G21" s="162">
        <v>2.5</v>
      </c>
      <c r="H21" s="97">
        <f t="shared" si="0"/>
        <v>2.3125</v>
      </c>
    </row>
    <row r="22" spans="1:8" ht="13.2" customHeight="1" x14ac:dyDescent="0.3">
      <c r="A22" t="s">
        <v>111</v>
      </c>
      <c r="B22" s="165">
        <v>1</v>
      </c>
      <c r="D22" s="162">
        <v>4</v>
      </c>
      <c r="E22" s="162">
        <v>3</v>
      </c>
      <c r="F22" s="162">
        <v>3</v>
      </c>
      <c r="G22" s="162">
        <v>4</v>
      </c>
      <c r="H22" s="97">
        <f t="shared" si="0"/>
        <v>3.5</v>
      </c>
    </row>
    <row r="23" spans="1:8" ht="13.2" customHeight="1" x14ac:dyDescent="0.3">
      <c r="A23" t="s">
        <v>103</v>
      </c>
      <c r="B23" s="165">
        <v>2</v>
      </c>
      <c r="D23" s="162">
        <v>1</v>
      </c>
      <c r="E23" s="162">
        <v>2.75</v>
      </c>
      <c r="F23" s="162">
        <v>1</v>
      </c>
      <c r="G23" s="162">
        <v>2.5</v>
      </c>
      <c r="H23" s="97">
        <f t="shared" si="0"/>
        <v>1.8125</v>
      </c>
    </row>
    <row r="24" spans="1:8" ht="13.2" customHeight="1" x14ac:dyDescent="0.3">
      <c r="A24" t="s">
        <v>55</v>
      </c>
      <c r="B24" s="165">
        <v>3</v>
      </c>
      <c r="D24" s="162">
        <v>1.5</v>
      </c>
      <c r="E24" s="162">
        <v>2.75</v>
      </c>
      <c r="F24" s="162">
        <v>2</v>
      </c>
      <c r="G24" s="162">
        <v>2</v>
      </c>
      <c r="H24" s="97">
        <f t="shared" si="0"/>
        <v>2.0625</v>
      </c>
    </row>
    <row r="25" spans="1:8" ht="13.2" customHeight="1" x14ac:dyDescent="0.3">
      <c r="A25" t="s">
        <v>241</v>
      </c>
      <c r="B25" s="165">
        <v>4</v>
      </c>
      <c r="D25" s="162">
        <v>0</v>
      </c>
      <c r="E25" s="162">
        <v>1</v>
      </c>
      <c r="F25" s="162">
        <v>1</v>
      </c>
      <c r="G25" s="162">
        <v>0.5</v>
      </c>
      <c r="H25" s="97">
        <f t="shared" si="0"/>
        <v>0.625</v>
      </c>
    </row>
    <row r="26" spans="1:8" ht="13.2" customHeight="1" x14ac:dyDescent="0.3">
      <c r="A26" t="s">
        <v>154</v>
      </c>
      <c r="B26" s="165">
        <v>5</v>
      </c>
      <c r="D26" s="162">
        <v>0.5</v>
      </c>
      <c r="E26" s="162">
        <v>1.75</v>
      </c>
      <c r="F26" s="162">
        <v>1</v>
      </c>
      <c r="G26" s="162">
        <v>1.5</v>
      </c>
      <c r="H26" s="97">
        <f t="shared" si="0"/>
        <v>1.1875</v>
      </c>
    </row>
    <row r="27" spans="1:8" ht="13.2" customHeight="1" x14ac:dyDescent="0.3">
      <c r="A27" t="s">
        <v>196</v>
      </c>
      <c r="B27" s="165">
        <v>1</v>
      </c>
      <c r="D27" s="162">
        <v>3.5</v>
      </c>
      <c r="E27" s="162">
        <v>3.75</v>
      </c>
      <c r="F27" s="162">
        <v>4.5</v>
      </c>
      <c r="G27" s="162">
        <v>4.5</v>
      </c>
      <c r="H27" s="97">
        <f t="shared" si="0"/>
        <v>4.0625</v>
      </c>
    </row>
    <row r="28" spans="1:8" ht="13.2" customHeight="1" x14ac:dyDescent="0.3">
      <c r="A28" t="s">
        <v>117</v>
      </c>
      <c r="B28" s="161">
        <v>3</v>
      </c>
      <c r="D28" s="162">
        <v>1.5</v>
      </c>
      <c r="E28" s="162">
        <v>2.25</v>
      </c>
      <c r="F28" s="162">
        <v>1.5</v>
      </c>
      <c r="G28" s="162">
        <v>2</v>
      </c>
      <c r="H28" s="97">
        <f t="shared" si="0"/>
        <v>1.8125</v>
      </c>
    </row>
    <row r="29" spans="1:8" ht="13.2" customHeight="1" x14ac:dyDescent="0.3">
      <c r="A29" t="s">
        <v>100</v>
      </c>
      <c r="B29" s="165">
        <v>3</v>
      </c>
      <c r="D29" s="162">
        <v>0</v>
      </c>
      <c r="E29" s="162">
        <v>0.75</v>
      </c>
      <c r="F29" s="162">
        <v>0</v>
      </c>
      <c r="G29" s="162">
        <v>0.5</v>
      </c>
      <c r="H29" s="97">
        <f t="shared" si="0"/>
        <v>0.3125</v>
      </c>
    </row>
    <row r="30" spans="1:8" ht="13.2" customHeight="1" x14ac:dyDescent="0.3">
      <c r="A30" t="s">
        <v>244</v>
      </c>
      <c r="B30" s="165">
        <v>4</v>
      </c>
      <c r="D30" s="162">
        <v>2</v>
      </c>
      <c r="E30" s="162">
        <v>3</v>
      </c>
      <c r="F30" s="162">
        <v>2</v>
      </c>
      <c r="G30" s="162">
        <v>2.5</v>
      </c>
      <c r="H30" s="97">
        <f t="shared" si="0"/>
        <v>2.375</v>
      </c>
    </row>
    <row r="31" spans="1:8" ht="13.2" customHeight="1" x14ac:dyDescent="0.3">
      <c r="A31" t="s">
        <v>43</v>
      </c>
      <c r="B31" s="165">
        <v>5</v>
      </c>
      <c r="D31" s="162">
        <v>2.5</v>
      </c>
      <c r="E31" s="162">
        <v>2.5</v>
      </c>
      <c r="F31" s="162">
        <v>2</v>
      </c>
      <c r="G31" s="162">
        <v>2</v>
      </c>
      <c r="H31" s="97">
        <f t="shared" si="0"/>
        <v>2.25</v>
      </c>
    </row>
    <row r="32" spans="1:8" ht="13.2" customHeight="1" x14ac:dyDescent="0.3">
      <c r="A32" t="s">
        <v>61</v>
      </c>
      <c r="B32" s="165">
        <v>1</v>
      </c>
      <c r="D32" s="162">
        <v>1.5</v>
      </c>
      <c r="E32" s="162">
        <v>2.5</v>
      </c>
      <c r="F32" s="162">
        <v>2</v>
      </c>
      <c r="G32" s="162">
        <v>2</v>
      </c>
      <c r="H32" s="97">
        <f t="shared" si="0"/>
        <v>2</v>
      </c>
    </row>
    <row r="33" spans="1:8" ht="13.2" customHeight="1" x14ac:dyDescent="0.3">
      <c r="A33" t="s">
        <v>118</v>
      </c>
      <c r="B33" s="165">
        <v>2</v>
      </c>
      <c r="D33" s="162">
        <v>2</v>
      </c>
      <c r="E33" s="162">
        <v>2.75</v>
      </c>
      <c r="F33" s="162">
        <v>2.5</v>
      </c>
      <c r="G33" s="162">
        <v>3</v>
      </c>
      <c r="H33" s="97">
        <f t="shared" si="0"/>
        <v>2.5625</v>
      </c>
    </row>
    <row r="34" spans="1:8" ht="13.2" customHeight="1" x14ac:dyDescent="0.3">
      <c r="A34" t="s">
        <v>50</v>
      </c>
      <c r="B34" s="161">
        <v>1</v>
      </c>
      <c r="D34" s="162">
        <v>0.5</v>
      </c>
      <c r="E34" s="162">
        <v>1.75</v>
      </c>
      <c r="F34" s="162">
        <v>1.5</v>
      </c>
      <c r="G34" s="162">
        <v>2</v>
      </c>
      <c r="H34" s="97">
        <f t="shared" si="0"/>
        <v>1.4375</v>
      </c>
    </row>
    <row r="35" spans="1:8" ht="13.2" customHeight="1" x14ac:dyDescent="0.3">
      <c r="A35" t="s">
        <v>51</v>
      </c>
      <c r="B35" s="165">
        <v>4</v>
      </c>
      <c r="D35" s="162">
        <v>4.5</v>
      </c>
      <c r="E35" s="162">
        <v>3.75</v>
      </c>
      <c r="F35" s="162">
        <v>5</v>
      </c>
      <c r="G35" s="162">
        <v>4.5</v>
      </c>
      <c r="H35" s="97">
        <f t="shared" si="0"/>
        <v>4.4375</v>
      </c>
    </row>
    <row r="36" spans="1:8" ht="13.2" customHeight="1" x14ac:dyDescent="0.3">
      <c r="A36" t="s">
        <v>60</v>
      </c>
      <c r="B36" s="165">
        <v>5</v>
      </c>
      <c r="D36" s="162">
        <v>1.5</v>
      </c>
      <c r="E36" s="162">
        <v>2</v>
      </c>
      <c r="F36" s="162">
        <v>1.5</v>
      </c>
      <c r="G36" s="162">
        <v>2</v>
      </c>
      <c r="H36" s="97">
        <f t="shared" si="0"/>
        <v>1.75</v>
      </c>
    </row>
    <row r="37" spans="1:8" ht="13.2" customHeight="1" x14ac:dyDescent="0.3">
      <c r="H37" s="97"/>
    </row>
    <row r="38" spans="1:8" ht="13.2" customHeight="1" x14ac:dyDescent="0.3">
      <c r="C38" s="78" t="s">
        <v>263</v>
      </c>
    </row>
    <row r="41" spans="1:8" ht="13.2" customHeight="1" x14ac:dyDescent="0.3">
      <c r="C41" s="78" t="s">
        <v>264</v>
      </c>
    </row>
    <row r="44" spans="1:8" ht="13.2" customHeight="1" x14ac:dyDescent="0.3">
      <c r="C44" s="78" t="s">
        <v>265</v>
      </c>
    </row>
    <row r="47" spans="1:8" ht="13.2" customHeight="1" x14ac:dyDescent="0.3">
      <c r="C47" s="78" t="s">
        <v>266</v>
      </c>
    </row>
    <row r="50" spans="3:3" ht="13.2" customHeight="1" x14ac:dyDescent="0.3">
      <c r="C50" s="78" t="s">
        <v>267</v>
      </c>
    </row>
    <row r="53" spans="3:3" ht="13.2" customHeight="1" x14ac:dyDescent="0.3">
      <c r="C53" s="78" t="s">
        <v>268</v>
      </c>
    </row>
    <row r="56" spans="3:3" ht="13.2" customHeight="1" x14ac:dyDescent="0.3">
      <c r="C56" s="78" t="s">
        <v>269</v>
      </c>
    </row>
    <row r="59" spans="3:3" ht="13.2" customHeight="1" x14ac:dyDescent="0.3">
      <c r="C59" s="78" t="s">
        <v>270</v>
      </c>
    </row>
    <row r="62" spans="3:3" ht="13.2" customHeight="1" x14ac:dyDescent="0.3">
      <c r="C62" s="78" t="s">
        <v>271</v>
      </c>
    </row>
    <row r="65" spans="3:3" ht="13.2" customHeight="1" x14ac:dyDescent="0.3">
      <c r="C65" s="78" t="s">
        <v>272</v>
      </c>
    </row>
    <row r="68" spans="3:3" ht="13.2" customHeight="1" x14ac:dyDescent="0.3">
      <c r="C68" s="78" t="s">
        <v>273</v>
      </c>
    </row>
    <row r="71" spans="3:3" ht="13.2" customHeight="1" x14ac:dyDescent="0.3">
      <c r="C71" s="78" t="s">
        <v>274</v>
      </c>
    </row>
    <row r="74" spans="3:3" ht="13.2" customHeight="1" x14ac:dyDescent="0.3">
      <c r="C74" s="78" t="s">
        <v>275</v>
      </c>
    </row>
    <row r="77" spans="3:3" ht="13.2" customHeight="1" x14ac:dyDescent="0.3">
      <c r="C77" s="78" t="s">
        <v>276</v>
      </c>
    </row>
    <row r="80" spans="3:3" ht="13.2" customHeight="1" x14ac:dyDescent="0.3">
      <c r="C80" s="78" t="s">
        <v>277</v>
      </c>
    </row>
    <row r="83" spans="3:3" ht="13.2" customHeight="1" x14ac:dyDescent="0.3">
      <c r="C83" s="78" t="s">
        <v>278</v>
      </c>
    </row>
    <row r="86" spans="3:3" ht="13.2" customHeight="1" x14ac:dyDescent="0.3">
      <c r="C86" s="78" t="s">
        <v>279</v>
      </c>
    </row>
    <row r="89" spans="3:3" ht="13.2" customHeight="1" x14ac:dyDescent="0.3">
      <c r="C89" s="78" t="s">
        <v>280</v>
      </c>
    </row>
    <row r="92" spans="3:3" ht="13.2" customHeight="1" x14ac:dyDescent="0.3">
      <c r="C92" s="78" t="s">
        <v>281</v>
      </c>
    </row>
    <row r="95" spans="3:3" ht="13.2" customHeight="1" x14ac:dyDescent="0.3">
      <c r="C95" s="78" t="s">
        <v>282</v>
      </c>
    </row>
    <row r="98" spans="3:3" ht="13.2" customHeight="1" x14ac:dyDescent="0.3">
      <c r="C98" s="78" t="s">
        <v>283</v>
      </c>
    </row>
    <row r="101" spans="3:3" ht="13.2" customHeight="1" x14ac:dyDescent="0.3">
      <c r="C101" s="78" t="s">
        <v>284</v>
      </c>
    </row>
    <row r="104" spans="3:3" ht="13.2" customHeight="1" x14ac:dyDescent="0.3">
      <c r="C104" s="78" t="s">
        <v>285</v>
      </c>
    </row>
    <row r="107" spans="3:3" ht="13.2" customHeight="1" x14ac:dyDescent="0.3">
      <c r="C107" s="78" t="s">
        <v>286</v>
      </c>
    </row>
    <row r="110" spans="3:3" ht="13.2" customHeight="1" x14ac:dyDescent="0.3">
      <c r="C110" s="78" t="s">
        <v>287</v>
      </c>
    </row>
    <row r="113" spans="3:3" ht="13.2" customHeight="1" x14ac:dyDescent="0.3">
      <c r="C113" s="78" t="s">
        <v>288</v>
      </c>
    </row>
    <row r="116" spans="3:3" ht="13.2" customHeight="1" x14ac:dyDescent="0.3">
      <c r="C116" s="78" t="s">
        <v>289</v>
      </c>
    </row>
    <row r="119" spans="3:3" ht="13.2" customHeight="1" x14ac:dyDescent="0.3">
      <c r="C119" s="78" t="s">
        <v>290</v>
      </c>
    </row>
    <row r="122" spans="3:3" ht="13.2" customHeight="1" x14ac:dyDescent="0.3">
      <c r="C122" s="78" t="s">
        <v>291</v>
      </c>
    </row>
    <row r="125" spans="3:3" ht="13.2" customHeight="1" x14ac:dyDescent="0.3">
      <c r="C125" s="78" t="s">
        <v>292</v>
      </c>
    </row>
    <row r="128" spans="3:3" ht="13.2" customHeight="1" x14ac:dyDescent="0.3">
      <c r="C128" s="78" t="s">
        <v>293</v>
      </c>
    </row>
    <row r="131" spans="3:3" ht="13.2" customHeight="1" x14ac:dyDescent="0.3">
      <c r="C131" s="78" t="s">
        <v>294</v>
      </c>
    </row>
    <row r="134" spans="3:3" ht="13.2" customHeight="1" x14ac:dyDescent="0.3">
      <c r="C134" s="78" t="s">
        <v>295</v>
      </c>
    </row>
    <row r="137" spans="3:3" ht="13.2" customHeight="1" x14ac:dyDescent="0.3">
      <c r="C137" s="78" t="s">
        <v>296</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pane ySplit="1" topLeftCell="A10" activePane="bottomLeft" state="frozen"/>
      <selection pane="bottomLeft" activeCell="C27" sqref="C27"/>
    </sheetView>
  </sheetViews>
  <sheetFormatPr defaultRowHeight="13.2" customHeight="1" x14ac:dyDescent="0.3"/>
  <cols>
    <col min="1" max="1" width="23.77734375" style="73" bestFit="1" customWidth="1"/>
    <col min="2" max="2" width="5.6640625" style="165" customWidth="1"/>
    <col min="3" max="3" width="73.88671875" style="78" bestFit="1" customWidth="1"/>
    <col min="4" max="4" width="6.44140625" style="78" bestFit="1" customWidth="1"/>
    <col min="5" max="5" width="6.44140625" style="78" customWidth="1"/>
    <col min="6" max="6" width="6.44140625" style="78" bestFit="1" customWidth="1"/>
    <col min="7" max="7" width="6.5546875" style="78" bestFit="1" customWidth="1"/>
    <col min="8" max="10" width="8.88671875" style="73"/>
    <col min="11" max="11" width="20.77734375" style="73" bestFit="1" customWidth="1"/>
    <col min="12" max="12" width="20.21875" style="73" bestFit="1" customWidth="1"/>
    <col min="13" max="16384" width="8.88671875" style="73"/>
  </cols>
  <sheetData>
    <row r="1" spans="1:12" s="15" customFormat="1" ht="13.2" customHeight="1" x14ac:dyDescent="0.3">
      <c r="A1" s="15" t="s">
        <v>32</v>
      </c>
      <c r="B1" s="164" t="s">
        <v>29</v>
      </c>
      <c r="C1" s="103" t="s">
        <v>206</v>
      </c>
      <c r="D1" s="103" t="s">
        <v>207</v>
      </c>
      <c r="E1" s="103" t="s">
        <v>208</v>
      </c>
      <c r="F1" s="103" t="s">
        <v>209</v>
      </c>
      <c r="G1" s="103" t="s">
        <v>297</v>
      </c>
      <c r="H1" s="98" t="s">
        <v>146</v>
      </c>
    </row>
    <row r="2" spans="1:12" ht="13.2" customHeight="1" x14ac:dyDescent="0.3">
      <c r="A2" s="73" t="s">
        <v>119</v>
      </c>
      <c r="B2" s="165">
        <v>6</v>
      </c>
      <c r="C2" s="102"/>
      <c r="D2" s="162">
        <v>1</v>
      </c>
      <c r="E2" s="162">
        <v>2</v>
      </c>
      <c r="F2" s="162">
        <v>1.5</v>
      </c>
      <c r="G2" s="162">
        <v>1.5</v>
      </c>
      <c r="H2" s="97">
        <f>AVERAGE(D2:G2)</f>
        <v>1.5</v>
      </c>
      <c r="J2" s="16" t="s">
        <v>29</v>
      </c>
      <c r="K2" s="16" t="s">
        <v>94</v>
      </c>
      <c r="L2" s="16" t="s">
        <v>95</v>
      </c>
    </row>
    <row r="3" spans="1:12" ht="13.2" customHeight="1" x14ac:dyDescent="0.3">
      <c r="A3" s="73" t="s">
        <v>67</v>
      </c>
      <c r="B3" s="165">
        <v>7</v>
      </c>
      <c r="C3" s="102"/>
      <c r="D3" s="162">
        <v>2.5</v>
      </c>
      <c r="E3" s="162">
        <v>3.5</v>
      </c>
      <c r="F3" s="162">
        <v>2.75</v>
      </c>
      <c r="G3" s="162">
        <v>3.5</v>
      </c>
      <c r="H3" s="97">
        <f t="shared" ref="H3:H33" si="0">AVERAGE(D3:G3)</f>
        <v>3.0625</v>
      </c>
      <c r="J3" s="168">
        <v>6</v>
      </c>
      <c r="K3" s="34">
        <v>44480</v>
      </c>
      <c r="L3" s="34">
        <v>44486</v>
      </c>
    </row>
    <row r="4" spans="1:12" ht="13.2" customHeight="1" x14ac:dyDescent="0.3">
      <c r="A4" s="73" t="s">
        <v>239</v>
      </c>
      <c r="B4" s="165">
        <v>8</v>
      </c>
      <c r="C4" s="102"/>
      <c r="D4" s="162">
        <v>0.5</v>
      </c>
      <c r="E4" s="162">
        <v>2</v>
      </c>
      <c r="F4" s="162">
        <v>1.5</v>
      </c>
      <c r="G4" s="162">
        <v>1.5</v>
      </c>
      <c r="H4" s="97">
        <f t="shared" si="0"/>
        <v>1.375</v>
      </c>
      <c r="J4" s="168">
        <v>7</v>
      </c>
      <c r="K4" s="34">
        <v>44487</v>
      </c>
      <c r="L4" s="34">
        <v>44493</v>
      </c>
    </row>
    <row r="5" spans="1:12" ht="13.2" customHeight="1" x14ac:dyDescent="0.3">
      <c r="A5" s="73" t="s">
        <v>61</v>
      </c>
      <c r="B5" s="165">
        <v>9</v>
      </c>
      <c r="C5" s="102"/>
      <c r="D5" s="162">
        <v>4</v>
      </c>
      <c r="E5" s="162">
        <v>4</v>
      </c>
      <c r="F5" s="162">
        <v>3.25</v>
      </c>
      <c r="G5" s="162">
        <v>3</v>
      </c>
      <c r="H5" s="97">
        <f t="shared" si="0"/>
        <v>3.5625</v>
      </c>
      <c r="J5" s="168">
        <v>8</v>
      </c>
      <c r="K5" s="34">
        <v>44494</v>
      </c>
      <c r="L5" s="34">
        <v>44500</v>
      </c>
    </row>
    <row r="6" spans="1:12" ht="13.2" customHeight="1" x14ac:dyDescent="0.3">
      <c r="A6" s="73" t="s">
        <v>51</v>
      </c>
      <c r="B6" s="165">
        <v>10</v>
      </c>
      <c r="C6" s="102"/>
      <c r="D6" s="162">
        <v>5</v>
      </c>
      <c r="E6" s="162">
        <v>5.5</v>
      </c>
      <c r="F6" s="162">
        <v>3.75</v>
      </c>
      <c r="G6" s="162">
        <v>4.5</v>
      </c>
      <c r="H6" s="97">
        <f t="shared" si="0"/>
        <v>4.6875</v>
      </c>
      <c r="J6" s="168">
        <v>9</v>
      </c>
      <c r="K6" s="34">
        <v>44501</v>
      </c>
      <c r="L6" s="34">
        <v>44507</v>
      </c>
    </row>
    <row r="7" spans="1:12" ht="13.2" customHeight="1" x14ac:dyDescent="0.3">
      <c r="A7" s="73" t="s">
        <v>66</v>
      </c>
      <c r="B7" s="161">
        <v>7</v>
      </c>
      <c r="C7" s="102"/>
      <c r="D7" s="162">
        <v>2</v>
      </c>
      <c r="E7" s="162">
        <v>3.5</v>
      </c>
      <c r="F7" s="162">
        <v>2.5</v>
      </c>
      <c r="G7" s="162">
        <v>2.5</v>
      </c>
      <c r="H7" s="97">
        <f t="shared" si="0"/>
        <v>2.625</v>
      </c>
      <c r="J7" s="168">
        <v>10</v>
      </c>
      <c r="K7" s="34">
        <v>44508</v>
      </c>
      <c r="L7" s="34">
        <v>44514</v>
      </c>
    </row>
    <row r="8" spans="1:12" ht="13.2" customHeight="1" x14ac:dyDescent="0.3">
      <c r="A8" s="73" t="s">
        <v>202</v>
      </c>
      <c r="B8" s="165">
        <v>7</v>
      </c>
      <c r="D8" s="162">
        <v>2.5</v>
      </c>
      <c r="E8" s="162">
        <v>4</v>
      </c>
      <c r="F8" s="162">
        <v>2.75</v>
      </c>
      <c r="G8" s="162">
        <v>3</v>
      </c>
      <c r="H8" s="97">
        <f t="shared" si="0"/>
        <v>3.0625</v>
      </c>
    </row>
    <row r="9" spans="1:12" ht="13.2" customHeight="1" x14ac:dyDescent="0.3">
      <c r="A9" s="73" t="s">
        <v>118</v>
      </c>
      <c r="B9" s="165">
        <v>8</v>
      </c>
      <c r="D9" s="162">
        <v>2</v>
      </c>
      <c r="E9" s="162">
        <v>3.5</v>
      </c>
      <c r="F9" s="162">
        <v>2.5</v>
      </c>
      <c r="G9" s="162">
        <v>2.5</v>
      </c>
      <c r="H9" s="97">
        <f t="shared" si="0"/>
        <v>2.625</v>
      </c>
    </row>
    <row r="10" spans="1:12" ht="13.2" customHeight="1" x14ac:dyDescent="0.3">
      <c r="A10" s="73" t="s">
        <v>53</v>
      </c>
      <c r="B10" s="165">
        <v>9</v>
      </c>
      <c r="D10" s="162">
        <v>4.5</v>
      </c>
      <c r="E10" s="162">
        <v>5</v>
      </c>
      <c r="F10" s="162">
        <v>3.75</v>
      </c>
      <c r="G10" s="162">
        <v>4</v>
      </c>
      <c r="H10" s="97">
        <f t="shared" si="0"/>
        <v>4.3125</v>
      </c>
    </row>
    <row r="11" spans="1:12" ht="13.2" customHeight="1" x14ac:dyDescent="0.3">
      <c r="A11" s="73" t="s">
        <v>103</v>
      </c>
      <c r="B11" s="165">
        <v>10</v>
      </c>
      <c r="D11" s="162">
        <v>1</v>
      </c>
      <c r="E11" s="162">
        <v>1.5</v>
      </c>
      <c r="F11" s="162">
        <v>2.25</v>
      </c>
      <c r="G11" s="162">
        <v>1.5</v>
      </c>
      <c r="H11" s="97">
        <f t="shared" si="0"/>
        <v>1.5625</v>
      </c>
    </row>
    <row r="12" spans="1:12" ht="13.2" customHeight="1" x14ac:dyDescent="0.3">
      <c r="A12" s="73" t="s">
        <v>154</v>
      </c>
      <c r="B12" s="161">
        <v>7</v>
      </c>
      <c r="D12" s="162">
        <v>1</v>
      </c>
      <c r="E12" s="162">
        <v>1</v>
      </c>
      <c r="F12" s="162">
        <v>2</v>
      </c>
      <c r="G12" s="162">
        <v>2.5</v>
      </c>
      <c r="H12" s="97">
        <f t="shared" si="0"/>
        <v>1.625</v>
      </c>
    </row>
    <row r="13" spans="1:12" ht="13.2" customHeight="1" x14ac:dyDescent="0.3">
      <c r="A13" s="73" t="s">
        <v>242</v>
      </c>
      <c r="B13" s="165">
        <v>7</v>
      </c>
      <c r="D13" s="162">
        <v>2</v>
      </c>
      <c r="E13" s="162">
        <v>3</v>
      </c>
      <c r="F13" s="162">
        <v>2.25</v>
      </c>
      <c r="G13" s="162">
        <v>2.5</v>
      </c>
      <c r="H13" s="97">
        <f t="shared" si="0"/>
        <v>2.4375</v>
      </c>
    </row>
    <row r="14" spans="1:12" ht="13.2" customHeight="1" x14ac:dyDescent="0.3">
      <c r="A14" s="73" t="s">
        <v>241</v>
      </c>
      <c r="B14" s="161">
        <v>9</v>
      </c>
      <c r="D14" s="162">
        <v>0</v>
      </c>
      <c r="E14" s="162">
        <v>1</v>
      </c>
      <c r="F14" s="162">
        <v>1</v>
      </c>
      <c r="G14" s="162">
        <v>1</v>
      </c>
      <c r="H14" s="97">
        <f t="shared" si="0"/>
        <v>0.75</v>
      </c>
    </row>
    <row r="15" spans="1:12" ht="13.2" customHeight="1" x14ac:dyDescent="0.3">
      <c r="A15" s="73" t="s">
        <v>100</v>
      </c>
      <c r="B15" s="165">
        <v>9</v>
      </c>
      <c r="D15" s="162">
        <v>0</v>
      </c>
      <c r="E15" s="162">
        <v>0</v>
      </c>
      <c r="F15" s="162">
        <v>0.5</v>
      </c>
      <c r="G15" s="162">
        <v>0</v>
      </c>
      <c r="H15" s="97">
        <f t="shared" si="0"/>
        <v>0.125</v>
      </c>
    </row>
    <row r="16" spans="1:12" ht="13.2" customHeight="1" x14ac:dyDescent="0.3">
      <c r="A16" s="73" t="s">
        <v>52</v>
      </c>
      <c r="B16" s="165">
        <v>10</v>
      </c>
      <c r="D16" s="162">
        <v>0.5</v>
      </c>
      <c r="E16" s="162">
        <v>1</v>
      </c>
      <c r="F16" s="162">
        <v>1.25</v>
      </c>
      <c r="G16" s="162">
        <v>1.5</v>
      </c>
      <c r="H16" s="97">
        <f t="shared" si="0"/>
        <v>1.0625</v>
      </c>
    </row>
    <row r="17" spans="1:8" ht="13.2" customHeight="1" x14ac:dyDescent="0.3">
      <c r="A17" s="73" t="s">
        <v>101</v>
      </c>
      <c r="B17" s="161">
        <v>8</v>
      </c>
      <c r="D17" s="162">
        <v>1.5</v>
      </c>
      <c r="E17" s="162">
        <v>2</v>
      </c>
      <c r="F17" s="162">
        <v>2.5</v>
      </c>
      <c r="G17" s="162">
        <v>2</v>
      </c>
      <c r="H17" s="97">
        <f t="shared" si="0"/>
        <v>2</v>
      </c>
    </row>
    <row r="18" spans="1:8" ht="13.2" customHeight="1" x14ac:dyDescent="0.3">
      <c r="A18" s="73" t="s">
        <v>211</v>
      </c>
      <c r="B18" s="165">
        <v>7</v>
      </c>
      <c r="D18" s="162">
        <v>3.5</v>
      </c>
      <c r="E18" s="162">
        <v>4</v>
      </c>
      <c r="F18" s="162">
        <v>3.5</v>
      </c>
      <c r="G18" s="162">
        <v>3.5</v>
      </c>
      <c r="H18" s="97">
        <f t="shared" si="0"/>
        <v>3.625</v>
      </c>
    </row>
    <row r="19" spans="1:8" ht="13.2" customHeight="1" x14ac:dyDescent="0.3">
      <c r="A19" s="73" t="s">
        <v>152</v>
      </c>
      <c r="B19" s="165">
        <v>8</v>
      </c>
      <c r="D19" s="162">
        <v>2</v>
      </c>
      <c r="E19" s="162">
        <v>2</v>
      </c>
      <c r="F19" s="162">
        <v>2.5</v>
      </c>
      <c r="G19" s="162">
        <v>2</v>
      </c>
      <c r="H19" s="97">
        <f t="shared" si="0"/>
        <v>2.125</v>
      </c>
    </row>
    <row r="20" spans="1:8" ht="13.2" customHeight="1" x14ac:dyDescent="0.3">
      <c r="A20" s="73" t="s">
        <v>55</v>
      </c>
      <c r="B20" s="165">
        <v>9</v>
      </c>
      <c r="D20" s="162">
        <v>0</v>
      </c>
      <c r="E20" s="162">
        <v>0</v>
      </c>
      <c r="F20" s="162">
        <v>0.75</v>
      </c>
      <c r="G20" s="162">
        <v>0.5</v>
      </c>
      <c r="H20" s="97">
        <f t="shared" si="0"/>
        <v>0.3125</v>
      </c>
    </row>
    <row r="21" spans="1:8" ht="13.2" customHeight="1" x14ac:dyDescent="0.3">
      <c r="A21" s="73" t="s">
        <v>153</v>
      </c>
      <c r="B21" s="165">
        <v>10</v>
      </c>
      <c r="D21" s="162">
        <v>2</v>
      </c>
      <c r="E21" s="162">
        <v>3.5</v>
      </c>
      <c r="F21" s="162">
        <v>2.25</v>
      </c>
      <c r="G21" s="162">
        <v>3</v>
      </c>
      <c r="H21" s="97">
        <f t="shared" si="0"/>
        <v>2.6875</v>
      </c>
    </row>
    <row r="22" spans="1:8" ht="13.2" customHeight="1" x14ac:dyDescent="0.3">
      <c r="A22" s="73" t="s">
        <v>244</v>
      </c>
      <c r="B22" s="161">
        <v>10</v>
      </c>
      <c r="D22" s="162">
        <v>2.5</v>
      </c>
      <c r="E22" s="162">
        <v>2.5</v>
      </c>
      <c r="F22" s="162">
        <v>2.5</v>
      </c>
      <c r="G22" s="162">
        <v>3</v>
      </c>
      <c r="H22" s="97">
        <f t="shared" si="0"/>
        <v>2.625</v>
      </c>
    </row>
    <row r="23" spans="1:8" ht="13.2" customHeight="1" x14ac:dyDescent="0.3">
      <c r="A23" s="73" t="s">
        <v>7</v>
      </c>
      <c r="B23" s="165">
        <v>7</v>
      </c>
      <c r="D23" s="162">
        <v>2</v>
      </c>
      <c r="E23" s="162">
        <v>1.5</v>
      </c>
      <c r="F23" s="162">
        <v>2.5</v>
      </c>
      <c r="G23" s="162">
        <v>1.5</v>
      </c>
      <c r="H23" s="97">
        <f t="shared" si="0"/>
        <v>1.875</v>
      </c>
    </row>
    <row r="24" spans="1:8" ht="13.2" customHeight="1" x14ac:dyDescent="0.3">
      <c r="A24" s="73" t="s">
        <v>49</v>
      </c>
      <c r="B24" s="165">
        <v>8</v>
      </c>
      <c r="D24" s="162">
        <v>4.5</v>
      </c>
      <c r="E24" s="162">
        <v>3.5</v>
      </c>
      <c r="F24" s="162">
        <v>4</v>
      </c>
      <c r="G24" s="163"/>
      <c r="H24" s="97">
        <f>AVERAGE(D24:F24)</f>
        <v>4</v>
      </c>
    </row>
    <row r="25" spans="1:8" ht="13.2" customHeight="1" x14ac:dyDescent="0.3">
      <c r="A25" s="73" t="s">
        <v>102</v>
      </c>
      <c r="B25" s="165">
        <v>9</v>
      </c>
      <c r="D25" s="162">
        <v>0.5</v>
      </c>
      <c r="E25" s="162">
        <v>0</v>
      </c>
      <c r="F25" s="162">
        <v>1.25</v>
      </c>
      <c r="G25" s="162">
        <v>1.5</v>
      </c>
      <c r="H25" s="97">
        <f t="shared" si="0"/>
        <v>0.8125</v>
      </c>
    </row>
    <row r="26" spans="1:8" ht="13.2" customHeight="1" x14ac:dyDescent="0.3">
      <c r="A26" s="73" t="s">
        <v>80</v>
      </c>
      <c r="B26" s="161">
        <v>6</v>
      </c>
      <c r="D26" s="162">
        <v>4.5</v>
      </c>
      <c r="E26" s="162">
        <v>5</v>
      </c>
      <c r="F26" s="162">
        <v>3.5</v>
      </c>
      <c r="G26" s="162">
        <v>4</v>
      </c>
      <c r="H26" s="97">
        <f t="shared" si="0"/>
        <v>4.25</v>
      </c>
    </row>
    <row r="27" spans="1:8" ht="13.2" customHeight="1" x14ac:dyDescent="0.3">
      <c r="A27" s="73" t="s">
        <v>60</v>
      </c>
      <c r="B27" s="165">
        <v>6</v>
      </c>
      <c r="D27" s="162">
        <v>1</v>
      </c>
      <c r="E27" s="162">
        <v>1.5</v>
      </c>
      <c r="F27" s="162">
        <v>2.5</v>
      </c>
      <c r="G27" s="162">
        <v>2</v>
      </c>
      <c r="H27" s="97">
        <f t="shared" si="0"/>
        <v>1.75</v>
      </c>
    </row>
    <row r="28" spans="1:8" ht="13.2" customHeight="1" x14ac:dyDescent="0.3">
      <c r="A28" s="73" t="s">
        <v>240</v>
      </c>
      <c r="B28" s="165">
        <v>7</v>
      </c>
      <c r="D28" s="162">
        <v>1</v>
      </c>
      <c r="E28" s="162">
        <v>1.5</v>
      </c>
      <c r="F28" s="162">
        <v>1.5</v>
      </c>
      <c r="G28" s="162">
        <v>1.5</v>
      </c>
      <c r="H28" s="97">
        <f t="shared" si="0"/>
        <v>1.375</v>
      </c>
    </row>
    <row r="29" spans="1:8" ht="13.2" customHeight="1" x14ac:dyDescent="0.3">
      <c r="A29" s="73" t="s">
        <v>203</v>
      </c>
      <c r="B29" s="165">
        <v>8</v>
      </c>
      <c r="D29" s="162">
        <v>0.5</v>
      </c>
      <c r="E29" s="162">
        <v>1</v>
      </c>
      <c r="F29" s="162">
        <v>1.25</v>
      </c>
      <c r="G29" s="162">
        <v>1</v>
      </c>
      <c r="H29" s="97">
        <f t="shared" si="0"/>
        <v>0.9375</v>
      </c>
    </row>
    <row r="30" spans="1:8" ht="13.2" customHeight="1" x14ac:dyDescent="0.3">
      <c r="A30" s="73" t="s">
        <v>111</v>
      </c>
      <c r="B30" s="165">
        <v>9</v>
      </c>
      <c r="D30" s="162">
        <v>2</v>
      </c>
      <c r="E30" s="162">
        <v>2.5</v>
      </c>
      <c r="F30" s="162">
        <v>2.25</v>
      </c>
      <c r="G30" s="162">
        <v>3</v>
      </c>
      <c r="H30" s="97">
        <f t="shared" si="0"/>
        <v>2.4375</v>
      </c>
    </row>
    <row r="31" spans="1:8" ht="13.2" customHeight="1" x14ac:dyDescent="0.3">
      <c r="A31" s="73" t="s">
        <v>196</v>
      </c>
      <c r="B31" s="161">
        <v>6</v>
      </c>
      <c r="D31" s="162">
        <v>3</v>
      </c>
      <c r="E31" s="162">
        <v>3.5</v>
      </c>
      <c r="F31" s="162">
        <v>3.5</v>
      </c>
      <c r="G31" s="162">
        <v>4</v>
      </c>
      <c r="H31" s="97">
        <f t="shared" si="0"/>
        <v>3.5</v>
      </c>
    </row>
    <row r="32" spans="1:8" ht="13.2" customHeight="1" x14ac:dyDescent="0.3">
      <c r="A32" s="73" t="s">
        <v>50</v>
      </c>
      <c r="B32" s="165">
        <v>6</v>
      </c>
      <c r="D32" s="162">
        <v>3</v>
      </c>
      <c r="E32" s="162">
        <v>3.5</v>
      </c>
      <c r="F32" s="162">
        <v>2.75</v>
      </c>
      <c r="G32" s="162">
        <v>3</v>
      </c>
      <c r="H32" s="97">
        <f t="shared" si="0"/>
        <v>3.0625</v>
      </c>
    </row>
    <row r="33" spans="1:8" ht="13.2" customHeight="1" x14ac:dyDescent="0.3">
      <c r="A33" s="73" t="s">
        <v>117</v>
      </c>
      <c r="B33" s="165">
        <v>7</v>
      </c>
      <c r="D33" s="162">
        <v>0.5</v>
      </c>
      <c r="E33" s="162">
        <v>1.5</v>
      </c>
      <c r="F33" s="162">
        <v>1.25</v>
      </c>
      <c r="G33" s="162">
        <v>1.5</v>
      </c>
      <c r="H33" s="97">
        <f t="shared" si="0"/>
        <v>1.1875</v>
      </c>
    </row>
    <row r="34" spans="1:8" ht="13.2" customHeight="1" x14ac:dyDescent="0.3">
      <c r="D34" s="162"/>
      <c r="E34" s="162"/>
      <c r="F34" s="162"/>
      <c r="G34" s="162"/>
      <c r="H34" s="97"/>
    </row>
    <row r="35" spans="1:8" ht="13.2" customHeight="1" x14ac:dyDescent="0.3">
      <c r="D35" s="162"/>
      <c r="E35" s="162"/>
      <c r="F35" s="162"/>
      <c r="G35" s="162"/>
      <c r="H35" s="97"/>
    </row>
    <row r="36" spans="1:8" ht="13.2" customHeight="1" x14ac:dyDescent="0.3">
      <c r="C36" s="78" t="s">
        <v>316</v>
      </c>
      <c r="D36" s="162"/>
      <c r="E36" s="162"/>
      <c r="F36" s="162"/>
      <c r="G36" s="162"/>
      <c r="H36" s="97"/>
    </row>
    <row r="37" spans="1:8" ht="13.2" customHeight="1" x14ac:dyDescent="0.3">
      <c r="C37" s="78" t="s">
        <v>317</v>
      </c>
    </row>
    <row r="38" spans="1:8" ht="13.2" customHeight="1" x14ac:dyDescent="0.3">
      <c r="C38" s="78" t="s">
        <v>318</v>
      </c>
    </row>
    <row r="39" spans="1:8" ht="13.2" customHeight="1" x14ac:dyDescent="0.3">
      <c r="C39" s="78" t="s">
        <v>319</v>
      </c>
    </row>
    <row r="40" spans="1:8" ht="13.2" customHeight="1" x14ac:dyDescent="0.3">
      <c r="C40" s="78" t="s">
        <v>320</v>
      </c>
    </row>
    <row r="41" spans="1:8" ht="13.2" customHeight="1" x14ac:dyDescent="0.3">
      <c r="C41" s="78" t="s">
        <v>321</v>
      </c>
    </row>
    <row r="42" spans="1:8" ht="13.2" customHeight="1" x14ac:dyDescent="0.3">
      <c r="C42" s="78" t="s">
        <v>322</v>
      </c>
    </row>
    <row r="43" spans="1:8" ht="13.2" customHeight="1" x14ac:dyDescent="0.3">
      <c r="C43" s="78" t="s">
        <v>323</v>
      </c>
    </row>
    <row r="44" spans="1:8" ht="13.2" customHeight="1" x14ac:dyDescent="0.3">
      <c r="C44" s="78" t="s">
        <v>324</v>
      </c>
    </row>
    <row r="45" spans="1:8" ht="13.2" customHeight="1" x14ac:dyDescent="0.3">
      <c r="C45" s="78" t="s">
        <v>325</v>
      </c>
    </row>
    <row r="46" spans="1:8" ht="13.2" customHeight="1" x14ac:dyDescent="0.3">
      <c r="C46" s="78" t="s">
        <v>326</v>
      </c>
    </row>
    <row r="47" spans="1:8" ht="13.2" customHeight="1" x14ac:dyDescent="0.3">
      <c r="C47" s="78" t="s">
        <v>327</v>
      </c>
    </row>
    <row r="48" spans="1:8" ht="13.2" customHeight="1" x14ac:dyDescent="0.3">
      <c r="C48" s="78" t="s">
        <v>328</v>
      </c>
    </row>
    <row r="49" spans="3:3" ht="13.2" customHeight="1" x14ac:dyDescent="0.3">
      <c r="C49" s="78" t="s">
        <v>329</v>
      </c>
    </row>
    <row r="50" spans="3:3" ht="13.2" customHeight="1" x14ac:dyDescent="0.3">
      <c r="C50" s="78" t="s">
        <v>330</v>
      </c>
    </row>
    <row r="51" spans="3:3" ht="13.2" customHeight="1" x14ac:dyDescent="0.3">
      <c r="C51" s="78" t="s">
        <v>331</v>
      </c>
    </row>
    <row r="52" spans="3:3" ht="13.2" customHeight="1" x14ac:dyDescent="0.3">
      <c r="C52" s="78" t="s">
        <v>332</v>
      </c>
    </row>
    <row r="53" spans="3:3" ht="13.2" customHeight="1" x14ac:dyDescent="0.3">
      <c r="C53" s="78" t="s">
        <v>333</v>
      </c>
    </row>
    <row r="54" spans="3:3" ht="13.2" customHeight="1" x14ac:dyDescent="0.3">
      <c r="C54" s="78" t="s">
        <v>334</v>
      </c>
    </row>
    <row r="55" spans="3:3" ht="13.2" customHeight="1" x14ac:dyDescent="0.3">
      <c r="C55" s="78" t="s">
        <v>335</v>
      </c>
    </row>
    <row r="56" spans="3:3" ht="13.2" customHeight="1" x14ac:dyDescent="0.3">
      <c r="C56" s="78" t="s">
        <v>336</v>
      </c>
    </row>
    <row r="57" spans="3:3" ht="13.2" customHeight="1" x14ac:dyDescent="0.3">
      <c r="C57" s="78" t="s">
        <v>337</v>
      </c>
    </row>
    <row r="58" spans="3:3" ht="13.2" customHeight="1" x14ac:dyDescent="0.3">
      <c r="C58" s="78" t="s">
        <v>338</v>
      </c>
    </row>
    <row r="59" spans="3:3" ht="13.2" customHeight="1" x14ac:dyDescent="0.3">
      <c r="C59" s="78" t="s">
        <v>339</v>
      </c>
    </row>
    <row r="60" spans="3:3" ht="13.2" customHeight="1" x14ac:dyDescent="0.3">
      <c r="C60" s="78" t="s">
        <v>340</v>
      </c>
    </row>
    <row r="61" spans="3:3" ht="13.2" customHeight="1" x14ac:dyDescent="0.3">
      <c r="C61" s="78" t="s">
        <v>341</v>
      </c>
    </row>
    <row r="62" spans="3:3" ht="13.2" customHeight="1" x14ac:dyDescent="0.3">
      <c r="C62" s="78" t="s">
        <v>342</v>
      </c>
    </row>
    <row r="63" spans="3:3" ht="13.2" customHeight="1" x14ac:dyDescent="0.3">
      <c r="C63" s="78" t="s">
        <v>343</v>
      </c>
    </row>
    <row r="64" spans="3:3" ht="13.2" customHeight="1" x14ac:dyDescent="0.3">
      <c r="C64" s="78" t="s">
        <v>344</v>
      </c>
    </row>
    <row r="65" spans="3:3" ht="13.2" customHeight="1" x14ac:dyDescent="0.3">
      <c r="C65" s="78" t="s">
        <v>345</v>
      </c>
    </row>
    <row r="66" spans="3:3" ht="13.2" customHeight="1" x14ac:dyDescent="0.3">
      <c r="C66" s="78" t="s">
        <v>346</v>
      </c>
    </row>
    <row r="67" spans="3:3" ht="13.2" customHeight="1" x14ac:dyDescent="0.3">
      <c r="C67" s="78" t="s">
        <v>347</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workbookViewId="0">
      <pane ySplit="1" topLeftCell="A8" activePane="bottomLeft" state="frozen"/>
      <selection pane="bottomLeft" activeCell="H12" sqref="H12"/>
    </sheetView>
  </sheetViews>
  <sheetFormatPr defaultRowHeight="13.2" customHeight="1" x14ac:dyDescent="0.25"/>
  <cols>
    <col min="1" max="1" width="23.77734375" style="205" bestFit="1" customWidth="1"/>
    <col min="2" max="2" width="5.6640625" style="206" customWidth="1"/>
    <col min="3" max="3" width="45" style="40" customWidth="1"/>
    <col min="4" max="4" width="6.44140625" style="40" bestFit="1" customWidth="1"/>
    <col min="5" max="5" width="6.44140625" style="40" customWidth="1"/>
    <col min="6" max="6" width="6.44140625" style="40" bestFit="1" customWidth="1"/>
    <col min="7" max="7" width="6.5546875" style="40" bestFit="1" customWidth="1"/>
    <col min="8" max="10" width="8.88671875" style="205"/>
    <col min="11" max="11" width="20.77734375" style="205" bestFit="1" customWidth="1"/>
    <col min="12" max="12" width="20.21875" style="205" bestFit="1" customWidth="1"/>
    <col min="13" max="16384" width="8.88671875" style="205"/>
  </cols>
  <sheetData>
    <row r="1" spans="1:8" s="202" customFormat="1" ht="13.2" customHeight="1" x14ac:dyDescent="0.25">
      <c r="A1" s="202" t="s">
        <v>32</v>
      </c>
      <c r="B1" s="203" t="s">
        <v>29</v>
      </c>
      <c r="C1" s="44" t="s">
        <v>206</v>
      </c>
      <c r="D1" s="44" t="s">
        <v>207</v>
      </c>
      <c r="E1" s="44" t="s">
        <v>208</v>
      </c>
      <c r="F1" s="44" t="s">
        <v>209</v>
      </c>
      <c r="G1" s="44" t="s">
        <v>297</v>
      </c>
      <c r="H1" s="204" t="s">
        <v>147</v>
      </c>
    </row>
    <row r="2" spans="1:8" ht="13.2" customHeight="1" x14ac:dyDescent="0.25">
      <c r="A2" s="205" t="s">
        <v>239</v>
      </c>
      <c r="B2" s="206">
        <v>11</v>
      </c>
      <c r="C2" s="207"/>
      <c r="D2" s="99">
        <v>0.5</v>
      </c>
      <c r="E2" s="99">
        <v>1.5</v>
      </c>
      <c r="F2" s="99">
        <v>2</v>
      </c>
      <c r="G2" s="99">
        <v>2.5</v>
      </c>
      <c r="H2" s="208">
        <f>AVERAGE(D2:G2)</f>
        <v>1.625</v>
      </c>
    </row>
    <row r="3" spans="1:8" ht="13.2" customHeight="1" x14ac:dyDescent="0.25">
      <c r="A3" s="205" t="s">
        <v>61</v>
      </c>
      <c r="B3" s="206">
        <v>12</v>
      </c>
      <c r="C3" s="207"/>
      <c r="D3" s="99">
        <v>0.5</v>
      </c>
      <c r="E3" s="99">
        <v>1.5</v>
      </c>
      <c r="F3" s="99">
        <v>2</v>
      </c>
      <c r="G3" s="99">
        <v>2</v>
      </c>
      <c r="H3" s="208">
        <f t="shared" ref="H3:H32" si="0">AVERAGE(D3:G3)</f>
        <v>1.5</v>
      </c>
    </row>
    <row r="4" spans="1:8" ht="13.2" customHeight="1" x14ac:dyDescent="0.25">
      <c r="A4" s="205" t="s">
        <v>211</v>
      </c>
      <c r="B4" s="206">
        <v>13</v>
      </c>
      <c r="C4" s="207"/>
      <c r="D4" s="99">
        <v>0.5</v>
      </c>
      <c r="E4" s="99">
        <v>1.5</v>
      </c>
      <c r="F4" s="99">
        <v>2</v>
      </c>
      <c r="G4" s="99">
        <v>2.5</v>
      </c>
      <c r="H4" s="208">
        <f t="shared" si="0"/>
        <v>1.625</v>
      </c>
    </row>
    <row r="5" spans="1:8" ht="13.2" customHeight="1" x14ac:dyDescent="0.25">
      <c r="A5" s="205" t="s">
        <v>7</v>
      </c>
      <c r="B5" s="206">
        <v>14</v>
      </c>
      <c r="C5" s="207"/>
      <c r="D5" s="99">
        <v>0.5</v>
      </c>
      <c r="E5" s="99">
        <v>1</v>
      </c>
      <c r="F5" s="99">
        <v>1.5</v>
      </c>
      <c r="G5" s="99">
        <v>2</v>
      </c>
      <c r="H5" s="208">
        <f t="shared" si="0"/>
        <v>1.25</v>
      </c>
    </row>
    <row r="6" spans="1:8" ht="13.2" customHeight="1" x14ac:dyDescent="0.25">
      <c r="A6" s="205" t="s">
        <v>240</v>
      </c>
      <c r="B6" s="206">
        <v>15</v>
      </c>
      <c r="C6" s="207"/>
      <c r="D6" s="99">
        <v>0.5</v>
      </c>
      <c r="E6" s="99">
        <v>1</v>
      </c>
      <c r="F6" s="99">
        <v>1.5</v>
      </c>
      <c r="G6" s="99">
        <v>2</v>
      </c>
      <c r="H6" s="208">
        <f t="shared" si="0"/>
        <v>1.25</v>
      </c>
    </row>
    <row r="7" spans="1:8" ht="13.2" customHeight="1" x14ac:dyDescent="0.25">
      <c r="A7" s="205" t="s">
        <v>154</v>
      </c>
      <c r="B7" s="206">
        <v>11</v>
      </c>
      <c r="C7" s="207"/>
      <c r="D7" s="99">
        <v>0.5</v>
      </c>
      <c r="E7" s="99">
        <v>2.5</v>
      </c>
      <c r="F7" s="99">
        <v>1.75</v>
      </c>
      <c r="G7" s="99">
        <v>2</v>
      </c>
      <c r="H7" s="208">
        <f t="shared" si="0"/>
        <v>1.6875</v>
      </c>
    </row>
    <row r="8" spans="1:8" ht="13.2" customHeight="1" x14ac:dyDescent="0.25">
      <c r="A8" s="205" t="s">
        <v>242</v>
      </c>
      <c r="B8" s="206">
        <v>12</v>
      </c>
      <c r="D8" s="99">
        <v>5</v>
      </c>
      <c r="E8" s="99">
        <v>3.5</v>
      </c>
      <c r="F8" s="99">
        <v>2.75</v>
      </c>
      <c r="G8" s="99">
        <v>4</v>
      </c>
      <c r="H8" s="208">
        <f t="shared" si="0"/>
        <v>3.8125</v>
      </c>
    </row>
    <row r="9" spans="1:8" ht="13.2" customHeight="1" x14ac:dyDescent="0.25">
      <c r="A9" s="205" t="s">
        <v>60</v>
      </c>
      <c r="B9" s="209">
        <v>14</v>
      </c>
      <c r="D9" s="99">
        <v>1.5</v>
      </c>
      <c r="E9" s="99">
        <v>2.5</v>
      </c>
      <c r="F9" s="99">
        <v>2.5</v>
      </c>
      <c r="G9" s="99">
        <v>3</v>
      </c>
      <c r="H9" s="208">
        <f t="shared" si="0"/>
        <v>2.375</v>
      </c>
    </row>
    <row r="10" spans="1:8" ht="13.2" customHeight="1" x14ac:dyDescent="0.25">
      <c r="A10" s="205" t="s">
        <v>102</v>
      </c>
      <c r="B10" s="206">
        <v>14</v>
      </c>
      <c r="D10" s="99">
        <v>0.5</v>
      </c>
      <c r="E10" s="99">
        <v>1</v>
      </c>
      <c r="F10" s="99">
        <v>1.75</v>
      </c>
      <c r="G10" s="99">
        <v>0.5</v>
      </c>
      <c r="H10" s="208">
        <f t="shared" si="0"/>
        <v>0.9375</v>
      </c>
    </row>
    <row r="11" spans="1:8" ht="13.2" customHeight="1" x14ac:dyDescent="0.25">
      <c r="A11" s="205" t="s">
        <v>153</v>
      </c>
      <c r="B11" s="206">
        <v>15</v>
      </c>
      <c r="D11" s="99">
        <v>2.5</v>
      </c>
      <c r="E11" s="99">
        <v>3.5</v>
      </c>
      <c r="F11" s="99">
        <v>2.5</v>
      </c>
      <c r="G11" s="99">
        <v>3</v>
      </c>
      <c r="H11" s="208">
        <f t="shared" si="0"/>
        <v>2.875</v>
      </c>
    </row>
    <row r="12" spans="1:8" ht="13.2" customHeight="1" x14ac:dyDescent="0.25">
      <c r="A12" s="205" t="s">
        <v>118</v>
      </c>
      <c r="B12" s="206">
        <v>11</v>
      </c>
      <c r="D12" s="99">
        <v>3.5</v>
      </c>
      <c r="E12" s="99">
        <v>3.5</v>
      </c>
      <c r="F12" s="99">
        <v>2.5</v>
      </c>
      <c r="G12" s="99">
        <v>3.5</v>
      </c>
      <c r="H12" s="208">
        <f t="shared" si="0"/>
        <v>3.25</v>
      </c>
    </row>
    <row r="13" spans="1:8" ht="13.2" customHeight="1" x14ac:dyDescent="0.25">
      <c r="A13" s="205" t="s">
        <v>53</v>
      </c>
      <c r="B13" s="206">
        <v>12</v>
      </c>
      <c r="D13" s="99">
        <v>4</v>
      </c>
      <c r="E13" s="99">
        <v>4</v>
      </c>
      <c r="F13" s="99">
        <v>3</v>
      </c>
      <c r="G13" s="99">
        <v>3.5</v>
      </c>
      <c r="H13" s="208">
        <f t="shared" si="0"/>
        <v>3.625</v>
      </c>
    </row>
    <row r="14" spans="1:8" ht="13.2" customHeight="1" x14ac:dyDescent="0.25">
      <c r="A14" s="205" t="s">
        <v>152</v>
      </c>
      <c r="B14" s="206">
        <v>13</v>
      </c>
      <c r="D14" s="99">
        <v>5</v>
      </c>
      <c r="E14" s="99">
        <v>4</v>
      </c>
      <c r="F14" s="99">
        <v>3.5</v>
      </c>
      <c r="G14" s="99">
        <v>4</v>
      </c>
      <c r="H14" s="208">
        <f t="shared" si="0"/>
        <v>4.125</v>
      </c>
    </row>
    <row r="15" spans="1:8" ht="13.2" customHeight="1" x14ac:dyDescent="0.25">
      <c r="A15" s="205" t="s">
        <v>52</v>
      </c>
      <c r="B15" s="209">
        <v>11</v>
      </c>
      <c r="D15" s="99">
        <v>1</v>
      </c>
      <c r="E15" s="99">
        <v>2</v>
      </c>
      <c r="F15" s="99">
        <v>1.75</v>
      </c>
      <c r="G15" s="99">
        <v>2</v>
      </c>
      <c r="H15" s="208">
        <f t="shared" si="0"/>
        <v>1.6875</v>
      </c>
    </row>
    <row r="16" spans="1:8" ht="13.2" customHeight="1" x14ac:dyDescent="0.25">
      <c r="A16" s="205" t="s">
        <v>241</v>
      </c>
      <c r="B16" s="209">
        <v>11</v>
      </c>
      <c r="D16" s="99">
        <v>0</v>
      </c>
      <c r="E16" s="99">
        <v>1</v>
      </c>
      <c r="F16" s="99">
        <v>1.25</v>
      </c>
      <c r="G16" s="99">
        <v>1</v>
      </c>
      <c r="H16" s="208">
        <f t="shared" si="0"/>
        <v>0.8125</v>
      </c>
    </row>
    <row r="17" spans="1:8" ht="13.2" customHeight="1" x14ac:dyDescent="0.25">
      <c r="A17" s="205" t="s">
        <v>49</v>
      </c>
      <c r="B17" s="206">
        <v>11</v>
      </c>
      <c r="D17" s="99">
        <v>0.5</v>
      </c>
      <c r="E17" s="99">
        <v>2</v>
      </c>
      <c r="F17" s="99">
        <v>1.5</v>
      </c>
      <c r="G17" s="210"/>
      <c r="H17" s="208">
        <f>AVERAGE(D17:F17)</f>
        <v>1.3333333333333333</v>
      </c>
    </row>
    <row r="18" spans="1:8" ht="13.2" customHeight="1" x14ac:dyDescent="0.25">
      <c r="A18" s="205" t="s">
        <v>51</v>
      </c>
      <c r="B18" s="206">
        <v>12</v>
      </c>
      <c r="D18" s="99">
        <v>5</v>
      </c>
      <c r="E18" s="99">
        <v>5</v>
      </c>
      <c r="F18" s="99">
        <v>3.75</v>
      </c>
      <c r="G18" s="99">
        <v>5</v>
      </c>
      <c r="H18" s="208">
        <f t="shared" si="0"/>
        <v>4.6875</v>
      </c>
    </row>
    <row r="19" spans="1:8" ht="13.2" customHeight="1" x14ac:dyDescent="0.25">
      <c r="A19" s="205" t="s">
        <v>117</v>
      </c>
      <c r="B19" s="209">
        <v>14</v>
      </c>
      <c r="D19" s="99">
        <v>4.5</v>
      </c>
      <c r="E19" s="99">
        <v>2.5</v>
      </c>
      <c r="F19" s="99">
        <v>3</v>
      </c>
      <c r="G19" s="99">
        <v>3</v>
      </c>
      <c r="H19" s="208">
        <f t="shared" si="0"/>
        <v>3.25</v>
      </c>
    </row>
    <row r="20" spans="1:8" ht="13.2" customHeight="1" x14ac:dyDescent="0.25">
      <c r="A20" s="205" t="s">
        <v>65</v>
      </c>
      <c r="B20" s="206">
        <v>14</v>
      </c>
      <c r="D20" s="99">
        <v>5</v>
      </c>
      <c r="E20" s="99">
        <v>3</v>
      </c>
      <c r="F20" s="99">
        <v>4</v>
      </c>
      <c r="G20" s="99">
        <v>5</v>
      </c>
      <c r="H20" s="208">
        <f t="shared" si="0"/>
        <v>4.25</v>
      </c>
    </row>
    <row r="21" spans="1:8" ht="13.2" customHeight="1" x14ac:dyDescent="0.25">
      <c r="A21" s="205" t="s">
        <v>103</v>
      </c>
      <c r="B21" s="206">
        <v>15</v>
      </c>
      <c r="D21" s="99">
        <v>2.5</v>
      </c>
      <c r="E21" s="99">
        <v>2</v>
      </c>
      <c r="F21" s="99">
        <v>2.5</v>
      </c>
      <c r="G21" s="99">
        <v>2.5</v>
      </c>
      <c r="H21" s="208">
        <f t="shared" si="0"/>
        <v>2.375</v>
      </c>
    </row>
    <row r="22" spans="1:8" ht="13.2" customHeight="1" x14ac:dyDescent="0.25">
      <c r="A22" s="205" t="s">
        <v>50</v>
      </c>
      <c r="B22" s="206">
        <v>11</v>
      </c>
      <c r="D22" s="99">
        <v>3.5</v>
      </c>
      <c r="E22" s="99">
        <v>3</v>
      </c>
      <c r="F22" s="99">
        <v>2.75</v>
      </c>
      <c r="G22" s="99">
        <v>3.5</v>
      </c>
      <c r="H22" s="208">
        <f t="shared" si="0"/>
        <v>3.1875</v>
      </c>
    </row>
    <row r="23" spans="1:8" ht="13.2" customHeight="1" x14ac:dyDescent="0.25">
      <c r="A23" s="205" t="s">
        <v>203</v>
      </c>
      <c r="B23" s="206">
        <v>12</v>
      </c>
      <c r="D23" s="99">
        <v>0.5</v>
      </c>
      <c r="E23" s="99">
        <v>1.5</v>
      </c>
      <c r="F23" s="99">
        <v>1.5</v>
      </c>
      <c r="G23" s="99">
        <v>1.5</v>
      </c>
      <c r="H23" s="208">
        <f t="shared" si="0"/>
        <v>1.25</v>
      </c>
    </row>
    <row r="24" spans="1:8" ht="13.2" customHeight="1" x14ac:dyDescent="0.25">
      <c r="A24" s="205" t="s">
        <v>111</v>
      </c>
      <c r="B24" s="209">
        <v>14</v>
      </c>
      <c r="D24" s="99">
        <v>5</v>
      </c>
      <c r="E24" s="99">
        <v>5</v>
      </c>
      <c r="F24" s="99">
        <v>3.5</v>
      </c>
      <c r="G24" s="99">
        <v>5</v>
      </c>
      <c r="H24" s="208">
        <f t="shared" si="0"/>
        <v>4.625</v>
      </c>
    </row>
    <row r="25" spans="1:8" ht="13.2" customHeight="1" x14ac:dyDescent="0.25">
      <c r="A25" s="205" t="s">
        <v>350</v>
      </c>
      <c r="B25" s="206">
        <v>14</v>
      </c>
      <c r="D25" s="99">
        <v>4</v>
      </c>
      <c r="E25" s="99">
        <v>3.5</v>
      </c>
      <c r="F25" s="99">
        <v>2.5</v>
      </c>
      <c r="G25" s="99">
        <v>3</v>
      </c>
      <c r="H25" s="208">
        <f t="shared" si="0"/>
        <v>3.25</v>
      </c>
    </row>
    <row r="26" spans="1:8" ht="13.2" customHeight="1" x14ac:dyDescent="0.25">
      <c r="A26" s="205" t="s">
        <v>202</v>
      </c>
      <c r="B26" s="206">
        <v>15</v>
      </c>
      <c r="D26" s="99">
        <v>4</v>
      </c>
      <c r="E26" s="99">
        <v>4</v>
      </c>
      <c r="F26" s="99">
        <v>3.5</v>
      </c>
      <c r="G26" s="99">
        <v>4</v>
      </c>
      <c r="H26" s="208">
        <f t="shared" si="0"/>
        <v>3.875</v>
      </c>
    </row>
    <row r="27" spans="1:8" ht="13.2" customHeight="1" x14ac:dyDescent="0.25">
      <c r="A27" s="205" t="s">
        <v>119</v>
      </c>
      <c r="B27" s="206">
        <v>11</v>
      </c>
      <c r="D27" s="99">
        <v>1</v>
      </c>
      <c r="E27" s="99">
        <v>2.5</v>
      </c>
      <c r="F27" s="99">
        <v>2.5</v>
      </c>
      <c r="G27" s="99">
        <v>2.5</v>
      </c>
      <c r="H27" s="208">
        <f t="shared" si="0"/>
        <v>2.125</v>
      </c>
    </row>
    <row r="28" spans="1:8" ht="13.2" customHeight="1" x14ac:dyDescent="0.25">
      <c r="A28" s="205" t="s">
        <v>244</v>
      </c>
      <c r="B28" s="209">
        <v>13</v>
      </c>
      <c r="D28" s="99">
        <v>5</v>
      </c>
      <c r="E28" s="99">
        <v>4.5</v>
      </c>
      <c r="F28" s="99">
        <v>4.25</v>
      </c>
      <c r="G28" s="99">
        <v>3.5</v>
      </c>
      <c r="H28" s="208">
        <f t="shared" si="0"/>
        <v>4.3125</v>
      </c>
    </row>
    <row r="29" spans="1:8" ht="13.2" customHeight="1" x14ac:dyDescent="0.25">
      <c r="A29" s="205" t="s">
        <v>67</v>
      </c>
      <c r="B29" s="206">
        <v>14</v>
      </c>
      <c r="D29" s="99">
        <v>0.5</v>
      </c>
      <c r="E29" s="99">
        <v>1.5</v>
      </c>
      <c r="F29" s="99">
        <v>1.25</v>
      </c>
      <c r="G29" s="99">
        <v>1</v>
      </c>
      <c r="H29" s="208">
        <f t="shared" si="0"/>
        <v>1.0625</v>
      </c>
    </row>
    <row r="30" spans="1:8" ht="13.2" customHeight="1" x14ac:dyDescent="0.25">
      <c r="A30" s="205" t="s">
        <v>196</v>
      </c>
      <c r="B30" s="206">
        <v>15</v>
      </c>
      <c r="D30" s="99">
        <v>2</v>
      </c>
      <c r="E30" s="99">
        <v>2.5</v>
      </c>
      <c r="F30" s="99">
        <v>1.75</v>
      </c>
      <c r="G30" s="99">
        <v>2.5</v>
      </c>
      <c r="H30" s="208">
        <f t="shared" si="0"/>
        <v>2.1875</v>
      </c>
    </row>
    <row r="31" spans="1:8" ht="13.2" customHeight="1" x14ac:dyDescent="0.25">
      <c r="A31" s="205" t="s">
        <v>314</v>
      </c>
      <c r="B31" s="209">
        <v>12</v>
      </c>
      <c r="D31" s="99">
        <v>0.5</v>
      </c>
      <c r="E31" s="99">
        <v>2</v>
      </c>
      <c r="F31" s="99">
        <v>1.5</v>
      </c>
      <c r="G31" s="99">
        <v>1.5</v>
      </c>
      <c r="H31" s="208">
        <f t="shared" si="0"/>
        <v>1.375</v>
      </c>
    </row>
    <row r="32" spans="1:8" ht="13.2" customHeight="1" x14ac:dyDescent="0.25">
      <c r="A32" s="205" t="s">
        <v>66</v>
      </c>
      <c r="B32" s="209">
        <v>13</v>
      </c>
      <c r="D32" s="99">
        <v>2.5</v>
      </c>
      <c r="E32" s="99">
        <v>2.5</v>
      </c>
      <c r="F32" s="99">
        <v>1.75</v>
      </c>
      <c r="G32" s="99">
        <v>2</v>
      </c>
      <c r="H32" s="208">
        <f t="shared" si="0"/>
        <v>2.1875</v>
      </c>
    </row>
    <row r="33" spans="3:8" ht="13.2" customHeight="1" x14ac:dyDescent="0.25">
      <c r="D33" s="99"/>
      <c r="E33" s="99"/>
      <c r="F33" s="99"/>
      <c r="G33" s="99"/>
      <c r="H33" s="208"/>
    </row>
    <row r="34" spans="3:8" ht="13.2" customHeight="1" x14ac:dyDescent="0.25">
      <c r="D34" s="99"/>
      <c r="E34" s="99"/>
      <c r="F34" s="99"/>
      <c r="G34" s="99"/>
      <c r="H34" s="208"/>
    </row>
    <row r="35" spans="3:8" ht="13.2" customHeight="1" x14ac:dyDescent="0.25">
      <c r="D35" s="99"/>
      <c r="E35" s="99"/>
      <c r="F35" s="99"/>
      <c r="G35" s="99"/>
      <c r="H35" s="208"/>
    </row>
    <row r="36" spans="3:8" ht="13.2" customHeight="1" x14ac:dyDescent="0.25">
      <c r="C36" s="40" t="s">
        <v>359</v>
      </c>
    </row>
    <row r="37" spans="3:8" ht="13.2" customHeight="1" x14ac:dyDescent="0.25">
      <c r="C37" s="40" t="s">
        <v>360</v>
      </c>
    </row>
    <row r="38" spans="3:8" ht="13.2" customHeight="1" x14ac:dyDescent="0.25">
      <c r="C38" s="40" t="s">
        <v>361</v>
      </c>
    </row>
    <row r="39" spans="3:8" ht="13.2" customHeight="1" x14ac:dyDescent="0.25">
      <c r="C39" s="40" t="s">
        <v>362</v>
      </c>
    </row>
    <row r="40" spans="3:8" ht="13.2" customHeight="1" x14ac:dyDescent="0.25">
      <c r="C40" s="40" t="s">
        <v>363</v>
      </c>
    </row>
    <row r="41" spans="3:8" ht="13.2" customHeight="1" x14ac:dyDescent="0.25">
      <c r="C41" s="40" t="s">
        <v>364</v>
      </c>
    </row>
    <row r="42" spans="3:8" ht="13.2" customHeight="1" x14ac:dyDescent="0.25">
      <c r="C42" s="40" t="s">
        <v>365</v>
      </c>
    </row>
    <row r="43" spans="3:8" ht="13.2" customHeight="1" x14ac:dyDescent="0.25">
      <c r="C43" s="40" t="s">
        <v>366</v>
      </c>
    </row>
    <row r="44" spans="3:8" ht="13.2" customHeight="1" x14ac:dyDescent="0.25">
      <c r="C44" s="40" t="s">
        <v>367</v>
      </c>
    </row>
    <row r="45" spans="3:8" ht="13.2" customHeight="1" x14ac:dyDescent="0.25">
      <c r="C45" s="40" t="s">
        <v>368</v>
      </c>
    </row>
    <row r="46" spans="3:8" ht="13.2" customHeight="1" x14ac:dyDescent="0.25">
      <c r="C46" s="40" t="s">
        <v>369</v>
      </c>
    </row>
    <row r="47" spans="3:8" ht="13.2" customHeight="1" x14ac:dyDescent="0.25">
      <c r="C47" s="40" t="s">
        <v>370</v>
      </c>
    </row>
    <row r="48" spans="3:8" ht="13.2" customHeight="1" x14ac:dyDescent="0.25">
      <c r="C48" s="40" t="s">
        <v>371</v>
      </c>
    </row>
    <row r="49" spans="3:3" ht="13.2" customHeight="1" x14ac:dyDescent="0.25">
      <c r="C49" s="40" t="s">
        <v>372</v>
      </c>
    </row>
    <row r="50" spans="3:3" ht="13.2" customHeight="1" x14ac:dyDescent="0.25">
      <c r="C50" s="40" t="s">
        <v>373</v>
      </c>
    </row>
    <row r="51" spans="3:3" ht="13.2" customHeight="1" x14ac:dyDescent="0.25">
      <c r="C51" s="40" t="s">
        <v>374</v>
      </c>
    </row>
    <row r="52" spans="3:3" ht="13.2" customHeight="1" x14ac:dyDescent="0.25">
      <c r="C52" s="40" t="s">
        <v>375</v>
      </c>
    </row>
    <row r="53" spans="3:3" ht="13.2" customHeight="1" x14ac:dyDescent="0.25">
      <c r="C53" s="40" t="s">
        <v>376</v>
      </c>
    </row>
    <row r="54" spans="3:3" ht="13.2" customHeight="1" x14ac:dyDescent="0.25">
      <c r="C54" s="40" t="s">
        <v>377</v>
      </c>
    </row>
    <row r="55" spans="3:3" ht="13.2" customHeight="1" x14ac:dyDescent="0.25">
      <c r="C55" s="40" t="s">
        <v>378</v>
      </c>
    </row>
    <row r="56" spans="3:3" ht="13.2" customHeight="1" x14ac:dyDescent="0.25">
      <c r="C56" s="40" t="s">
        <v>379</v>
      </c>
    </row>
    <row r="57" spans="3:3" ht="13.2" customHeight="1" x14ac:dyDescent="0.25">
      <c r="C57" s="40" t="s">
        <v>380</v>
      </c>
    </row>
    <row r="58" spans="3:3" ht="13.2" customHeight="1" x14ac:dyDescent="0.25">
      <c r="C58" s="40" t="s">
        <v>381</v>
      </c>
    </row>
    <row r="59" spans="3:3" ht="13.2" customHeight="1" x14ac:dyDescent="0.25">
      <c r="C59" s="40" t="s">
        <v>382</v>
      </c>
    </row>
    <row r="60" spans="3:3" ht="13.2" customHeight="1" x14ac:dyDescent="0.25">
      <c r="C60" s="40" t="s">
        <v>383</v>
      </c>
    </row>
    <row r="61" spans="3:3" ht="13.2" customHeight="1" x14ac:dyDescent="0.25">
      <c r="C61" s="40" t="s">
        <v>384</v>
      </c>
    </row>
    <row r="62" spans="3:3" ht="13.2" customHeight="1" x14ac:dyDescent="0.25">
      <c r="C62" s="40" t="s">
        <v>385</v>
      </c>
    </row>
    <row r="63" spans="3:3" ht="13.2" customHeight="1" x14ac:dyDescent="0.25">
      <c r="C63" s="40" t="s">
        <v>386</v>
      </c>
    </row>
    <row r="64" spans="3:3" ht="13.2" customHeight="1" x14ac:dyDescent="0.25">
      <c r="C64" s="40" t="s">
        <v>387</v>
      </c>
    </row>
    <row r="65" spans="3:3" ht="13.2" customHeight="1" x14ac:dyDescent="0.25">
      <c r="C65" s="40" t="s">
        <v>388</v>
      </c>
    </row>
    <row r="66" spans="3:3" ht="13.2" customHeight="1" x14ac:dyDescent="0.25">
      <c r="C66" s="40" t="s">
        <v>389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26" sqref="B26"/>
    </sheetView>
  </sheetViews>
  <sheetFormatPr defaultRowHeight="14.4" x14ac:dyDescent="0.3"/>
  <cols>
    <col min="1" max="1" width="15.44140625" customWidth="1"/>
    <col min="2" max="2" width="169.21875" customWidth="1"/>
  </cols>
  <sheetData>
    <row r="1" spans="1:2" x14ac:dyDescent="0.3">
      <c r="A1" t="s">
        <v>311</v>
      </c>
    </row>
    <row r="2" spans="1:2" x14ac:dyDescent="0.3">
      <c r="A2" t="s">
        <v>312</v>
      </c>
    </row>
    <row r="3" spans="1:2" x14ac:dyDescent="0.3">
      <c r="A3" t="s">
        <v>303</v>
      </c>
    </row>
    <row r="4" spans="1:2" x14ac:dyDescent="0.3">
      <c r="A4" t="s">
        <v>353</v>
      </c>
    </row>
    <row r="5" spans="1:2" x14ac:dyDescent="0.3">
      <c r="A5" t="s">
        <v>307</v>
      </c>
    </row>
    <row r="6" spans="1:2" x14ac:dyDescent="0.3">
      <c r="A6" t="s">
        <v>315</v>
      </c>
    </row>
    <row r="7" spans="1:2" x14ac:dyDescent="0.3">
      <c r="A7" t="s">
        <v>349</v>
      </c>
    </row>
    <row r="9" spans="1:2" ht="15" customHeight="1" x14ac:dyDescent="0.3">
      <c r="A9" t="s">
        <v>7</v>
      </c>
      <c r="B9" s="211" t="s">
        <v>390</v>
      </c>
    </row>
    <row r="10" spans="1:2" x14ac:dyDescent="0.3">
      <c r="A10" t="s">
        <v>152</v>
      </c>
      <c r="B10" t="s">
        <v>391</v>
      </c>
    </row>
    <row r="11" spans="1:2" s="73" customFormat="1" x14ac:dyDescent="0.3">
      <c r="A11" s="73" t="s">
        <v>64</v>
      </c>
      <c r="B11" s="73" t="s">
        <v>392</v>
      </c>
    </row>
    <row r="12" spans="1:2" s="73" customFormat="1" x14ac:dyDescent="0.3">
      <c r="A12" s="73" t="s">
        <v>61</v>
      </c>
      <c r="B12" s="73" t="s">
        <v>393</v>
      </c>
    </row>
    <row r="13" spans="1:2" s="73" customFormat="1" x14ac:dyDescent="0.3"/>
    <row r="14" spans="1:2" s="73" customFormat="1" x14ac:dyDescent="0.3"/>
    <row r="16" spans="1:2" x14ac:dyDescent="0.3">
      <c r="A16" s="15" t="s">
        <v>308</v>
      </c>
    </row>
    <row r="17" spans="1:1" x14ac:dyDescent="0.3">
      <c r="A17" t="s">
        <v>309</v>
      </c>
    </row>
    <row r="18" spans="1:1" x14ac:dyDescent="0.3">
      <c r="A18" t="s">
        <v>310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82"/>
  <sheetViews>
    <sheetView topLeftCell="A61" workbookViewId="0">
      <selection activeCell="B75" sqref="B75"/>
    </sheetView>
  </sheetViews>
  <sheetFormatPr defaultColWidth="9.109375" defaultRowHeight="14.4" x14ac:dyDescent="0.3"/>
  <cols>
    <col min="1" max="1" width="20.5546875" style="17" customWidth="1"/>
    <col min="2" max="2" width="34.5546875" style="17" customWidth="1"/>
    <col min="3" max="3" width="9.109375" style="17"/>
    <col min="4" max="4" width="22.33203125" style="17" customWidth="1"/>
    <col min="5" max="5" width="23.109375" style="17" customWidth="1"/>
    <col min="6" max="16384" width="9.109375" style="17"/>
  </cols>
  <sheetData>
    <row r="1" spans="1:12" x14ac:dyDescent="0.3">
      <c r="A1" s="33" t="s">
        <v>68</v>
      </c>
    </row>
    <row r="2" spans="1:12" x14ac:dyDescent="0.3">
      <c r="A2" s="71" t="s">
        <v>139</v>
      </c>
    </row>
    <row r="3" spans="1:12" x14ac:dyDescent="0.3">
      <c r="A3" s="71" t="s">
        <v>189</v>
      </c>
    </row>
    <row r="4" spans="1:12" x14ac:dyDescent="0.3">
      <c r="A4" s="31" t="s">
        <v>140</v>
      </c>
    </row>
    <row r="5" spans="1:12" s="74" customFormat="1" x14ac:dyDescent="0.3">
      <c r="A5" s="31" t="s">
        <v>190</v>
      </c>
    </row>
    <row r="6" spans="1:12" x14ac:dyDescent="0.3">
      <c r="A6" s="31" t="s">
        <v>148</v>
      </c>
    </row>
    <row r="7" spans="1:12" x14ac:dyDescent="0.3">
      <c r="A7" s="71" t="s">
        <v>138</v>
      </c>
    </row>
    <row r="8" spans="1:12" x14ac:dyDescent="0.3">
      <c r="A8" s="71" t="s">
        <v>215</v>
      </c>
    </row>
    <row r="9" spans="1:12" x14ac:dyDescent="0.3">
      <c r="A9" s="71" t="s">
        <v>191</v>
      </c>
    </row>
    <row r="10" spans="1:12" x14ac:dyDescent="0.3">
      <c r="A10" s="31" t="s">
        <v>192</v>
      </c>
    </row>
    <row r="11" spans="1:12" x14ac:dyDescent="0.3">
      <c r="A11" s="31" t="s">
        <v>172</v>
      </c>
    </row>
    <row r="12" spans="1:12" x14ac:dyDescent="0.3">
      <c r="A12" s="31" t="s">
        <v>173</v>
      </c>
    </row>
    <row r="13" spans="1:12" x14ac:dyDescent="0.3">
      <c r="A13" s="71" t="s">
        <v>193</v>
      </c>
    </row>
    <row r="14" spans="1:12" x14ac:dyDescent="0.3">
      <c r="A14" s="31" t="s">
        <v>186</v>
      </c>
      <c r="K14" s="59"/>
      <c r="L14" s="59"/>
    </row>
    <row r="15" spans="1:12" ht="14.4" customHeight="1" x14ac:dyDescent="0.3">
      <c r="A15" s="31" t="s">
        <v>187</v>
      </c>
      <c r="J15" s="74"/>
      <c r="K15" s="59"/>
      <c r="L15" s="59"/>
    </row>
    <row r="16" spans="1:12" x14ac:dyDescent="0.3">
      <c r="A16" s="104" t="s">
        <v>217</v>
      </c>
      <c r="B16" s="105"/>
      <c r="C16" s="105"/>
      <c r="D16" s="105"/>
      <c r="E16" s="105"/>
      <c r="F16" s="105"/>
      <c r="G16" s="105"/>
      <c r="H16" s="105"/>
      <c r="I16" s="105"/>
    </row>
    <row r="17" spans="1:10" x14ac:dyDescent="0.3">
      <c r="A17" s="31" t="s">
        <v>214</v>
      </c>
    </row>
    <row r="18" spans="1:10" x14ac:dyDescent="0.3">
      <c r="A18" s="71"/>
    </row>
    <row r="19" spans="1:10" x14ac:dyDescent="0.3">
      <c r="A19" s="104" t="s">
        <v>216</v>
      </c>
      <c r="B19" s="105"/>
      <c r="C19" s="105"/>
      <c r="D19" s="105"/>
      <c r="E19" s="105"/>
      <c r="F19" s="105"/>
      <c r="G19" s="105"/>
      <c r="H19" s="105"/>
      <c r="I19" s="105"/>
    </row>
    <row r="20" spans="1:10" x14ac:dyDescent="0.3">
      <c r="A20" s="31" t="s">
        <v>144</v>
      </c>
    </row>
    <row r="21" spans="1:10" s="74" customFormat="1" x14ac:dyDescent="0.3">
      <c r="A21" s="31" t="s">
        <v>194</v>
      </c>
      <c r="F21" s="17"/>
      <c r="G21" s="17"/>
      <c r="H21" s="17"/>
      <c r="I21" s="17"/>
      <c r="J21" s="105"/>
    </row>
    <row r="22" spans="1:10" x14ac:dyDescent="0.3">
      <c r="A22" s="31" t="s">
        <v>222</v>
      </c>
    </row>
    <row r="23" spans="1:10" x14ac:dyDescent="0.3">
      <c r="A23" s="31" t="s">
        <v>141</v>
      </c>
    </row>
    <row r="24" spans="1:10" x14ac:dyDescent="0.3">
      <c r="A24" s="31"/>
    </row>
    <row r="25" spans="1:10" x14ac:dyDescent="0.3">
      <c r="A25" s="104" t="s">
        <v>221</v>
      </c>
      <c r="B25" s="105"/>
      <c r="C25" s="105"/>
      <c r="D25" s="105"/>
      <c r="E25" s="105"/>
      <c r="F25" s="105"/>
      <c r="G25" s="105"/>
      <c r="H25" s="105"/>
      <c r="I25" s="105"/>
    </row>
    <row r="26" spans="1:10" x14ac:dyDescent="0.3">
      <c r="A26" s="71"/>
    </row>
    <row r="27" spans="1:10" x14ac:dyDescent="0.3">
      <c r="A27" s="72"/>
    </row>
    <row r="28" spans="1:10" x14ac:dyDescent="0.3">
      <c r="A28" s="33" t="s">
        <v>84</v>
      </c>
    </row>
    <row r="29" spans="1:10" x14ac:dyDescent="0.3">
      <c r="A29" s="33"/>
    </row>
    <row r="30" spans="1:10" x14ac:dyDescent="0.3">
      <c r="A30" s="32" t="s">
        <v>11</v>
      </c>
      <c r="B30" s="59"/>
    </row>
    <row r="31" spans="1:10" x14ac:dyDescent="0.3">
      <c r="A31" s="95" t="s">
        <v>174</v>
      </c>
      <c r="B31" s="59"/>
    </row>
    <row r="32" spans="1:10" x14ac:dyDescent="0.3">
      <c r="A32" s="31" t="s">
        <v>175</v>
      </c>
      <c r="B32" s="31" t="s">
        <v>176</v>
      </c>
    </row>
    <row r="33" spans="1:5" x14ac:dyDescent="0.3">
      <c r="A33" s="31" t="s">
        <v>177</v>
      </c>
      <c r="B33" s="31" t="s">
        <v>178</v>
      </c>
      <c r="E33" s="94"/>
    </row>
    <row r="34" spans="1:5" x14ac:dyDescent="0.3">
      <c r="A34" s="31" t="s">
        <v>179</v>
      </c>
      <c r="B34" s="31" t="s">
        <v>180</v>
      </c>
    </row>
    <row r="35" spans="1:5" x14ac:dyDescent="0.3">
      <c r="A35" s="31"/>
      <c r="B35" s="59"/>
    </row>
    <row r="36" spans="1:5" x14ac:dyDescent="0.3">
      <c r="A36" s="95" t="s">
        <v>181</v>
      </c>
      <c r="B36" s="59"/>
    </row>
    <row r="37" spans="1:5" x14ac:dyDescent="0.3">
      <c r="A37" s="31" t="s">
        <v>182</v>
      </c>
      <c r="B37" s="31" t="s">
        <v>176</v>
      </c>
    </row>
    <row r="38" spans="1:5" x14ac:dyDescent="0.3">
      <c r="A38" s="31" t="s">
        <v>183</v>
      </c>
      <c r="B38" s="31" t="s">
        <v>184</v>
      </c>
    </row>
    <row r="39" spans="1:5" x14ac:dyDescent="0.3">
      <c r="A39" s="31" t="s">
        <v>185</v>
      </c>
      <c r="B39" s="31" t="s">
        <v>180</v>
      </c>
    </row>
    <row r="40" spans="1:5" x14ac:dyDescent="0.3">
      <c r="A40" s="31"/>
      <c r="B40" s="59"/>
    </row>
    <row r="41" spans="1:5" s="59" customFormat="1" x14ac:dyDescent="0.3">
      <c r="A41" s="31"/>
    </row>
    <row r="42" spans="1:5" x14ac:dyDescent="0.3">
      <c r="A42" s="33" t="s">
        <v>12</v>
      </c>
    </row>
    <row r="43" spans="1:5" x14ac:dyDescent="0.3">
      <c r="A43" s="71" t="s">
        <v>13</v>
      </c>
    </row>
    <row r="44" spans="1:5" x14ac:dyDescent="0.3">
      <c r="A44" s="71" t="s">
        <v>14</v>
      </c>
    </row>
    <row r="45" spans="1:5" x14ac:dyDescent="0.3">
      <c r="A45" s="71" t="s">
        <v>15</v>
      </c>
    </row>
    <row r="46" spans="1:5" x14ac:dyDescent="0.3">
      <c r="A46" s="71" t="s">
        <v>16</v>
      </c>
    </row>
    <row r="47" spans="1:5" x14ac:dyDescent="0.3">
      <c r="A47" s="71" t="s">
        <v>17</v>
      </c>
    </row>
    <row r="48" spans="1:5" x14ac:dyDescent="0.3">
      <c r="A48" s="71" t="s">
        <v>18</v>
      </c>
    </row>
    <row r="49" spans="1:12" x14ac:dyDescent="0.3">
      <c r="A49" s="71" t="s">
        <v>19</v>
      </c>
    </row>
    <row r="50" spans="1:12" x14ac:dyDescent="0.3">
      <c r="A50" s="71" t="s">
        <v>20</v>
      </c>
    </row>
    <row r="51" spans="1:12" x14ac:dyDescent="0.3">
      <c r="A51" s="71" t="s">
        <v>21</v>
      </c>
    </row>
    <row r="52" spans="1:12" x14ac:dyDescent="0.3">
      <c r="A52" s="71" t="s">
        <v>91</v>
      </c>
    </row>
    <row r="53" spans="1:12" x14ac:dyDescent="0.3">
      <c r="A53" s="71"/>
    </row>
    <row r="54" spans="1:12" x14ac:dyDescent="0.3">
      <c r="A54" s="32" t="s">
        <v>188</v>
      </c>
    </row>
    <row r="55" spans="1:12" x14ac:dyDescent="0.3">
      <c r="A55" s="31" t="s">
        <v>142</v>
      </c>
      <c r="B55" s="71"/>
      <c r="C55" s="71"/>
    </row>
    <row r="56" spans="1:12" s="74" customFormat="1" x14ac:dyDescent="0.3">
      <c r="A56" s="31" t="s">
        <v>137</v>
      </c>
      <c r="B56" s="71"/>
      <c r="C56" s="71"/>
    </row>
    <row r="57" spans="1:12" s="74" customFormat="1" x14ac:dyDescent="0.3">
      <c r="A57" s="31" t="s">
        <v>143</v>
      </c>
      <c r="B57" s="71"/>
      <c r="C57" s="71"/>
    </row>
    <row r="58" spans="1:12" x14ac:dyDescent="0.3">
      <c r="A58" s="71"/>
      <c r="B58" s="71"/>
      <c r="C58" s="71"/>
    </row>
    <row r="59" spans="1:12" x14ac:dyDescent="0.3">
      <c r="A59" s="33" t="s">
        <v>22</v>
      </c>
    </row>
    <row r="60" spans="1:12" x14ac:dyDescent="0.3">
      <c r="A60" s="71" t="s">
        <v>23</v>
      </c>
    </row>
    <row r="61" spans="1:12" x14ac:dyDescent="0.3">
      <c r="A61" s="33" t="s">
        <v>24</v>
      </c>
    </row>
    <row r="62" spans="1:12" x14ac:dyDescent="0.3">
      <c r="A62" s="71" t="s">
        <v>78</v>
      </c>
      <c r="L62" s="74"/>
    </row>
    <row r="63" spans="1:12" x14ac:dyDescent="0.3">
      <c r="A63" s="31" t="s">
        <v>218</v>
      </c>
      <c r="B63" s="59"/>
      <c r="C63" s="59"/>
      <c r="D63" s="59"/>
      <c r="E63" s="59"/>
      <c r="F63" s="59"/>
      <c r="G63" s="59"/>
      <c r="H63" s="59"/>
      <c r="I63" s="59"/>
    </row>
    <row r="64" spans="1:12" s="74" customFormat="1" x14ac:dyDescent="0.3">
      <c r="A64" s="71"/>
    </row>
    <row r="65" spans="1:7" x14ac:dyDescent="0.3">
      <c r="A65" s="41" t="s">
        <v>213</v>
      </c>
      <c r="G65" s="71"/>
    </row>
    <row r="66" spans="1:7" x14ac:dyDescent="0.3">
      <c r="A66" s="31"/>
      <c r="E66" s="71"/>
      <c r="G66" s="71"/>
    </row>
    <row r="67" spans="1:7" x14ac:dyDescent="0.3">
      <c r="A67" s="32" t="s">
        <v>246</v>
      </c>
      <c r="B67" s="76" t="s">
        <v>250</v>
      </c>
      <c r="G67" s="71"/>
    </row>
    <row r="68" spans="1:7" x14ac:dyDescent="0.3">
      <c r="A68" s="32"/>
      <c r="B68" s="76" t="s">
        <v>251</v>
      </c>
      <c r="G68" s="71"/>
    </row>
    <row r="69" spans="1:7" s="74" customFormat="1" x14ac:dyDescent="0.3">
      <c r="A69" s="32"/>
      <c r="B69" s="76"/>
      <c r="G69" s="71"/>
    </row>
    <row r="70" spans="1:7" x14ac:dyDescent="0.3">
      <c r="A70" s="32" t="s">
        <v>253</v>
      </c>
      <c r="B70" s="76" t="s">
        <v>255</v>
      </c>
    </row>
    <row r="71" spans="1:7" x14ac:dyDescent="0.3">
      <c r="A71" s="61"/>
      <c r="B71" s="132" t="s">
        <v>252</v>
      </c>
    </row>
    <row r="72" spans="1:7" s="74" customFormat="1" x14ac:dyDescent="0.3">
      <c r="A72" s="61"/>
      <c r="B72" s="132"/>
    </row>
    <row r="73" spans="1:7" x14ac:dyDescent="0.3">
      <c r="A73" s="32" t="s">
        <v>245</v>
      </c>
      <c r="B73" s="76" t="s">
        <v>256</v>
      </c>
    </row>
    <row r="74" spans="1:7" s="74" customFormat="1" x14ac:dyDescent="0.3">
      <c r="A74" s="32"/>
      <c r="B74" s="76"/>
    </row>
    <row r="75" spans="1:7" x14ac:dyDescent="0.3">
      <c r="A75" s="32" t="s">
        <v>261</v>
      </c>
      <c r="B75" s="76" t="s">
        <v>257</v>
      </c>
      <c r="E75" s="74"/>
    </row>
    <row r="76" spans="1:7" s="74" customFormat="1" x14ac:dyDescent="0.3">
      <c r="A76" s="32"/>
      <c r="B76" s="76"/>
      <c r="E76" s="17"/>
    </row>
    <row r="77" spans="1:7" x14ac:dyDescent="0.3">
      <c r="A77" s="61" t="s">
        <v>260</v>
      </c>
      <c r="B77" s="76" t="s">
        <v>258</v>
      </c>
    </row>
    <row r="78" spans="1:7" x14ac:dyDescent="0.3">
      <c r="B78" s="135" t="s">
        <v>300</v>
      </c>
    </row>
    <row r="80" spans="1:7" x14ac:dyDescent="0.3">
      <c r="A80" s="61" t="s">
        <v>302</v>
      </c>
      <c r="B80" s="17" t="s">
        <v>358</v>
      </c>
    </row>
    <row r="82" spans="1:2" x14ac:dyDescent="0.3">
      <c r="A82" s="17" t="s">
        <v>356</v>
      </c>
      <c r="B82" s="17" t="s">
        <v>357</v>
      </c>
    </row>
  </sheetData>
  <hyperlinks>
    <hyperlink ref="B71"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24" sqref="B24"/>
    </sheetView>
  </sheetViews>
  <sheetFormatPr defaultRowHeight="14.4" x14ac:dyDescent="0.3"/>
  <cols>
    <col min="1" max="1" width="23.77734375" bestFit="1" customWidth="1"/>
    <col min="3" max="3" width="32.5546875" bestFit="1" customWidth="1"/>
  </cols>
  <sheetData>
    <row r="2" spans="1:3" x14ac:dyDescent="0.3">
      <c r="A2" t="s">
        <v>153</v>
      </c>
      <c r="C2" s="109" t="s">
        <v>224</v>
      </c>
    </row>
    <row r="3" spans="1:3" x14ac:dyDescent="0.3">
      <c r="A3" t="s">
        <v>7</v>
      </c>
      <c r="C3" s="109" t="s">
        <v>225</v>
      </c>
    </row>
    <row r="4" spans="1:3" x14ac:dyDescent="0.3">
      <c r="A4" t="s">
        <v>103</v>
      </c>
      <c r="C4" s="109" t="s">
        <v>226</v>
      </c>
    </row>
    <row r="5" spans="1:3" x14ac:dyDescent="0.3">
      <c r="A5" t="s">
        <v>117</v>
      </c>
      <c r="C5" s="57" t="s">
        <v>227</v>
      </c>
    </row>
    <row r="6" spans="1:3" x14ac:dyDescent="0.3">
      <c r="A6" t="s">
        <v>67</v>
      </c>
      <c r="C6" t="s">
        <v>228</v>
      </c>
    </row>
    <row r="7" spans="1:3" x14ac:dyDescent="0.3">
      <c r="A7" t="s">
        <v>111</v>
      </c>
      <c r="C7" t="s">
        <v>229</v>
      </c>
    </row>
    <row r="8" spans="1:3" x14ac:dyDescent="0.3">
      <c r="A8" t="s">
        <v>66</v>
      </c>
      <c r="C8" t="s">
        <v>230</v>
      </c>
    </row>
    <row r="9" spans="1:3" x14ac:dyDescent="0.3">
      <c r="A9" t="s">
        <v>223</v>
      </c>
      <c r="C9" t="s">
        <v>231</v>
      </c>
    </row>
    <row r="10" spans="1:3" x14ac:dyDescent="0.3">
      <c r="A10" t="s">
        <v>196</v>
      </c>
      <c r="C10" t="s">
        <v>232</v>
      </c>
    </row>
    <row r="11" spans="1:3" x14ac:dyDescent="0.3">
      <c r="A11" t="s">
        <v>100</v>
      </c>
      <c r="C11" t="s">
        <v>233</v>
      </c>
    </row>
    <row r="12" spans="1:3" x14ac:dyDescent="0.3">
      <c r="A12" t="s">
        <v>154</v>
      </c>
      <c r="C12" t="s">
        <v>234</v>
      </c>
    </row>
    <row r="13" spans="1:3" x14ac:dyDescent="0.3">
      <c r="A13" t="s">
        <v>202</v>
      </c>
      <c r="C13" t="s">
        <v>235</v>
      </c>
    </row>
    <row r="14" spans="1:3" x14ac:dyDescent="0.3">
      <c r="A14" t="s">
        <v>65</v>
      </c>
      <c r="C14" t="s">
        <v>236</v>
      </c>
    </row>
    <row r="15" spans="1:3" x14ac:dyDescent="0.3">
      <c r="A15" t="s">
        <v>152</v>
      </c>
      <c r="C15" t="s">
        <v>237</v>
      </c>
    </row>
    <row r="16" spans="1:3" x14ac:dyDescent="0.3">
      <c r="A16" s="73" t="s">
        <v>61</v>
      </c>
      <c r="C16" t="s">
        <v>238</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D146"/>
  <sheetViews>
    <sheetView workbookViewId="0">
      <selection activeCell="M12" sqref="M12:N16"/>
    </sheetView>
  </sheetViews>
  <sheetFormatPr defaultColWidth="9.109375" defaultRowHeight="12" customHeight="1" x14ac:dyDescent="0.25"/>
  <cols>
    <col min="1" max="4" width="9.109375" style="2"/>
    <col min="5" max="5" width="1.88671875" style="2" customWidth="1"/>
    <col min="6" max="6" width="9.109375" style="2"/>
    <col min="7" max="7" width="9.33203125" style="2" bestFit="1" customWidth="1"/>
    <col min="8" max="9" width="9.109375" style="2"/>
    <col min="10" max="10" width="1.44140625" style="2" customWidth="1"/>
    <col min="11" max="11" width="1.6640625" style="2" customWidth="1"/>
    <col min="12" max="12" width="7.21875" style="2" bestFit="1" customWidth="1"/>
    <col min="13" max="13" width="21.33203125" style="2" bestFit="1" customWidth="1"/>
    <col min="14" max="14" width="23.5546875" style="2" bestFit="1" customWidth="1"/>
    <col min="15" max="16" width="9.109375" style="2"/>
    <col min="17" max="17" width="7" style="2" customWidth="1"/>
    <col min="18" max="18" width="2.33203125" style="2" customWidth="1"/>
    <col min="19" max="19" width="9.109375" style="2"/>
    <col min="20" max="20" width="9.109375" style="175"/>
    <col min="21" max="21" width="1.6640625" style="2" customWidth="1"/>
    <col min="22" max="22" width="6.44140625" style="2" customWidth="1"/>
    <col min="23" max="23" width="9.109375" style="2"/>
    <col min="24" max="24" width="9.109375" style="175"/>
    <col min="25" max="25" width="9.109375" style="2"/>
    <col min="26" max="26" width="1.88671875" style="2" customWidth="1"/>
    <col min="27" max="29" width="9.109375" style="2"/>
    <col min="30" max="30" width="9.109375" style="175"/>
    <col min="31" max="16384" width="9.109375" style="2"/>
  </cols>
  <sheetData>
    <row r="1" spans="1:30" ht="24" customHeight="1" x14ac:dyDescent="0.25">
      <c r="A1" s="19" t="s">
        <v>70</v>
      </c>
      <c r="B1" s="3" t="s">
        <v>25</v>
      </c>
      <c r="C1" s="4" t="s">
        <v>199</v>
      </c>
      <c r="D1" s="3" t="s">
        <v>27</v>
      </c>
      <c r="E1" s="5"/>
      <c r="F1" s="20" t="s">
        <v>72</v>
      </c>
      <c r="G1" s="7" t="s">
        <v>25</v>
      </c>
      <c r="H1" s="6" t="s">
        <v>28</v>
      </c>
      <c r="I1" s="7" t="s">
        <v>27</v>
      </c>
      <c r="J1" s="5"/>
      <c r="K1" s="5"/>
      <c r="L1" s="16" t="s">
        <v>29</v>
      </c>
      <c r="M1" s="16" t="s">
        <v>94</v>
      </c>
      <c r="N1" s="16" t="s">
        <v>95</v>
      </c>
      <c r="O1" s="35" t="s">
        <v>34</v>
      </c>
      <c r="P1" s="35" t="s">
        <v>36</v>
      </c>
      <c r="Q1" s="35" t="s">
        <v>108</v>
      </c>
      <c r="S1" s="3" t="s">
        <v>93</v>
      </c>
      <c r="T1" s="174" t="s">
        <v>26</v>
      </c>
      <c r="V1" s="20" t="s">
        <v>92</v>
      </c>
      <c r="W1" s="7" t="s">
        <v>25</v>
      </c>
      <c r="X1" s="176" t="s">
        <v>28</v>
      </c>
      <c r="Y1" s="7" t="s">
        <v>27</v>
      </c>
    </row>
    <row r="2" spans="1:30" ht="12" customHeight="1" x14ac:dyDescent="0.25">
      <c r="A2" s="8" t="s">
        <v>30</v>
      </c>
      <c r="B2" s="170">
        <v>0</v>
      </c>
      <c r="C2" s="170">
        <v>0</v>
      </c>
      <c r="D2" s="170">
        <v>2.4900000000000002</v>
      </c>
      <c r="E2" s="5"/>
      <c r="F2" s="9" t="s">
        <v>30</v>
      </c>
      <c r="G2" s="10">
        <v>1.1574074074074073E-5</v>
      </c>
      <c r="H2" s="172">
        <v>5</v>
      </c>
      <c r="I2" s="10">
        <v>3.1249999999999997E-3</v>
      </c>
      <c r="J2" s="5"/>
      <c r="K2" s="5"/>
      <c r="L2" s="168">
        <v>1</v>
      </c>
      <c r="M2" s="34">
        <v>44445</v>
      </c>
      <c r="N2" s="34">
        <f>M2+6</f>
        <v>44451</v>
      </c>
      <c r="O2" s="25">
        <v>0.75</v>
      </c>
      <c r="P2" s="25">
        <v>0.25</v>
      </c>
      <c r="Q2" s="25" t="s">
        <v>109</v>
      </c>
      <c r="S2" s="178">
        <v>0</v>
      </c>
      <c r="T2" s="170">
        <v>0</v>
      </c>
      <c r="V2" s="9" t="s">
        <v>30</v>
      </c>
      <c r="W2" s="10">
        <v>2.5000000000000001E-3</v>
      </c>
      <c r="X2" s="172">
        <v>9.8999999999999986</v>
      </c>
      <c r="Y2" s="10">
        <v>2.5462962962963E-3</v>
      </c>
      <c r="AC2" s="72"/>
      <c r="AD2" s="175">
        <v>6.6</v>
      </c>
    </row>
    <row r="3" spans="1:30" ht="12" customHeight="1" x14ac:dyDescent="0.25">
      <c r="A3" s="8" t="s">
        <v>30</v>
      </c>
      <c r="B3" s="170">
        <v>2.5</v>
      </c>
      <c r="C3" s="170" t="s">
        <v>198</v>
      </c>
      <c r="D3" s="170">
        <v>20</v>
      </c>
      <c r="E3" s="5"/>
      <c r="F3" s="9" t="s">
        <v>30</v>
      </c>
      <c r="G3" s="10">
        <v>3.1365740740740742E-3</v>
      </c>
      <c r="H3" s="172">
        <v>4.5</v>
      </c>
      <c r="I3" s="10">
        <v>3.2986111111111111E-3</v>
      </c>
      <c r="J3" s="5"/>
      <c r="K3" s="5"/>
      <c r="L3" s="168">
        <v>2</v>
      </c>
      <c r="M3" s="34">
        <f>M2+7</f>
        <v>44452</v>
      </c>
      <c r="N3" s="34">
        <f>N2+7</f>
        <v>44458</v>
      </c>
      <c r="O3" s="25">
        <v>0.25</v>
      </c>
      <c r="P3" s="25">
        <v>0.75</v>
      </c>
      <c r="Q3" s="25" t="s">
        <v>110</v>
      </c>
      <c r="S3" s="178">
        <v>23</v>
      </c>
      <c r="T3" s="170">
        <v>0.1</v>
      </c>
      <c r="V3" s="9" t="s">
        <v>30</v>
      </c>
      <c r="W3" s="10">
        <v>2.5578703703703705E-3</v>
      </c>
      <c r="X3" s="172">
        <v>8.25</v>
      </c>
      <c r="Y3" s="10">
        <v>2.6041666666666665E-3</v>
      </c>
      <c r="AC3" s="72"/>
      <c r="AD3" s="175">
        <v>5.5</v>
      </c>
    </row>
    <row r="4" spans="1:30" ht="12" customHeight="1" x14ac:dyDescent="0.25">
      <c r="A4" s="85" t="s">
        <v>30</v>
      </c>
      <c r="B4" s="171">
        <v>20</v>
      </c>
      <c r="C4" s="171">
        <v>5</v>
      </c>
      <c r="D4" s="171"/>
      <c r="E4" s="5"/>
      <c r="F4" s="9" t="s">
        <v>30</v>
      </c>
      <c r="G4" s="10">
        <v>3.3101851851851851E-3</v>
      </c>
      <c r="H4" s="172">
        <v>4</v>
      </c>
      <c r="I4" s="10">
        <v>3.472222222222222E-3</v>
      </c>
      <c r="J4" s="5"/>
      <c r="K4" s="5"/>
      <c r="L4" s="168">
        <v>3</v>
      </c>
      <c r="M4" s="34">
        <f t="shared" ref="M4:M16" si="0">M3+7</f>
        <v>44459</v>
      </c>
      <c r="N4" s="34">
        <f t="shared" ref="N4:N16" si="1">N3+7</f>
        <v>44465</v>
      </c>
      <c r="O4" s="25">
        <v>0.75</v>
      </c>
      <c r="P4" s="25">
        <v>0.25</v>
      </c>
      <c r="Q4" s="25" t="s">
        <v>109</v>
      </c>
      <c r="S4" s="178">
        <f>S3+2</f>
        <v>25</v>
      </c>
      <c r="T4" s="170">
        <v>0.2</v>
      </c>
      <c r="V4" s="9" t="s">
        <v>30</v>
      </c>
      <c r="W4" s="10">
        <v>2.615740740740741E-3</v>
      </c>
      <c r="X4" s="172">
        <v>6.75</v>
      </c>
      <c r="Y4" s="10">
        <v>2.6620370370370374E-3</v>
      </c>
      <c r="AC4" s="72"/>
      <c r="AD4" s="175">
        <v>4.5</v>
      </c>
    </row>
    <row r="5" spans="1:30" ht="12" customHeight="1" x14ac:dyDescent="0.25">
      <c r="A5" s="85" t="s">
        <v>31</v>
      </c>
      <c r="B5" s="171">
        <v>0</v>
      </c>
      <c r="C5" s="171">
        <v>0</v>
      </c>
      <c r="D5" s="171">
        <v>2.99</v>
      </c>
      <c r="E5" s="5"/>
      <c r="F5" s="9" t="s">
        <v>30</v>
      </c>
      <c r="G5" s="10">
        <v>3.483796296296296E-3</v>
      </c>
      <c r="H5" s="172">
        <v>3.5</v>
      </c>
      <c r="I5" s="10">
        <v>3.645833333333333E-3</v>
      </c>
      <c r="J5" s="5"/>
      <c r="K5" s="5"/>
      <c r="L5" s="168">
        <v>4</v>
      </c>
      <c r="M5" s="34">
        <f t="shared" si="0"/>
        <v>44466</v>
      </c>
      <c r="N5" s="34">
        <f t="shared" si="1"/>
        <v>44472</v>
      </c>
      <c r="O5" s="25">
        <v>0.25</v>
      </c>
      <c r="P5" s="25">
        <v>0.75</v>
      </c>
      <c r="Q5" s="25" t="s">
        <v>110</v>
      </c>
      <c r="S5" s="178">
        <f>S4+2</f>
        <v>27</v>
      </c>
      <c r="T5" s="170">
        <v>0.3</v>
      </c>
      <c r="V5" s="9" t="s">
        <v>30</v>
      </c>
      <c r="W5" s="10">
        <v>2.673611111111111E-3</v>
      </c>
      <c r="X5" s="172">
        <v>5.4</v>
      </c>
      <c r="Y5" s="10">
        <v>2.7199074074074074E-3</v>
      </c>
      <c r="AC5" s="72"/>
      <c r="AD5" s="175">
        <v>3.6</v>
      </c>
    </row>
    <row r="6" spans="1:30" ht="12" customHeight="1" x14ac:dyDescent="0.25">
      <c r="A6" s="85" t="s">
        <v>31</v>
      </c>
      <c r="B6" s="171">
        <v>3</v>
      </c>
      <c r="C6" s="171" t="s">
        <v>200</v>
      </c>
      <c r="D6" s="171">
        <v>21</v>
      </c>
      <c r="E6" s="5"/>
      <c r="F6" s="9" t="s">
        <v>30</v>
      </c>
      <c r="G6" s="10">
        <v>3.6574074074074074E-3</v>
      </c>
      <c r="H6" s="172">
        <v>3</v>
      </c>
      <c r="I6" s="10">
        <v>3.8194444444444443E-3</v>
      </c>
      <c r="J6" s="5"/>
      <c r="K6" s="5"/>
      <c r="L6" s="168">
        <v>5</v>
      </c>
      <c r="M6" s="34">
        <f t="shared" si="0"/>
        <v>44473</v>
      </c>
      <c r="N6" s="34">
        <f t="shared" si="1"/>
        <v>44479</v>
      </c>
      <c r="O6" s="25">
        <v>0.75</v>
      </c>
      <c r="P6" s="25">
        <v>0.25</v>
      </c>
      <c r="Q6" s="25" t="s">
        <v>109</v>
      </c>
      <c r="S6" s="178">
        <f t="shared" ref="S6:S41" si="2">S5+2</f>
        <v>29</v>
      </c>
      <c r="T6" s="170">
        <v>0.4</v>
      </c>
      <c r="V6" s="9" t="s">
        <v>30</v>
      </c>
      <c r="W6" s="10">
        <v>2.7314814814814819E-3</v>
      </c>
      <c r="X6" s="172">
        <v>4.1999999999999993</v>
      </c>
      <c r="Y6" s="10">
        <v>2.7777777777777779E-3</v>
      </c>
      <c r="AC6" s="72"/>
      <c r="AD6" s="175">
        <v>2.8</v>
      </c>
    </row>
    <row r="7" spans="1:30" ht="12" customHeight="1" x14ac:dyDescent="0.25">
      <c r="A7" s="85" t="s">
        <v>31</v>
      </c>
      <c r="B7" s="171">
        <v>21</v>
      </c>
      <c r="C7" s="171">
        <v>5</v>
      </c>
      <c r="D7" s="171"/>
      <c r="E7" s="5"/>
      <c r="F7" s="9" t="s">
        <v>30</v>
      </c>
      <c r="G7" s="10">
        <v>3.8310185185185183E-3</v>
      </c>
      <c r="H7" s="172">
        <v>2.5</v>
      </c>
      <c r="I7" s="10">
        <v>3.9930555555555561E-3</v>
      </c>
      <c r="J7" s="5"/>
      <c r="K7" s="5"/>
      <c r="L7" s="168">
        <v>6</v>
      </c>
      <c r="M7" s="34">
        <f t="shared" si="0"/>
        <v>44480</v>
      </c>
      <c r="N7" s="34">
        <f t="shared" si="1"/>
        <v>44486</v>
      </c>
      <c r="O7" s="25">
        <v>0.25</v>
      </c>
      <c r="P7" s="25">
        <v>0.75</v>
      </c>
      <c r="Q7" s="25" t="s">
        <v>110</v>
      </c>
      <c r="S7" s="178">
        <f t="shared" si="2"/>
        <v>31</v>
      </c>
      <c r="T7" s="170">
        <v>0.5</v>
      </c>
      <c r="V7" s="9" t="s">
        <v>30</v>
      </c>
      <c r="W7" s="10">
        <v>2.7893518518518519E-3</v>
      </c>
      <c r="X7" s="172">
        <v>3.1500000000000004</v>
      </c>
      <c r="Y7" s="10">
        <v>2.8356481481481479E-3</v>
      </c>
      <c r="AC7" s="72"/>
      <c r="AD7" s="175">
        <v>2.1</v>
      </c>
    </row>
    <row r="8" spans="1:30" s="72" customFormat="1" ht="12" customHeight="1" x14ac:dyDescent="0.25">
      <c r="A8" s="5"/>
      <c r="B8" s="5"/>
      <c r="C8" s="5"/>
      <c r="D8" s="5"/>
      <c r="E8" s="86"/>
      <c r="F8" s="87" t="s">
        <v>30</v>
      </c>
      <c r="G8" s="88">
        <v>4.0046296296296297E-3</v>
      </c>
      <c r="H8" s="173">
        <v>2</v>
      </c>
      <c r="I8" s="88">
        <v>4.1666666666666666E-3</v>
      </c>
      <c r="J8" s="86"/>
      <c r="K8" s="86"/>
      <c r="L8" s="168">
        <v>7</v>
      </c>
      <c r="M8" s="34">
        <f t="shared" si="0"/>
        <v>44487</v>
      </c>
      <c r="N8" s="34">
        <f t="shared" si="1"/>
        <v>44493</v>
      </c>
      <c r="O8" s="25">
        <v>0.75</v>
      </c>
      <c r="P8" s="25">
        <v>0.25</v>
      </c>
      <c r="Q8" s="25" t="s">
        <v>109</v>
      </c>
      <c r="S8" s="179">
        <f t="shared" si="2"/>
        <v>33</v>
      </c>
      <c r="T8" s="171">
        <v>0.6</v>
      </c>
      <c r="V8" s="87" t="s">
        <v>30</v>
      </c>
      <c r="W8" s="88">
        <v>2.8472222222222219E-3</v>
      </c>
      <c r="X8" s="173">
        <v>2.25</v>
      </c>
      <c r="Y8" s="88">
        <v>2.8935185185185188E-3</v>
      </c>
      <c r="AD8" s="177">
        <v>1.5</v>
      </c>
    </row>
    <row r="9" spans="1:30" s="72" customFormat="1" ht="12" customHeight="1" x14ac:dyDescent="0.25">
      <c r="A9" s="5"/>
      <c r="B9" s="5"/>
      <c r="C9" s="5"/>
      <c r="D9" s="5"/>
      <c r="E9" s="86"/>
      <c r="F9" s="87" t="s">
        <v>30</v>
      </c>
      <c r="G9" s="88">
        <v>4.1782407407407402E-3</v>
      </c>
      <c r="H9" s="173">
        <v>1.5</v>
      </c>
      <c r="I9" s="88">
        <v>4.5138888888888893E-3</v>
      </c>
      <c r="J9" s="86"/>
      <c r="K9" s="86"/>
      <c r="L9" s="168">
        <v>8</v>
      </c>
      <c r="M9" s="34">
        <f t="shared" si="0"/>
        <v>44494</v>
      </c>
      <c r="N9" s="34">
        <f t="shared" si="1"/>
        <v>44500</v>
      </c>
      <c r="O9" s="25">
        <v>0.25</v>
      </c>
      <c r="P9" s="25">
        <v>0.75</v>
      </c>
      <c r="Q9" s="25" t="s">
        <v>110</v>
      </c>
      <c r="S9" s="179">
        <f t="shared" si="2"/>
        <v>35</v>
      </c>
      <c r="T9" s="171">
        <v>0.7</v>
      </c>
      <c r="V9" s="87" t="s">
        <v>30</v>
      </c>
      <c r="W9" s="88">
        <v>2.9050925925925928E-3</v>
      </c>
      <c r="X9" s="173">
        <v>1.4999999999999998</v>
      </c>
      <c r="Y9" s="88">
        <v>2.9513888888888888E-3</v>
      </c>
      <c r="AD9" s="177">
        <v>0.99999999999999989</v>
      </c>
    </row>
    <row r="10" spans="1:30" s="72" customFormat="1" ht="12" customHeight="1" x14ac:dyDescent="0.25">
      <c r="A10" s="5"/>
      <c r="B10" s="5"/>
      <c r="C10" s="90"/>
      <c r="D10" s="5"/>
      <c r="E10" s="86"/>
      <c r="F10" s="87" t="s">
        <v>30</v>
      </c>
      <c r="G10" s="88">
        <v>4.5254629629629629E-3</v>
      </c>
      <c r="H10" s="173">
        <v>1</v>
      </c>
      <c r="I10" s="88">
        <v>6.2499999999999995E-3</v>
      </c>
      <c r="J10" s="86"/>
      <c r="K10" s="86"/>
      <c r="L10" s="168">
        <v>9</v>
      </c>
      <c r="M10" s="34">
        <f t="shared" si="0"/>
        <v>44501</v>
      </c>
      <c r="N10" s="34">
        <f t="shared" si="1"/>
        <v>44507</v>
      </c>
      <c r="O10" s="25">
        <v>0.75</v>
      </c>
      <c r="P10" s="25">
        <v>0.25</v>
      </c>
      <c r="Q10" s="25" t="s">
        <v>109</v>
      </c>
      <c r="S10" s="179">
        <f t="shared" si="2"/>
        <v>37</v>
      </c>
      <c r="T10" s="171">
        <v>0.8</v>
      </c>
      <c r="V10" s="87" t="s">
        <v>30</v>
      </c>
      <c r="W10" s="88">
        <v>2.9629629629629628E-3</v>
      </c>
      <c r="X10" s="173">
        <v>0.89999999999999991</v>
      </c>
      <c r="Y10" s="88">
        <v>3.0092592592592588E-3</v>
      </c>
      <c r="AD10" s="177">
        <v>0.6</v>
      </c>
    </row>
    <row r="11" spans="1:30" s="72" customFormat="1" ht="12" customHeight="1" x14ac:dyDescent="0.25">
      <c r="A11" s="5"/>
      <c r="B11" s="89"/>
      <c r="C11" s="89"/>
      <c r="D11" s="91"/>
      <c r="E11" s="86"/>
      <c r="F11" s="87" t="s">
        <v>30</v>
      </c>
      <c r="G11" s="88">
        <v>6.2615740740740748E-3</v>
      </c>
      <c r="H11" s="173">
        <v>0</v>
      </c>
      <c r="I11" s="87"/>
      <c r="J11" s="86"/>
      <c r="K11" s="86"/>
      <c r="L11" s="168">
        <v>10</v>
      </c>
      <c r="M11" s="34">
        <f t="shared" si="0"/>
        <v>44508</v>
      </c>
      <c r="N11" s="34">
        <f t="shared" si="1"/>
        <v>44514</v>
      </c>
      <c r="O11" s="25">
        <v>0.25</v>
      </c>
      <c r="P11" s="25">
        <v>0.75</v>
      </c>
      <c r="Q11" s="25" t="s">
        <v>110</v>
      </c>
      <c r="S11" s="179">
        <f t="shared" si="2"/>
        <v>39</v>
      </c>
      <c r="T11" s="171">
        <v>0.9</v>
      </c>
      <c r="V11" s="87" t="s">
        <v>30</v>
      </c>
      <c r="W11" s="88">
        <v>3.0208333333333333E-3</v>
      </c>
      <c r="X11" s="173">
        <v>0.45000000000000007</v>
      </c>
      <c r="Y11" s="88">
        <v>3.0671296296296297E-3</v>
      </c>
      <c r="AD11" s="177">
        <v>0.30000000000000004</v>
      </c>
    </row>
    <row r="12" spans="1:30" s="72" customFormat="1" ht="12" customHeight="1" x14ac:dyDescent="0.25">
      <c r="A12" s="5"/>
      <c r="B12" s="89"/>
      <c r="C12" s="89"/>
      <c r="D12" s="91"/>
      <c r="E12" s="86"/>
      <c r="F12" s="87" t="s">
        <v>31</v>
      </c>
      <c r="G12" s="88">
        <v>1.1574074074074073E-5</v>
      </c>
      <c r="H12" s="173">
        <v>5</v>
      </c>
      <c r="I12" s="88">
        <v>2.7777777777777779E-3</v>
      </c>
      <c r="J12" s="86"/>
      <c r="K12" s="86"/>
      <c r="L12" s="168">
        <v>11</v>
      </c>
      <c r="M12" s="34">
        <f t="shared" si="0"/>
        <v>44515</v>
      </c>
      <c r="N12" s="34">
        <f t="shared" si="1"/>
        <v>44521</v>
      </c>
      <c r="O12" s="25">
        <v>0.75</v>
      </c>
      <c r="P12" s="25">
        <v>0.25</v>
      </c>
      <c r="Q12" s="25" t="s">
        <v>109</v>
      </c>
      <c r="S12" s="179">
        <f t="shared" si="2"/>
        <v>41</v>
      </c>
      <c r="T12" s="171">
        <v>1</v>
      </c>
      <c r="V12" s="87" t="s">
        <v>30</v>
      </c>
      <c r="W12" s="88">
        <v>3.0787037037037037E-3</v>
      </c>
      <c r="X12" s="173">
        <v>0.15000000000000002</v>
      </c>
      <c r="Y12" s="88">
        <v>3.1134259259259257E-3</v>
      </c>
      <c r="AD12" s="177">
        <v>0.1</v>
      </c>
    </row>
    <row r="13" spans="1:30" s="72" customFormat="1" ht="12" customHeight="1" x14ac:dyDescent="0.25">
      <c r="A13" s="5"/>
      <c r="B13" s="89"/>
      <c r="C13" s="89"/>
      <c r="D13" s="91"/>
      <c r="E13" s="86"/>
      <c r="F13" s="87" t="s">
        <v>31</v>
      </c>
      <c r="G13" s="88">
        <v>2.7893518518518519E-3</v>
      </c>
      <c r="H13" s="173">
        <v>4.5</v>
      </c>
      <c r="I13" s="88">
        <v>2.9513888888888888E-3</v>
      </c>
      <c r="J13" s="86"/>
      <c r="K13" s="86"/>
      <c r="L13" s="168">
        <v>12</v>
      </c>
      <c r="M13" s="34">
        <f t="shared" si="0"/>
        <v>44522</v>
      </c>
      <c r="N13" s="34">
        <f t="shared" si="1"/>
        <v>44528</v>
      </c>
      <c r="O13" s="25">
        <v>0.25</v>
      </c>
      <c r="P13" s="25">
        <v>0.75</v>
      </c>
      <c r="Q13" s="25" t="s">
        <v>110</v>
      </c>
      <c r="S13" s="179">
        <f t="shared" si="2"/>
        <v>43</v>
      </c>
      <c r="T13" s="171">
        <v>1.1000000000000001</v>
      </c>
      <c r="V13" s="87" t="s">
        <v>30</v>
      </c>
      <c r="W13" s="88">
        <v>3.1249999999999997E-3</v>
      </c>
      <c r="X13" s="173">
        <v>0</v>
      </c>
      <c r="Y13" s="88"/>
      <c r="AD13" s="177">
        <v>0</v>
      </c>
    </row>
    <row r="14" spans="1:30" s="72" customFormat="1" ht="12" customHeight="1" x14ac:dyDescent="0.25">
      <c r="A14" s="5"/>
      <c r="B14" s="89"/>
      <c r="C14" s="89"/>
      <c r="D14" s="91"/>
      <c r="E14" s="86"/>
      <c r="F14" s="87" t="s">
        <v>31</v>
      </c>
      <c r="G14" s="88">
        <v>2.9629629629629628E-3</v>
      </c>
      <c r="H14" s="173">
        <v>4</v>
      </c>
      <c r="I14" s="88">
        <v>3.1249999999999997E-3</v>
      </c>
      <c r="J14" s="86"/>
      <c r="K14" s="86"/>
      <c r="L14" s="168">
        <v>13</v>
      </c>
      <c r="M14" s="34">
        <f t="shared" si="0"/>
        <v>44529</v>
      </c>
      <c r="N14" s="34">
        <f t="shared" si="1"/>
        <v>44535</v>
      </c>
      <c r="O14" s="25">
        <v>0.75</v>
      </c>
      <c r="P14" s="25">
        <v>0.25</v>
      </c>
      <c r="Q14" s="25" t="s">
        <v>109</v>
      </c>
      <c r="S14" s="179">
        <f t="shared" si="2"/>
        <v>45</v>
      </c>
      <c r="T14" s="171">
        <v>1.2</v>
      </c>
      <c r="V14" s="87" t="s">
        <v>31</v>
      </c>
      <c r="W14" s="88">
        <v>2.1412037037037038E-3</v>
      </c>
      <c r="X14" s="173">
        <v>9.8999999999999986</v>
      </c>
      <c r="Y14" s="88">
        <v>2.1990740740740742E-3</v>
      </c>
      <c r="AA14" s="77"/>
      <c r="AD14" s="177">
        <v>6.6</v>
      </c>
    </row>
    <row r="15" spans="1:30" s="72" customFormat="1" ht="12" customHeight="1" x14ac:dyDescent="0.25">
      <c r="A15" s="5"/>
      <c r="B15" s="89"/>
      <c r="C15" s="89"/>
      <c r="D15" s="91"/>
      <c r="E15" s="86"/>
      <c r="F15" s="87" t="s">
        <v>31</v>
      </c>
      <c r="G15" s="88">
        <v>3.1365740740740742E-3</v>
      </c>
      <c r="H15" s="173">
        <v>3.5</v>
      </c>
      <c r="I15" s="88">
        <v>3.2986111111111111E-3</v>
      </c>
      <c r="J15" s="86"/>
      <c r="K15" s="86"/>
      <c r="L15" s="169">
        <v>14</v>
      </c>
      <c r="M15" s="107">
        <f t="shared" si="0"/>
        <v>44536</v>
      </c>
      <c r="N15" s="107">
        <f t="shared" si="1"/>
        <v>44542</v>
      </c>
      <c r="O15" s="108">
        <v>0.25</v>
      </c>
      <c r="P15" s="108">
        <v>0.75</v>
      </c>
      <c r="Q15" s="108" t="s">
        <v>110</v>
      </c>
      <c r="S15" s="179">
        <f t="shared" si="2"/>
        <v>47</v>
      </c>
      <c r="T15" s="171">
        <v>1.3</v>
      </c>
      <c r="V15" s="87" t="s">
        <v>31</v>
      </c>
      <c r="W15" s="88">
        <v>2.2106481481481478E-3</v>
      </c>
      <c r="X15" s="173">
        <v>8.25</v>
      </c>
      <c r="Y15" s="88">
        <v>2.2569444444444447E-3</v>
      </c>
      <c r="AA15" s="77"/>
      <c r="AD15" s="177">
        <v>5.5</v>
      </c>
    </row>
    <row r="16" spans="1:30" ht="12" customHeight="1" x14ac:dyDescent="0.25">
      <c r="B16" s="89"/>
      <c r="C16" s="89"/>
      <c r="D16" s="91"/>
      <c r="E16" s="5"/>
      <c r="F16" s="9" t="s">
        <v>31</v>
      </c>
      <c r="G16" s="10">
        <v>3.3101851851851851E-3</v>
      </c>
      <c r="H16" s="172">
        <v>3</v>
      </c>
      <c r="I16" s="10">
        <v>3.472222222222222E-3</v>
      </c>
      <c r="J16" s="5"/>
      <c r="K16" s="5"/>
      <c r="L16" s="168">
        <v>15</v>
      </c>
      <c r="M16" s="34">
        <f t="shared" si="0"/>
        <v>44543</v>
      </c>
      <c r="N16" s="34">
        <f t="shared" si="1"/>
        <v>44549</v>
      </c>
      <c r="O16" s="25">
        <v>0.5</v>
      </c>
      <c r="P16" s="25">
        <v>0.5</v>
      </c>
      <c r="Q16" s="25" t="s">
        <v>156</v>
      </c>
      <c r="S16" s="178">
        <f t="shared" si="2"/>
        <v>49</v>
      </c>
      <c r="T16" s="170">
        <v>1.4</v>
      </c>
      <c r="V16" s="9" t="s">
        <v>31</v>
      </c>
      <c r="W16" s="10">
        <v>2.2685185185185182E-3</v>
      </c>
      <c r="X16" s="172">
        <v>6.75</v>
      </c>
      <c r="Y16" s="10">
        <v>2.3148148148148151E-3</v>
      </c>
      <c r="AA16" s="77"/>
      <c r="AC16" s="72"/>
      <c r="AD16" s="175">
        <v>4.5</v>
      </c>
    </row>
    <row r="17" spans="2:30" ht="12" customHeight="1" x14ac:dyDescent="0.25">
      <c r="B17" s="89"/>
      <c r="C17" s="89"/>
      <c r="D17" s="91"/>
      <c r="E17" s="5"/>
      <c r="F17" s="9" t="s">
        <v>31</v>
      </c>
      <c r="G17" s="10">
        <v>3.483796296296296E-3</v>
      </c>
      <c r="H17" s="172">
        <v>2.5</v>
      </c>
      <c r="I17" s="10">
        <v>3.645833333333333E-3</v>
      </c>
      <c r="J17" s="5"/>
      <c r="K17" s="5"/>
      <c r="L17" s="5"/>
      <c r="M17" s="5"/>
      <c r="N17" s="5"/>
      <c r="O17" s="11"/>
      <c r="P17" s="11"/>
      <c r="Q17" s="11"/>
      <c r="S17" s="178">
        <f t="shared" si="2"/>
        <v>51</v>
      </c>
      <c r="T17" s="170">
        <v>1.5</v>
      </c>
      <c r="V17" s="9" t="s">
        <v>31</v>
      </c>
      <c r="W17" s="10">
        <v>2.3263888888888887E-3</v>
      </c>
      <c r="X17" s="172">
        <v>5.4</v>
      </c>
      <c r="Y17" s="10">
        <v>2.3726851851851851E-3</v>
      </c>
      <c r="AA17" s="77"/>
      <c r="AC17" s="72"/>
      <c r="AD17" s="175">
        <v>3.6</v>
      </c>
    </row>
    <row r="18" spans="2:30" ht="12" customHeight="1" x14ac:dyDescent="0.25">
      <c r="B18" s="89"/>
      <c r="C18" s="89"/>
      <c r="D18" s="91"/>
      <c r="E18" s="5"/>
      <c r="F18" s="9" t="s">
        <v>31</v>
      </c>
      <c r="G18" s="10">
        <v>3.6574074074074074E-3</v>
      </c>
      <c r="H18" s="172">
        <v>2</v>
      </c>
      <c r="I18" s="10">
        <v>3.8194444444444443E-3</v>
      </c>
      <c r="J18" s="5"/>
      <c r="K18" s="5"/>
      <c r="L18" s="5"/>
      <c r="M18" s="5"/>
      <c r="N18" s="5"/>
      <c r="S18" s="178">
        <f t="shared" si="2"/>
        <v>53</v>
      </c>
      <c r="T18" s="170">
        <v>1.6</v>
      </c>
      <c r="V18" s="9" t="s">
        <v>31</v>
      </c>
      <c r="W18" s="10">
        <v>2.3842592592592591E-3</v>
      </c>
      <c r="X18" s="172">
        <v>4.1999999999999993</v>
      </c>
      <c r="Y18" s="10">
        <v>2.4305555555555556E-3</v>
      </c>
      <c r="AA18" s="77"/>
      <c r="AC18" s="72"/>
      <c r="AD18" s="175">
        <v>2.8</v>
      </c>
    </row>
    <row r="19" spans="2:30" ht="12" customHeight="1" x14ac:dyDescent="0.25">
      <c r="D19" s="5"/>
      <c r="E19" s="5"/>
      <c r="F19" s="9" t="s">
        <v>31</v>
      </c>
      <c r="G19" s="10">
        <v>3.8310185185185183E-3</v>
      </c>
      <c r="H19" s="172">
        <v>1.5</v>
      </c>
      <c r="I19" s="10">
        <v>4.1666666666666666E-3</v>
      </c>
      <c r="J19" s="5"/>
      <c r="K19" s="5"/>
      <c r="L19" s="5"/>
      <c r="M19" s="5"/>
      <c r="N19" s="5"/>
      <c r="S19" s="178">
        <f t="shared" si="2"/>
        <v>55</v>
      </c>
      <c r="T19" s="170">
        <v>1.7</v>
      </c>
      <c r="V19" s="9" t="s">
        <v>31</v>
      </c>
      <c r="W19" s="10">
        <v>2.4421296296296296E-3</v>
      </c>
      <c r="X19" s="172">
        <v>3.1500000000000004</v>
      </c>
      <c r="Y19" s="10">
        <v>2.488425925925926E-3</v>
      </c>
      <c r="AA19" s="77"/>
      <c r="AC19" s="72"/>
      <c r="AD19" s="175">
        <v>2.1</v>
      </c>
    </row>
    <row r="20" spans="2:30" ht="12" customHeight="1" x14ac:dyDescent="0.25">
      <c r="E20" s="5"/>
      <c r="F20" s="9" t="s">
        <v>31</v>
      </c>
      <c r="G20" s="10">
        <v>4.1782407407407402E-3</v>
      </c>
      <c r="H20" s="172">
        <v>1</v>
      </c>
      <c r="I20" s="10">
        <v>5.5555555555555558E-3</v>
      </c>
      <c r="J20" s="5"/>
      <c r="K20" s="5"/>
      <c r="L20" s="5"/>
      <c r="N20" s="5"/>
      <c r="S20" s="178">
        <f t="shared" si="2"/>
        <v>57</v>
      </c>
      <c r="T20" s="170">
        <v>1.8</v>
      </c>
      <c r="V20" s="9" t="s">
        <v>31</v>
      </c>
      <c r="W20" s="10">
        <v>2.5000000000000001E-3</v>
      </c>
      <c r="X20" s="172">
        <v>2.25</v>
      </c>
      <c r="Y20" s="10">
        <v>2.5462962962962961E-3</v>
      </c>
      <c r="AA20" s="77"/>
      <c r="AC20" s="72"/>
      <c r="AD20" s="175">
        <v>1.5</v>
      </c>
    </row>
    <row r="21" spans="2:30" ht="12" customHeight="1" x14ac:dyDescent="0.25">
      <c r="E21" s="5"/>
      <c r="F21" s="9" t="s">
        <v>31</v>
      </c>
      <c r="G21" s="10">
        <v>5.5671296296296302E-3</v>
      </c>
      <c r="H21" s="172">
        <v>0</v>
      </c>
      <c r="I21" s="12"/>
      <c r="J21" s="5"/>
      <c r="K21" s="5"/>
      <c r="L21" s="5"/>
      <c r="M21" s="5"/>
      <c r="N21" s="5"/>
      <c r="S21" s="178">
        <f t="shared" si="2"/>
        <v>59</v>
      </c>
      <c r="T21" s="170">
        <v>1.9</v>
      </c>
      <c r="V21" s="9" t="s">
        <v>31</v>
      </c>
      <c r="W21" s="10">
        <v>2.5578703703703705E-3</v>
      </c>
      <c r="X21" s="172">
        <v>1.4999999999999998</v>
      </c>
      <c r="Y21" s="10">
        <v>2.6041666666666665E-3</v>
      </c>
      <c r="AA21" s="77"/>
      <c r="AC21" s="72"/>
      <c r="AD21" s="175">
        <v>0.99999999999999989</v>
      </c>
    </row>
    <row r="22" spans="2:30" ht="12.75" customHeight="1" x14ac:dyDescent="0.25">
      <c r="S22" s="178">
        <f t="shared" si="2"/>
        <v>61</v>
      </c>
      <c r="T22" s="170">
        <v>2</v>
      </c>
      <c r="V22" s="9" t="s">
        <v>31</v>
      </c>
      <c r="W22" s="10">
        <v>2.615740740740741E-3</v>
      </c>
      <c r="X22" s="172">
        <v>0.89999999999999991</v>
      </c>
      <c r="Y22" s="10">
        <v>2.6620370370370374E-3</v>
      </c>
      <c r="AC22" s="72"/>
      <c r="AD22" s="175">
        <v>0.6</v>
      </c>
    </row>
    <row r="23" spans="2:30" ht="12" customHeight="1" x14ac:dyDescent="0.25">
      <c r="S23" s="178">
        <f t="shared" si="2"/>
        <v>63</v>
      </c>
      <c r="T23" s="170">
        <v>2.1</v>
      </c>
      <c r="V23" s="9" t="s">
        <v>31</v>
      </c>
      <c r="W23" s="10">
        <v>2.673611111111111E-3</v>
      </c>
      <c r="X23" s="172">
        <v>0.45000000000000007</v>
      </c>
      <c r="Y23" s="10">
        <v>2.7199074074074074E-3</v>
      </c>
      <c r="AC23" s="72"/>
      <c r="AD23" s="175">
        <v>0.30000000000000004</v>
      </c>
    </row>
    <row r="24" spans="2:30" ht="12" customHeight="1" x14ac:dyDescent="0.25">
      <c r="G24" s="93"/>
      <c r="I24" s="93"/>
      <c r="S24" s="178">
        <f t="shared" si="2"/>
        <v>65</v>
      </c>
      <c r="T24" s="170">
        <v>2.2000000000000002</v>
      </c>
      <c r="V24" s="9" t="s">
        <v>31</v>
      </c>
      <c r="W24" s="10">
        <v>2.7314814814814819E-3</v>
      </c>
      <c r="X24" s="172">
        <v>0.15000000000000002</v>
      </c>
      <c r="Y24" s="10">
        <v>2.7662037037037034E-3</v>
      </c>
      <c r="AC24" s="72"/>
      <c r="AD24" s="175">
        <v>0.1</v>
      </c>
    </row>
    <row r="25" spans="2:30" ht="12" customHeight="1" x14ac:dyDescent="0.25">
      <c r="G25" s="93"/>
      <c r="I25" s="93"/>
      <c r="S25" s="178">
        <f t="shared" si="2"/>
        <v>67</v>
      </c>
      <c r="T25" s="170">
        <v>2.2999999999999998</v>
      </c>
      <c r="V25" s="9" t="s">
        <v>31</v>
      </c>
      <c r="W25" s="10">
        <v>2.7777777777777779E-3</v>
      </c>
      <c r="X25" s="172">
        <v>0</v>
      </c>
      <c r="Y25" s="10"/>
      <c r="AD25" s="175">
        <v>0</v>
      </c>
    </row>
    <row r="26" spans="2:30" ht="12" customHeight="1" x14ac:dyDescent="0.25">
      <c r="G26" s="93"/>
      <c r="I26" s="93"/>
      <c r="S26" s="178">
        <f t="shared" si="2"/>
        <v>69</v>
      </c>
      <c r="T26" s="170">
        <v>2.4</v>
      </c>
    </row>
    <row r="27" spans="2:30" ht="12" customHeight="1" x14ac:dyDescent="0.25">
      <c r="G27" s="93"/>
      <c r="I27" s="93"/>
      <c r="S27" s="178">
        <f t="shared" si="2"/>
        <v>71</v>
      </c>
      <c r="T27" s="170">
        <v>2.5</v>
      </c>
    </row>
    <row r="28" spans="2:30" ht="12" customHeight="1" x14ac:dyDescent="0.25">
      <c r="G28" s="93"/>
      <c r="I28" s="93"/>
      <c r="N28" s="34"/>
      <c r="S28" s="178">
        <f t="shared" si="2"/>
        <v>73</v>
      </c>
      <c r="T28" s="170">
        <v>2.6</v>
      </c>
    </row>
    <row r="29" spans="2:30" ht="12" customHeight="1" x14ac:dyDescent="0.25">
      <c r="G29" s="93"/>
      <c r="I29" s="93"/>
      <c r="S29" s="178">
        <f t="shared" si="2"/>
        <v>75</v>
      </c>
      <c r="T29" s="170">
        <v>2.7</v>
      </c>
    </row>
    <row r="30" spans="2:30" ht="12" customHeight="1" x14ac:dyDescent="0.25">
      <c r="G30" s="93"/>
      <c r="I30" s="93"/>
      <c r="S30" s="178">
        <f t="shared" si="2"/>
        <v>77</v>
      </c>
      <c r="T30" s="170">
        <v>2.8</v>
      </c>
    </row>
    <row r="31" spans="2:30" ht="12" customHeight="1" x14ac:dyDescent="0.25">
      <c r="G31" s="93"/>
      <c r="I31" s="93"/>
      <c r="S31" s="178">
        <f t="shared" si="2"/>
        <v>79</v>
      </c>
      <c r="T31" s="170">
        <v>2.9</v>
      </c>
    </row>
    <row r="32" spans="2:30" ht="12" customHeight="1" x14ac:dyDescent="0.25">
      <c r="G32" s="93"/>
      <c r="I32" s="93"/>
      <c r="S32" s="178">
        <f t="shared" si="2"/>
        <v>81</v>
      </c>
      <c r="T32" s="170">
        <v>3</v>
      </c>
    </row>
    <row r="33" spans="7:20" ht="12" customHeight="1" x14ac:dyDescent="0.25">
      <c r="G33" s="93"/>
      <c r="I33" s="93"/>
      <c r="S33" s="178">
        <f t="shared" si="2"/>
        <v>83</v>
      </c>
      <c r="T33" s="170">
        <v>3.1</v>
      </c>
    </row>
    <row r="34" spans="7:20" ht="12" customHeight="1" x14ac:dyDescent="0.25">
      <c r="G34" s="93"/>
      <c r="S34" s="178">
        <f t="shared" si="2"/>
        <v>85</v>
      </c>
      <c r="T34" s="170">
        <v>3.2</v>
      </c>
    </row>
    <row r="35" spans="7:20" ht="12" customHeight="1" x14ac:dyDescent="0.25">
      <c r="G35" s="93"/>
      <c r="H35" s="77"/>
      <c r="I35" s="93"/>
      <c r="S35" s="178">
        <f t="shared" si="2"/>
        <v>87</v>
      </c>
      <c r="T35" s="170">
        <v>3.3</v>
      </c>
    </row>
    <row r="36" spans="7:20" ht="12" customHeight="1" x14ac:dyDescent="0.25">
      <c r="G36" s="93"/>
      <c r="H36" s="77"/>
      <c r="I36" s="93"/>
      <c r="S36" s="178">
        <f t="shared" si="2"/>
        <v>89</v>
      </c>
      <c r="T36" s="170">
        <v>3.4</v>
      </c>
    </row>
    <row r="37" spans="7:20" ht="12" customHeight="1" x14ac:dyDescent="0.25">
      <c r="G37" s="93"/>
      <c r="H37" s="77"/>
      <c r="I37" s="93"/>
      <c r="S37" s="178">
        <f t="shared" si="2"/>
        <v>91</v>
      </c>
      <c r="T37" s="170">
        <v>3.5</v>
      </c>
    </row>
    <row r="38" spans="7:20" ht="12" customHeight="1" x14ac:dyDescent="0.25">
      <c r="G38" s="93"/>
      <c r="H38" s="77"/>
      <c r="I38" s="93"/>
      <c r="S38" s="178">
        <f t="shared" si="2"/>
        <v>93</v>
      </c>
      <c r="T38" s="170">
        <v>3.6</v>
      </c>
    </row>
    <row r="39" spans="7:20" ht="12" customHeight="1" x14ac:dyDescent="0.25">
      <c r="G39" s="93"/>
      <c r="H39" s="77"/>
      <c r="I39" s="93"/>
      <c r="S39" s="178">
        <f t="shared" si="2"/>
        <v>95</v>
      </c>
      <c r="T39" s="170">
        <v>3.7</v>
      </c>
    </row>
    <row r="40" spans="7:20" ht="12" customHeight="1" x14ac:dyDescent="0.25">
      <c r="G40" s="93"/>
      <c r="H40" s="77"/>
      <c r="I40" s="93"/>
      <c r="S40" s="178">
        <f t="shared" si="2"/>
        <v>97</v>
      </c>
      <c r="T40" s="170">
        <v>3.8</v>
      </c>
    </row>
    <row r="41" spans="7:20" ht="12" customHeight="1" x14ac:dyDescent="0.25">
      <c r="G41" s="93"/>
      <c r="H41" s="77"/>
      <c r="I41" s="93"/>
      <c r="S41" s="178">
        <f t="shared" si="2"/>
        <v>99</v>
      </c>
      <c r="T41" s="170">
        <v>3.9</v>
      </c>
    </row>
    <row r="42" spans="7:20" ht="12" customHeight="1" x14ac:dyDescent="0.25">
      <c r="G42" s="93"/>
      <c r="H42" s="77"/>
      <c r="I42" s="93"/>
      <c r="S42" s="178">
        <v>103</v>
      </c>
      <c r="T42" s="170">
        <v>4</v>
      </c>
    </row>
    <row r="43" spans="7:20" ht="12" customHeight="1" x14ac:dyDescent="0.25">
      <c r="G43" s="93"/>
      <c r="H43" s="77"/>
      <c r="I43" s="93"/>
      <c r="S43" s="178">
        <v>107</v>
      </c>
      <c r="T43" s="170">
        <v>4.0999999999999996</v>
      </c>
    </row>
    <row r="44" spans="7:20" ht="12" customHeight="1" x14ac:dyDescent="0.25">
      <c r="G44" s="93"/>
      <c r="H44" s="77"/>
      <c r="I44" s="93"/>
      <c r="S44" s="178">
        <v>111</v>
      </c>
      <c r="T44" s="170">
        <v>4.2</v>
      </c>
    </row>
    <row r="45" spans="7:20" ht="12" customHeight="1" x14ac:dyDescent="0.25">
      <c r="S45" s="178">
        <v>115</v>
      </c>
      <c r="T45" s="170">
        <v>4.3</v>
      </c>
    </row>
    <row r="46" spans="7:20" ht="12" customHeight="1" x14ac:dyDescent="0.25">
      <c r="S46" s="178">
        <v>119</v>
      </c>
      <c r="T46" s="170">
        <v>4.4000000000000004</v>
      </c>
    </row>
    <row r="47" spans="7:20" ht="12" customHeight="1" x14ac:dyDescent="0.25">
      <c r="S47" s="178">
        <v>123</v>
      </c>
      <c r="T47" s="170">
        <v>4.5</v>
      </c>
    </row>
    <row r="48" spans="7:20" ht="12" customHeight="1" x14ac:dyDescent="0.25">
      <c r="S48" s="178">
        <v>127</v>
      </c>
      <c r="T48" s="170">
        <v>4.5999999999999996</v>
      </c>
    </row>
    <row r="49" spans="19:20" ht="12" customHeight="1" x14ac:dyDescent="0.25">
      <c r="S49" s="178">
        <v>131</v>
      </c>
      <c r="T49" s="170">
        <v>4.7</v>
      </c>
    </row>
    <row r="50" spans="19:20" ht="12" customHeight="1" x14ac:dyDescent="0.25">
      <c r="S50" s="178">
        <v>135</v>
      </c>
      <c r="T50" s="170">
        <v>4.8</v>
      </c>
    </row>
    <row r="51" spans="19:20" ht="12" customHeight="1" x14ac:dyDescent="0.25">
      <c r="S51" s="178">
        <v>139</v>
      </c>
      <c r="T51" s="170">
        <v>4.9000000000000004</v>
      </c>
    </row>
    <row r="52" spans="19:20" ht="12" customHeight="1" x14ac:dyDescent="0.25">
      <c r="S52" s="178">
        <v>143</v>
      </c>
      <c r="T52" s="170">
        <v>5</v>
      </c>
    </row>
    <row r="53" spans="19:20" ht="12" customHeight="1" x14ac:dyDescent="0.25">
      <c r="S53" s="178">
        <v>147</v>
      </c>
      <c r="T53" s="170">
        <v>5.0999999999999996</v>
      </c>
    </row>
    <row r="54" spans="19:20" ht="12" customHeight="1" x14ac:dyDescent="0.25">
      <c r="S54" s="178">
        <v>151</v>
      </c>
      <c r="T54" s="170">
        <v>5.2</v>
      </c>
    </row>
    <row r="55" spans="19:20" ht="12" customHeight="1" x14ac:dyDescent="0.25">
      <c r="S55" s="178">
        <v>155</v>
      </c>
      <c r="T55" s="170">
        <v>5.3</v>
      </c>
    </row>
    <row r="56" spans="19:20" ht="12" customHeight="1" x14ac:dyDescent="0.25">
      <c r="S56" s="178">
        <v>159</v>
      </c>
      <c r="T56" s="170">
        <v>5.4</v>
      </c>
    </row>
    <row r="57" spans="19:20" ht="12" customHeight="1" x14ac:dyDescent="0.25">
      <c r="S57" s="178">
        <v>163</v>
      </c>
      <c r="T57" s="170">
        <v>5.5</v>
      </c>
    </row>
    <row r="58" spans="19:20" ht="12" customHeight="1" x14ac:dyDescent="0.25">
      <c r="S58" s="178">
        <v>167</v>
      </c>
      <c r="T58" s="170">
        <v>5.6</v>
      </c>
    </row>
    <row r="59" spans="19:20" ht="12" customHeight="1" x14ac:dyDescent="0.25">
      <c r="S59" s="178">
        <v>171</v>
      </c>
      <c r="T59" s="170">
        <v>5.7</v>
      </c>
    </row>
    <row r="60" spans="19:20" ht="12" customHeight="1" x14ac:dyDescent="0.25">
      <c r="S60" s="178">
        <v>175</v>
      </c>
      <c r="T60" s="170">
        <v>5.8</v>
      </c>
    </row>
    <row r="61" spans="19:20" ht="12" customHeight="1" x14ac:dyDescent="0.25">
      <c r="S61" s="178">
        <v>179</v>
      </c>
      <c r="T61" s="170">
        <v>5.9</v>
      </c>
    </row>
    <row r="62" spans="19:20" ht="12" customHeight="1" x14ac:dyDescent="0.25">
      <c r="S62" s="178">
        <v>183</v>
      </c>
      <c r="T62" s="170">
        <v>6</v>
      </c>
    </row>
    <row r="63" spans="19:20" ht="12" customHeight="1" x14ac:dyDescent="0.25">
      <c r="S63" s="178">
        <v>187</v>
      </c>
      <c r="T63" s="170">
        <v>6.1</v>
      </c>
    </row>
    <row r="64" spans="19:20" ht="12" customHeight="1" x14ac:dyDescent="0.25">
      <c r="S64" s="178">
        <v>191</v>
      </c>
      <c r="T64" s="170">
        <v>6.2</v>
      </c>
    </row>
    <row r="65" spans="19:20" ht="12" customHeight="1" x14ac:dyDescent="0.25">
      <c r="S65" s="178">
        <v>195</v>
      </c>
      <c r="T65" s="170">
        <v>6.3</v>
      </c>
    </row>
    <row r="66" spans="19:20" ht="12" customHeight="1" x14ac:dyDescent="0.25">
      <c r="S66" s="178">
        <v>199</v>
      </c>
      <c r="T66" s="170">
        <v>6.4</v>
      </c>
    </row>
    <row r="67" spans="19:20" ht="12" customHeight="1" x14ac:dyDescent="0.25">
      <c r="S67" s="178">
        <v>207</v>
      </c>
      <c r="T67" s="170">
        <v>6.5</v>
      </c>
    </row>
    <row r="68" spans="19:20" ht="12" customHeight="1" x14ac:dyDescent="0.25">
      <c r="S68" s="178">
        <v>215</v>
      </c>
      <c r="T68" s="170">
        <v>6.6</v>
      </c>
    </row>
    <row r="69" spans="19:20" ht="12" customHeight="1" x14ac:dyDescent="0.25">
      <c r="S69" s="178">
        <v>223</v>
      </c>
      <c r="T69" s="170">
        <v>6.7</v>
      </c>
    </row>
    <row r="70" spans="19:20" ht="12" customHeight="1" x14ac:dyDescent="0.25">
      <c r="S70" s="178">
        <v>231</v>
      </c>
      <c r="T70" s="170">
        <v>6.8</v>
      </c>
    </row>
    <row r="71" spans="19:20" ht="12" customHeight="1" x14ac:dyDescent="0.25">
      <c r="S71" s="178">
        <v>239</v>
      </c>
      <c r="T71" s="170">
        <v>6.9</v>
      </c>
    </row>
    <row r="72" spans="19:20" ht="12" customHeight="1" x14ac:dyDescent="0.25">
      <c r="S72" s="178">
        <v>247</v>
      </c>
      <c r="T72" s="170">
        <v>7</v>
      </c>
    </row>
    <row r="73" spans="19:20" ht="12" customHeight="1" x14ac:dyDescent="0.25">
      <c r="S73" s="178">
        <v>255</v>
      </c>
      <c r="T73" s="170">
        <v>7.1</v>
      </c>
    </row>
    <row r="74" spans="19:20" ht="12" customHeight="1" x14ac:dyDescent="0.25">
      <c r="S74" s="178">
        <v>263</v>
      </c>
      <c r="T74" s="170">
        <v>7.2</v>
      </c>
    </row>
    <row r="75" spans="19:20" ht="12" customHeight="1" x14ac:dyDescent="0.25">
      <c r="S75" s="178">
        <v>271</v>
      </c>
      <c r="T75" s="170">
        <v>7.3</v>
      </c>
    </row>
    <row r="76" spans="19:20" ht="12" customHeight="1" x14ac:dyDescent="0.25">
      <c r="S76" s="77"/>
    </row>
    <row r="77" spans="19:20" ht="12" customHeight="1" x14ac:dyDescent="0.25">
      <c r="S77" s="77"/>
    </row>
    <row r="78" spans="19:20" ht="12" customHeight="1" x14ac:dyDescent="0.25">
      <c r="S78" s="77"/>
    </row>
    <row r="79" spans="19:20" ht="12" customHeight="1" x14ac:dyDescent="0.25">
      <c r="S79" s="77"/>
    </row>
    <row r="80" spans="19:20" ht="12" customHeight="1" x14ac:dyDescent="0.25">
      <c r="S80" s="77"/>
    </row>
    <row r="81" spans="19:19" ht="12" customHeight="1" x14ac:dyDescent="0.25">
      <c r="S81" s="77"/>
    </row>
    <row r="82" spans="19:19" ht="12" customHeight="1" x14ac:dyDescent="0.25">
      <c r="S82" s="77"/>
    </row>
    <row r="83" spans="19:19" ht="12" customHeight="1" x14ac:dyDescent="0.25">
      <c r="S83" s="77"/>
    </row>
    <row r="84" spans="19:19" ht="12" customHeight="1" x14ac:dyDescent="0.25">
      <c r="S84" s="77"/>
    </row>
    <row r="85" spans="19:19" ht="12" customHeight="1" x14ac:dyDescent="0.25">
      <c r="S85" s="77"/>
    </row>
    <row r="86" spans="19:19" ht="12" customHeight="1" x14ac:dyDescent="0.25">
      <c r="S86" s="77"/>
    </row>
    <row r="87" spans="19:19" ht="12" customHeight="1" x14ac:dyDescent="0.25">
      <c r="S87" s="77"/>
    </row>
    <row r="88" spans="19:19" ht="12" customHeight="1" x14ac:dyDescent="0.25">
      <c r="S88" s="77"/>
    </row>
    <row r="89" spans="19:19" ht="12" customHeight="1" x14ac:dyDescent="0.25">
      <c r="S89" s="77"/>
    </row>
    <row r="90" spans="19:19" ht="12" customHeight="1" x14ac:dyDescent="0.25">
      <c r="S90" s="77"/>
    </row>
    <row r="91" spans="19:19" ht="12" customHeight="1" x14ac:dyDescent="0.25">
      <c r="S91" s="77"/>
    </row>
    <row r="92" spans="19:19" ht="12" customHeight="1" x14ac:dyDescent="0.25">
      <c r="S92" s="77"/>
    </row>
    <row r="93" spans="19:19" ht="12" customHeight="1" x14ac:dyDescent="0.25">
      <c r="S93" s="77"/>
    </row>
    <row r="94" spans="19:19" ht="12" customHeight="1" x14ac:dyDescent="0.25">
      <c r="S94" s="77"/>
    </row>
    <row r="95" spans="19:19" ht="12" customHeight="1" x14ac:dyDescent="0.25">
      <c r="S95" s="77"/>
    </row>
    <row r="96" spans="19:19" ht="12" customHeight="1" x14ac:dyDescent="0.25">
      <c r="S96" s="77"/>
    </row>
    <row r="97" spans="19:19" ht="12" customHeight="1" x14ac:dyDescent="0.25">
      <c r="S97" s="77"/>
    </row>
    <row r="98" spans="19:19" ht="12" customHeight="1" x14ac:dyDescent="0.25">
      <c r="S98" s="77"/>
    </row>
    <row r="99" spans="19:19" ht="12" customHeight="1" x14ac:dyDescent="0.25">
      <c r="S99" s="77"/>
    </row>
    <row r="100" spans="19:19" ht="12" customHeight="1" x14ac:dyDescent="0.25">
      <c r="S100" s="77"/>
    </row>
    <row r="101" spans="19:19" ht="12" customHeight="1" x14ac:dyDescent="0.25">
      <c r="S101" s="77"/>
    </row>
    <row r="102" spans="19:19" ht="12" customHeight="1" x14ac:dyDescent="0.25">
      <c r="S102" s="77"/>
    </row>
    <row r="103" spans="19:19" ht="12" customHeight="1" x14ac:dyDescent="0.25">
      <c r="S103" s="77"/>
    </row>
    <row r="104" spans="19:19" ht="12" customHeight="1" x14ac:dyDescent="0.25">
      <c r="S104" s="77"/>
    </row>
    <row r="105" spans="19:19" ht="12" customHeight="1" x14ac:dyDescent="0.25">
      <c r="S105" s="77"/>
    </row>
    <row r="106" spans="19:19" ht="12" customHeight="1" x14ac:dyDescent="0.25">
      <c r="S106" s="77"/>
    </row>
    <row r="107" spans="19:19" ht="12" customHeight="1" x14ac:dyDescent="0.25">
      <c r="S107" s="77"/>
    </row>
    <row r="108" spans="19:19" ht="12" customHeight="1" x14ac:dyDescent="0.25">
      <c r="S108" s="77"/>
    </row>
    <row r="109" spans="19:19" ht="12" customHeight="1" x14ac:dyDescent="0.25">
      <c r="S109" s="77"/>
    </row>
    <row r="110" spans="19:19" ht="12" customHeight="1" x14ac:dyDescent="0.25">
      <c r="S110" s="77"/>
    </row>
    <row r="111" spans="19:19" ht="12" customHeight="1" x14ac:dyDescent="0.25">
      <c r="S111" s="77"/>
    </row>
    <row r="112" spans="19:19" ht="12" customHeight="1" x14ac:dyDescent="0.25">
      <c r="S112" s="77"/>
    </row>
    <row r="113" spans="19:19" ht="12" customHeight="1" x14ac:dyDescent="0.25">
      <c r="S113" s="77"/>
    </row>
    <row r="114" spans="19:19" ht="12" customHeight="1" x14ac:dyDescent="0.25">
      <c r="S114" s="77"/>
    </row>
    <row r="115" spans="19:19" ht="12" customHeight="1" x14ac:dyDescent="0.25">
      <c r="S115" s="77"/>
    </row>
    <row r="116" spans="19:19" ht="12" customHeight="1" x14ac:dyDescent="0.25">
      <c r="S116" s="77"/>
    </row>
    <row r="117" spans="19:19" ht="12" customHeight="1" x14ac:dyDescent="0.25">
      <c r="S117" s="77"/>
    </row>
    <row r="118" spans="19:19" ht="12" customHeight="1" x14ac:dyDescent="0.25">
      <c r="S118" s="77"/>
    </row>
    <row r="119" spans="19:19" ht="12" customHeight="1" x14ac:dyDescent="0.25">
      <c r="S119" s="77"/>
    </row>
    <row r="120" spans="19:19" ht="12" customHeight="1" x14ac:dyDescent="0.25">
      <c r="S120" s="77"/>
    </row>
    <row r="121" spans="19:19" ht="12" customHeight="1" x14ac:dyDescent="0.25">
      <c r="S121" s="77"/>
    </row>
    <row r="122" spans="19:19" ht="12" customHeight="1" x14ac:dyDescent="0.25">
      <c r="S122" s="77"/>
    </row>
    <row r="123" spans="19:19" ht="12" customHeight="1" x14ac:dyDescent="0.25">
      <c r="S123" s="77"/>
    </row>
    <row r="124" spans="19:19" ht="12" customHeight="1" x14ac:dyDescent="0.25">
      <c r="S124" s="77"/>
    </row>
    <row r="125" spans="19:19" ht="12" customHeight="1" x14ac:dyDescent="0.25">
      <c r="S125" s="77"/>
    </row>
    <row r="126" spans="19:19" ht="12" customHeight="1" x14ac:dyDescent="0.25">
      <c r="S126" s="77"/>
    </row>
    <row r="127" spans="19:19" ht="12" customHeight="1" x14ac:dyDescent="0.25">
      <c r="S127" s="77"/>
    </row>
    <row r="128" spans="19:19" ht="12" customHeight="1" x14ac:dyDescent="0.25">
      <c r="S128" s="77"/>
    </row>
    <row r="129" spans="19:19" ht="12" customHeight="1" x14ac:dyDescent="0.25">
      <c r="S129" s="77"/>
    </row>
    <row r="130" spans="19:19" ht="12" customHeight="1" x14ac:dyDescent="0.25">
      <c r="S130" s="77"/>
    </row>
    <row r="131" spans="19:19" ht="12" customHeight="1" x14ac:dyDescent="0.25">
      <c r="S131" s="77"/>
    </row>
    <row r="132" spans="19:19" ht="12" customHeight="1" x14ac:dyDescent="0.25">
      <c r="S132" s="77"/>
    </row>
    <row r="133" spans="19:19" ht="12" customHeight="1" x14ac:dyDescent="0.25">
      <c r="S133" s="77"/>
    </row>
    <row r="134" spans="19:19" ht="12" customHeight="1" x14ac:dyDescent="0.25">
      <c r="S134" s="77"/>
    </row>
    <row r="135" spans="19:19" ht="12" customHeight="1" x14ac:dyDescent="0.25">
      <c r="S135" s="77"/>
    </row>
    <row r="136" spans="19:19" ht="12" customHeight="1" x14ac:dyDescent="0.25">
      <c r="S136" s="77"/>
    </row>
    <row r="137" spans="19:19" ht="12" customHeight="1" x14ac:dyDescent="0.25">
      <c r="S137" s="77"/>
    </row>
    <row r="138" spans="19:19" ht="12" customHeight="1" x14ac:dyDescent="0.25">
      <c r="S138" s="77"/>
    </row>
    <row r="139" spans="19:19" ht="12" customHeight="1" x14ac:dyDescent="0.25">
      <c r="S139" s="77"/>
    </row>
    <row r="140" spans="19:19" ht="12" customHeight="1" x14ac:dyDescent="0.25">
      <c r="S140" s="77"/>
    </row>
    <row r="141" spans="19:19" ht="12" customHeight="1" x14ac:dyDescent="0.25">
      <c r="S141" s="77"/>
    </row>
    <row r="142" spans="19:19" ht="12" customHeight="1" x14ac:dyDescent="0.25">
      <c r="S142" s="77"/>
    </row>
    <row r="143" spans="19:19" ht="12" customHeight="1" x14ac:dyDescent="0.25">
      <c r="S143" s="77"/>
    </row>
    <row r="144" spans="19:19" ht="12" customHeight="1" x14ac:dyDescent="0.25">
      <c r="S144" s="77"/>
    </row>
    <row r="145" spans="19:19" ht="12" customHeight="1" x14ac:dyDescent="0.25">
      <c r="S145" s="77"/>
    </row>
    <row r="146" spans="19:19" ht="12" customHeight="1" x14ac:dyDescent="0.25">
      <c r="S146" s="77"/>
    </row>
  </sheetData>
  <autoFilter ref="L1:P16"/>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83"/>
  <sheetViews>
    <sheetView workbookViewId="0">
      <pane ySplit="1" topLeftCell="A68" activePane="bottomLeft" state="frozen"/>
      <selection pane="bottomLeft" activeCell="A83" sqref="A83"/>
    </sheetView>
  </sheetViews>
  <sheetFormatPr defaultRowHeight="14.4" x14ac:dyDescent="0.3"/>
  <cols>
    <col min="1" max="1" width="22.5546875" customWidth="1"/>
    <col min="3" max="3" width="9.109375" customWidth="1"/>
    <col min="4" max="4" width="10.5546875" bestFit="1" customWidth="1"/>
  </cols>
  <sheetData>
    <row r="1" spans="1:4" s="15" customFormat="1" x14ac:dyDescent="0.3">
      <c r="A1" s="15" t="s">
        <v>32</v>
      </c>
      <c r="B1" s="15" t="s">
        <v>75</v>
      </c>
      <c r="C1" s="15" t="s">
        <v>86</v>
      </c>
      <c r="D1" s="15" t="s">
        <v>105</v>
      </c>
    </row>
    <row r="2" spans="1:4" x14ac:dyDescent="0.3">
      <c r="A2" s="50" t="s">
        <v>96</v>
      </c>
      <c r="B2" t="s">
        <v>31</v>
      </c>
    </row>
    <row r="3" spans="1:4" x14ac:dyDescent="0.3">
      <c r="A3" t="s">
        <v>53</v>
      </c>
      <c r="B3" t="s">
        <v>31</v>
      </c>
    </row>
    <row r="4" spans="1:4" x14ac:dyDescent="0.3">
      <c r="A4" t="s">
        <v>51</v>
      </c>
      <c r="B4" t="s">
        <v>31</v>
      </c>
    </row>
    <row r="5" spans="1:4" x14ac:dyDescent="0.3">
      <c r="A5" s="50" t="s">
        <v>57</v>
      </c>
      <c r="B5" t="s">
        <v>31</v>
      </c>
    </row>
    <row r="6" spans="1:4" x14ac:dyDescent="0.3">
      <c r="A6" s="50" t="s">
        <v>99</v>
      </c>
      <c r="B6" t="s">
        <v>31</v>
      </c>
    </row>
    <row r="7" spans="1:4" x14ac:dyDescent="0.3">
      <c r="A7" t="s">
        <v>5</v>
      </c>
      <c r="B7" t="s">
        <v>30</v>
      </c>
    </row>
    <row r="8" spans="1:4" x14ac:dyDescent="0.3">
      <c r="A8" t="s">
        <v>80</v>
      </c>
      <c r="B8" t="s">
        <v>31</v>
      </c>
      <c r="C8">
        <v>0.4</v>
      </c>
    </row>
    <row r="9" spans="1:4" x14ac:dyDescent="0.3">
      <c r="A9" t="s">
        <v>65</v>
      </c>
      <c r="B9" t="s">
        <v>31</v>
      </c>
    </row>
    <row r="10" spans="1:4" x14ac:dyDescent="0.3">
      <c r="A10" t="s">
        <v>67</v>
      </c>
      <c r="B10" t="s">
        <v>31</v>
      </c>
    </row>
    <row r="11" spans="1:4" x14ac:dyDescent="0.3">
      <c r="A11" t="s">
        <v>64</v>
      </c>
      <c r="B11" t="s">
        <v>31</v>
      </c>
    </row>
    <row r="12" spans="1:4" x14ac:dyDescent="0.3">
      <c r="A12" t="s">
        <v>43</v>
      </c>
      <c r="B12" t="s">
        <v>31</v>
      </c>
    </row>
    <row r="13" spans="1:4" x14ac:dyDescent="0.3">
      <c r="A13" t="s">
        <v>48</v>
      </c>
      <c r="B13" t="s">
        <v>31</v>
      </c>
    </row>
    <row r="14" spans="1:4" x14ac:dyDescent="0.3">
      <c r="A14" t="s">
        <v>61</v>
      </c>
      <c r="B14" t="s">
        <v>31</v>
      </c>
    </row>
    <row r="15" spans="1:4" x14ac:dyDescent="0.3">
      <c r="A15" t="s">
        <v>66</v>
      </c>
      <c r="B15" t="s">
        <v>30</v>
      </c>
      <c r="C15">
        <v>0.7</v>
      </c>
    </row>
    <row r="16" spans="1:4" x14ac:dyDescent="0.3">
      <c r="A16" s="17" t="s">
        <v>58</v>
      </c>
      <c r="B16" t="s">
        <v>31</v>
      </c>
    </row>
    <row r="17" spans="1:3" x14ac:dyDescent="0.3">
      <c r="A17" s="17" t="s">
        <v>55</v>
      </c>
      <c r="B17" t="s">
        <v>31</v>
      </c>
    </row>
    <row r="18" spans="1:3" x14ac:dyDescent="0.3">
      <c r="A18" s="57" t="s">
        <v>45</v>
      </c>
      <c r="B18" t="s">
        <v>31</v>
      </c>
    </row>
    <row r="19" spans="1:3" x14ac:dyDescent="0.3">
      <c r="A19" s="50" t="s">
        <v>97</v>
      </c>
      <c r="B19" t="s">
        <v>30</v>
      </c>
    </row>
    <row r="20" spans="1:3" x14ac:dyDescent="0.3">
      <c r="A20" s="17" t="s">
        <v>60</v>
      </c>
      <c r="B20" t="s">
        <v>31</v>
      </c>
    </row>
    <row r="21" spans="1:3" x14ac:dyDescent="0.3">
      <c r="A21" s="17" t="s">
        <v>62</v>
      </c>
      <c r="B21" t="s">
        <v>31</v>
      </c>
    </row>
    <row r="22" spans="1:3" x14ac:dyDescent="0.3">
      <c r="A22" s="17" t="s">
        <v>102</v>
      </c>
      <c r="B22" t="s">
        <v>31</v>
      </c>
    </row>
    <row r="23" spans="1:3" x14ac:dyDescent="0.3">
      <c r="A23" s="17" t="s">
        <v>50</v>
      </c>
      <c r="B23" t="s">
        <v>31</v>
      </c>
      <c r="C23">
        <v>0.4</v>
      </c>
    </row>
    <row r="24" spans="1:3" x14ac:dyDescent="0.3">
      <c r="A24" s="50" t="s">
        <v>101</v>
      </c>
      <c r="B24" t="s">
        <v>31</v>
      </c>
    </row>
    <row r="25" spans="1:3" x14ac:dyDescent="0.3">
      <c r="A25" s="17" t="s">
        <v>100</v>
      </c>
      <c r="B25" t="s">
        <v>30</v>
      </c>
      <c r="C25">
        <v>0.4</v>
      </c>
    </row>
    <row r="26" spans="1:3" x14ac:dyDescent="0.3">
      <c r="A26" s="17" t="s">
        <v>52</v>
      </c>
      <c r="B26" t="s">
        <v>31</v>
      </c>
    </row>
    <row r="27" spans="1:3" x14ac:dyDescent="0.3">
      <c r="A27" s="17" t="s">
        <v>79</v>
      </c>
      <c r="B27" t="s">
        <v>31</v>
      </c>
    </row>
    <row r="28" spans="1:3" x14ac:dyDescent="0.3">
      <c r="A28" s="73" t="s">
        <v>98</v>
      </c>
      <c r="B28" t="s">
        <v>30</v>
      </c>
    </row>
    <row r="29" spans="1:3" x14ac:dyDescent="0.3">
      <c r="A29" t="s">
        <v>49</v>
      </c>
      <c r="B29" t="s">
        <v>31</v>
      </c>
    </row>
    <row r="30" spans="1:3" x14ac:dyDescent="0.3">
      <c r="A30" t="s">
        <v>63</v>
      </c>
      <c r="B30" t="s">
        <v>30</v>
      </c>
    </row>
    <row r="31" spans="1:3" x14ac:dyDescent="0.3">
      <c r="A31" t="s">
        <v>88</v>
      </c>
      <c r="B31" t="s">
        <v>31</v>
      </c>
    </row>
    <row r="32" spans="1:3" x14ac:dyDescent="0.3">
      <c r="A32" t="s">
        <v>103</v>
      </c>
      <c r="B32" t="s">
        <v>30</v>
      </c>
    </row>
    <row r="33" spans="1:2" x14ac:dyDescent="0.3">
      <c r="A33" s="50" t="s">
        <v>59</v>
      </c>
      <c r="B33" t="s">
        <v>31</v>
      </c>
    </row>
    <row r="34" spans="1:2" x14ac:dyDescent="0.3">
      <c r="A34" t="s">
        <v>56</v>
      </c>
      <c r="B34" t="s">
        <v>31</v>
      </c>
    </row>
    <row r="35" spans="1:2" x14ac:dyDescent="0.3">
      <c r="A35" s="50" t="s">
        <v>81</v>
      </c>
      <c r="B35" t="s">
        <v>31</v>
      </c>
    </row>
    <row r="36" spans="1:2" x14ac:dyDescent="0.3">
      <c r="A36" s="50" t="s">
        <v>104</v>
      </c>
      <c r="B36" t="s">
        <v>31</v>
      </c>
    </row>
    <row r="37" spans="1:2" x14ac:dyDescent="0.3">
      <c r="A37" s="50" t="s">
        <v>74</v>
      </c>
      <c r="B37" t="s">
        <v>31</v>
      </c>
    </row>
    <row r="38" spans="1:2" x14ac:dyDescent="0.3">
      <c r="A38" t="s">
        <v>47</v>
      </c>
      <c r="B38" t="s">
        <v>30</v>
      </c>
    </row>
    <row r="39" spans="1:2" x14ac:dyDescent="0.3">
      <c r="A39" t="s">
        <v>111</v>
      </c>
      <c r="B39" t="s">
        <v>31</v>
      </c>
    </row>
    <row r="40" spans="1:2" x14ac:dyDescent="0.3">
      <c r="A40" t="s">
        <v>112</v>
      </c>
      <c r="B40" t="s">
        <v>30</v>
      </c>
    </row>
    <row r="41" spans="1:2" x14ac:dyDescent="0.3">
      <c r="A41" t="s">
        <v>113</v>
      </c>
      <c r="B41" t="s">
        <v>31</v>
      </c>
    </row>
    <row r="42" spans="1:2" x14ac:dyDescent="0.3">
      <c r="A42" t="s">
        <v>114</v>
      </c>
      <c r="B42" t="s">
        <v>31</v>
      </c>
    </row>
    <row r="43" spans="1:2" x14ac:dyDescent="0.3">
      <c r="A43" t="s">
        <v>115</v>
      </c>
      <c r="B43" t="s">
        <v>31</v>
      </c>
    </row>
    <row r="44" spans="1:2" x14ac:dyDescent="0.3">
      <c r="A44" s="75" t="s">
        <v>116</v>
      </c>
      <c r="B44" t="s">
        <v>31</v>
      </c>
    </row>
    <row r="45" spans="1:2" x14ac:dyDescent="0.3">
      <c r="A45" t="s">
        <v>46</v>
      </c>
      <c r="B45" t="s">
        <v>30</v>
      </c>
    </row>
    <row r="46" spans="1:2" x14ac:dyDescent="0.3">
      <c r="A46" t="s">
        <v>117</v>
      </c>
      <c r="B46" t="s">
        <v>31</v>
      </c>
    </row>
    <row r="47" spans="1:2" x14ac:dyDescent="0.3">
      <c r="A47" t="s">
        <v>7</v>
      </c>
      <c r="B47" t="s">
        <v>31</v>
      </c>
    </row>
    <row r="48" spans="1:2" x14ac:dyDescent="0.3">
      <c r="A48" t="s">
        <v>118</v>
      </c>
      <c r="B48" t="s">
        <v>31</v>
      </c>
    </row>
    <row r="49" spans="1:4" x14ac:dyDescent="0.3">
      <c r="A49" t="s">
        <v>119</v>
      </c>
      <c r="B49" t="s">
        <v>31</v>
      </c>
    </row>
    <row r="50" spans="1:4" x14ac:dyDescent="0.3">
      <c r="A50" t="s">
        <v>120</v>
      </c>
      <c r="B50" t="s">
        <v>30</v>
      </c>
    </row>
    <row r="51" spans="1:4" x14ac:dyDescent="0.3">
      <c r="A51" t="s">
        <v>125</v>
      </c>
      <c r="B51" t="s">
        <v>30</v>
      </c>
    </row>
    <row r="52" spans="1:4" x14ac:dyDescent="0.3">
      <c r="A52" t="s">
        <v>54</v>
      </c>
      <c r="B52" t="s">
        <v>30</v>
      </c>
    </row>
    <row r="53" spans="1:4" x14ac:dyDescent="0.3">
      <c r="A53" t="s">
        <v>128</v>
      </c>
      <c r="B53" t="s">
        <v>30</v>
      </c>
    </row>
    <row r="54" spans="1:4" x14ac:dyDescent="0.3">
      <c r="A54" t="s">
        <v>130</v>
      </c>
      <c r="B54" t="s">
        <v>31</v>
      </c>
    </row>
    <row r="55" spans="1:4" x14ac:dyDescent="0.3">
      <c r="A55" t="s">
        <v>131</v>
      </c>
      <c r="B55" t="s">
        <v>31</v>
      </c>
    </row>
    <row r="56" spans="1:4" x14ac:dyDescent="0.3">
      <c r="A56" t="s">
        <v>129</v>
      </c>
      <c r="B56" t="s">
        <v>31</v>
      </c>
    </row>
    <row r="57" spans="1:4" x14ac:dyDescent="0.3">
      <c r="A57" t="s">
        <v>127</v>
      </c>
      <c r="B57" t="s">
        <v>31</v>
      </c>
    </row>
    <row r="58" spans="1:4" x14ac:dyDescent="0.3">
      <c r="A58" t="s">
        <v>132</v>
      </c>
      <c r="B58" t="s">
        <v>31</v>
      </c>
    </row>
    <row r="59" spans="1:4" x14ac:dyDescent="0.3">
      <c r="A59" t="s">
        <v>135</v>
      </c>
      <c r="B59" t="s">
        <v>31</v>
      </c>
      <c r="D59" s="73"/>
    </row>
    <row r="60" spans="1:4" x14ac:dyDescent="0.3">
      <c r="A60" t="s">
        <v>136</v>
      </c>
      <c r="B60" s="73" t="s">
        <v>31</v>
      </c>
      <c r="D60" s="73"/>
    </row>
    <row r="61" spans="1:4" x14ac:dyDescent="0.3">
      <c r="A61" t="s">
        <v>149</v>
      </c>
      <c r="B61" t="s">
        <v>30</v>
      </c>
    </row>
    <row r="62" spans="1:4" x14ac:dyDescent="0.3">
      <c r="A62" t="s">
        <v>150</v>
      </c>
      <c r="B62" t="s">
        <v>31</v>
      </c>
      <c r="C62" s="73">
        <v>0.4</v>
      </c>
      <c r="D62" s="73"/>
    </row>
    <row r="63" spans="1:4" x14ac:dyDescent="0.3">
      <c r="A63" t="s">
        <v>151</v>
      </c>
      <c r="B63" t="s">
        <v>31</v>
      </c>
      <c r="D63" s="73"/>
    </row>
    <row r="64" spans="1:4" x14ac:dyDescent="0.3">
      <c r="A64" t="s">
        <v>152</v>
      </c>
      <c r="B64" t="s">
        <v>30</v>
      </c>
      <c r="D64" s="73"/>
    </row>
    <row r="65" spans="1:4" x14ac:dyDescent="0.3">
      <c r="A65" t="s">
        <v>153</v>
      </c>
      <c r="B65" t="s">
        <v>30</v>
      </c>
      <c r="D65" s="73"/>
    </row>
    <row r="66" spans="1:4" x14ac:dyDescent="0.3">
      <c r="A66" t="s">
        <v>154</v>
      </c>
      <c r="B66" t="s">
        <v>31</v>
      </c>
      <c r="D66" s="73"/>
    </row>
    <row r="67" spans="1:4" x14ac:dyDescent="0.3">
      <c r="A67" t="s">
        <v>155</v>
      </c>
      <c r="B67" t="s">
        <v>30</v>
      </c>
      <c r="D67" s="73"/>
    </row>
    <row r="68" spans="1:4" x14ac:dyDescent="0.3">
      <c r="A68" t="s">
        <v>157</v>
      </c>
      <c r="B68" t="s">
        <v>30</v>
      </c>
      <c r="D68" s="73"/>
    </row>
    <row r="69" spans="1:4" x14ac:dyDescent="0.3">
      <c r="A69" t="s">
        <v>195</v>
      </c>
      <c r="B69" t="s">
        <v>30</v>
      </c>
    </row>
    <row r="70" spans="1:4" x14ac:dyDescent="0.3">
      <c r="A70" t="s">
        <v>196</v>
      </c>
      <c r="B70" s="73" t="s">
        <v>30</v>
      </c>
      <c r="D70" s="73"/>
    </row>
    <row r="71" spans="1:4" x14ac:dyDescent="0.3">
      <c r="A71" t="s">
        <v>197</v>
      </c>
      <c r="B71" t="s">
        <v>31</v>
      </c>
      <c r="D71" s="73"/>
    </row>
    <row r="72" spans="1:4" x14ac:dyDescent="0.3">
      <c r="A72" t="s">
        <v>201</v>
      </c>
      <c r="B72" t="s">
        <v>30</v>
      </c>
      <c r="D72" s="73"/>
    </row>
    <row r="73" spans="1:4" x14ac:dyDescent="0.3">
      <c r="A73" t="s">
        <v>202</v>
      </c>
      <c r="B73" s="73" t="s">
        <v>30</v>
      </c>
      <c r="D73" s="73"/>
    </row>
    <row r="74" spans="1:4" x14ac:dyDescent="0.3">
      <c r="A74" t="s">
        <v>203</v>
      </c>
      <c r="B74" t="s">
        <v>31</v>
      </c>
      <c r="D74" s="73"/>
    </row>
    <row r="75" spans="1:4" x14ac:dyDescent="0.3">
      <c r="A75" t="s">
        <v>204</v>
      </c>
      <c r="B75" s="73" t="s">
        <v>31</v>
      </c>
      <c r="D75" s="73"/>
    </row>
    <row r="76" spans="1:4" x14ac:dyDescent="0.3">
      <c r="A76" t="s">
        <v>211</v>
      </c>
      <c r="B76" t="s">
        <v>30</v>
      </c>
      <c r="D76" s="73"/>
    </row>
    <row r="77" spans="1:4" x14ac:dyDescent="0.3">
      <c r="A77" t="s">
        <v>239</v>
      </c>
      <c r="B77" t="s">
        <v>31</v>
      </c>
      <c r="D77" s="73" t="s">
        <v>106</v>
      </c>
    </row>
    <row r="78" spans="1:4" x14ac:dyDescent="0.3">
      <c r="A78" t="s">
        <v>240</v>
      </c>
      <c r="B78" s="73" t="s">
        <v>31</v>
      </c>
      <c r="C78" s="73"/>
      <c r="D78" s="73" t="s">
        <v>106</v>
      </c>
    </row>
    <row r="79" spans="1:4" x14ac:dyDescent="0.3">
      <c r="A79" t="s">
        <v>241</v>
      </c>
      <c r="B79" s="73" t="s">
        <v>31</v>
      </c>
      <c r="C79" s="73"/>
      <c r="D79" s="73" t="s">
        <v>106</v>
      </c>
    </row>
    <row r="80" spans="1:4" x14ac:dyDescent="0.3">
      <c r="A80" t="s">
        <v>242</v>
      </c>
      <c r="B80" s="73" t="s">
        <v>31</v>
      </c>
      <c r="C80" s="73"/>
      <c r="D80" s="73" t="s">
        <v>106</v>
      </c>
    </row>
    <row r="81" spans="1:4" x14ac:dyDescent="0.3">
      <c r="A81" t="s">
        <v>244</v>
      </c>
      <c r="B81" s="73" t="s">
        <v>31</v>
      </c>
    </row>
    <row r="82" spans="1:4" x14ac:dyDescent="0.3">
      <c r="A82" t="s">
        <v>314</v>
      </c>
      <c r="B82" s="73" t="s">
        <v>31</v>
      </c>
      <c r="D82" t="s">
        <v>106</v>
      </c>
    </row>
    <row r="83" spans="1:4" x14ac:dyDescent="0.3">
      <c r="A83" t="s">
        <v>350</v>
      </c>
      <c r="B83" t="s">
        <v>30</v>
      </c>
      <c r="D83" s="73" t="s">
        <v>106</v>
      </c>
    </row>
  </sheetData>
  <autoFilter ref="A1:D6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pane ySplit="2" topLeftCell="A3" activePane="bottomLeft" state="frozen"/>
      <selection pane="bottomLeft" activeCell="F24" sqref="F24:F25"/>
    </sheetView>
  </sheetViews>
  <sheetFormatPr defaultColWidth="9.109375" defaultRowHeight="12" x14ac:dyDescent="0.25"/>
  <cols>
    <col min="1" max="1" width="20" style="58" customWidth="1"/>
    <col min="2" max="2" width="7.88671875" style="58" customWidth="1"/>
    <col min="3" max="3" width="3.109375" style="83" customWidth="1"/>
    <col min="4" max="5" width="10.77734375" style="58" customWidth="1"/>
    <col min="6" max="6" width="10.77734375" style="58" bestFit="1" customWidth="1"/>
    <col min="7" max="16384" width="9.109375" style="58"/>
  </cols>
  <sheetData>
    <row r="1" spans="1:6" ht="14.4" x14ac:dyDescent="0.3">
      <c r="A1" s="58" t="s">
        <v>122</v>
      </c>
      <c r="B1" s="84" t="s">
        <v>156</v>
      </c>
      <c r="D1" s="83"/>
      <c r="E1"/>
      <c r="F1"/>
    </row>
    <row r="2" spans="1:6" ht="14.4" x14ac:dyDescent="0.3">
      <c r="A2" s="58" t="s">
        <v>123</v>
      </c>
      <c r="B2" s="148" t="s">
        <v>109</v>
      </c>
      <c r="C2" s="147" t="s">
        <v>110</v>
      </c>
      <c r="D2" s="145" t="s">
        <v>124</v>
      </c>
      <c r="E2"/>
      <c r="F2"/>
    </row>
    <row r="3" spans="1:6" ht="14.4" x14ac:dyDescent="0.3">
      <c r="A3" s="146" t="s">
        <v>52</v>
      </c>
      <c r="B3" s="149">
        <v>5</v>
      </c>
      <c r="C3" s="149">
        <v>4</v>
      </c>
      <c r="D3" s="149">
        <v>9</v>
      </c>
      <c r="E3" s="59"/>
      <c r="F3"/>
    </row>
    <row r="4" spans="1:6" ht="14.4" x14ac:dyDescent="0.3">
      <c r="A4" s="146" t="s">
        <v>53</v>
      </c>
      <c r="B4" s="149">
        <v>7</v>
      </c>
      <c r="C4" s="200">
        <v>7</v>
      </c>
      <c r="D4" s="149">
        <v>14</v>
      </c>
      <c r="E4" s="59"/>
      <c r="F4"/>
    </row>
    <row r="5" spans="1:6" ht="14.4" x14ac:dyDescent="0.3">
      <c r="A5" s="146" t="s">
        <v>80</v>
      </c>
      <c r="B5" s="149">
        <v>5</v>
      </c>
      <c r="C5" s="149">
        <v>3</v>
      </c>
      <c r="D5" s="149">
        <v>8</v>
      </c>
      <c r="E5" s="59"/>
      <c r="F5"/>
    </row>
    <row r="6" spans="1:6" ht="14.4" x14ac:dyDescent="0.3">
      <c r="A6" s="146" t="s">
        <v>55</v>
      </c>
      <c r="B6" s="149">
        <v>5</v>
      </c>
      <c r="C6" s="149">
        <v>3</v>
      </c>
      <c r="D6" s="149">
        <v>8</v>
      </c>
      <c r="E6" s="59"/>
      <c r="F6"/>
    </row>
    <row r="7" spans="1:6" ht="14.4" x14ac:dyDescent="0.3">
      <c r="A7" s="146" t="s">
        <v>65</v>
      </c>
      <c r="B7" s="149">
        <v>3</v>
      </c>
      <c r="C7" s="149">
        <v>2</v>
      </c>
      <c r="D7" s="149">
        <v>5</v>
      </c>
      <c r="E7" s="59"/>
      <c r="F7"/>
    </row>
    <row r="8" spans="1:6" ht="14.4" x14ac:dyDescent="0.3">
      <c r="A8" s="146" t="s">
        <v>49</v>
      </c>
      <c r="B8" s="200">
        <v>7</v>
      </c>
      <c r="C8" s="149">
        <v>7</v>
      </c>
      <c r="D8" s="149">
        <v>14</v>
      </c>
      <c r="E8" s="59"/>
      <c r="F8"/>
    </row>
    <row r="9" spans="1:6" ht="14.4" x14ac:dyDescent="0.3">
      <c r="A9" s="146" t="s">
        <v>67</v>
      </c>
      <c r="B9" s="200">
        <v>7</v>
      </c>
      <c r="C9" s="149">
        <v>6</v>
      </c>
      <c r="D9" s="149">
        <v>13</v>
      </c>
      <c r="E9" s="59"/>
      <c r="F9"/>
    </row>
    <row r="10" spans="1:6" ht="14.4" x14ac:dyDescent="0.3">
      <c r="A10" s="146" t="s">
        <v>153</v>
      </c>
      <c r="B10" s="149">
        <v>6</v>
      </c>
      <c r="C10" s="200">
        <v>7</v>
      </c>
      <c r="D10" s="149">
        <v>13</v>
      </c>
      <c r="E10" s="59"/>
      <c r="F10"/>
    </row>
    <row r="11" spans="1:6" ht="14.4" x14ac:dyDescent="0.3">
      <c r="A11" s="146" t="s">
        <v>50</v>
      </c>
      <c r="B11" s="149">
        <v>6</v>
      </c>
      <c r="C11" s="149">
        <v>5</v>
      </c>
      <c r="D11" s="149">
        <v>11</v>
      </c>
      <c r="E11" s="59"/>
      <c r="F11"/>
    </row>
    <row r="12" spans="1:6" ht="14.4" x14ac:dyDescent="0.3">
      <c r="A12" s="146" t="s">
        <v>103</v>
      </c>
      <c r="B12" s="149">
        <v>6</v>
      </c>
      <c r="C12" s="149">
        <v>6</v>
      </c>
      <c r="D12" s="149">
        <v>12</v>
      </c>
      <c r="E12" s="59"/>
      <c r="F12"/>
    </row>
    <row r="13" spans="1:6" ht="14.4" x14ac:dyDescent="0.3">
      <c r="A13" s="146" t="s">
        <v>66</v>
      </c>
      <c r="B13" s="200">
        <v>7</v>
      </c>
      <c r="C13" s="149">
        <v>5</v>
      </c>
      <c r="D13" s="149">
        <v>12</v>
      </c>
      <c r="E13" s="59"/>
      <c r="F13"/>
    </row>
    <row r="14" spans="1:6" ht="14.4" x14ac:dyDescent="0.3">
      <c r="A14" s="146" t="s">
        <v>61</v>
      </c>
      <c r="B14" s="149">
        <v>6</v>
      </c>
      <c r="C14" s="200">
        <v>7</v>
      </c>
      <c r="D14" s="149">
        <v>13</v>
      </c>
      <c r="E14" s="59"/>
      <c r="F14"/>
    </row>
    <row r="15" spans="1:6" ht="14.4" x14ac:dyDescent="0.3">
      <c r="A15" s="146" t="s">
        <v>111</v>
      </c>
      <c r="B15" s="149">
        <v>7</v>
      </c>
      <c r="C15" s="149">
        <v>6</v>
      </c>
      <c r="D15" s="149">
        <v>13</v>
      </c>
      <c r="E15" s="59"/>
      <c r="F15"/>
    </row>
    <row r="16" spans="1:6" ht="14.4" x14ac:dyDescent="0.3">
      <c r="A16" s="146" t="s">
        <v>51</v>
      </c>
      <c r="B16" s="200">
        <v>7</v>
      </c>
      <c r="C16" s="149">
        <v>7</v>
      </c>
      <c r="D16" s="149">
        <v>14</v>
      </c>
      <c r="E16" s="59"/>
      <c r="F16"/>
    </row>
    <row r="17" spans="1:6" ht="14.4" x14ac:dyDescent="0.3">
      <c r="A17" s="146" t="s">
        <v>5</v>
      </c>
      <c r="B17" s="149">
        <v>1</v>
      </c>
      <c r="C17" s="149">
        <v>2</v>
      </c>
      <c r="D17" s="149">
        <v>3</v>
      </c>
      <c r="E17" s="59"/>
      <c r="F17"/>
    </row>
    <row r="18" spans="1:6" ht="14.4" x14ac:dyDescent="0.3">
      <c r="A18" s="146" t="s">
        <v>196</v>
      </c>
      <c r="B18" s="149">
        <v>5</v>
      </c>
      <c r="C18" s="200">
        <v>7</v>
      </c>
      <c r="D18" s="149">
        <v>12</v>
      </c>
      <c r="E18" s="59"/>
      <c r="F18"/>
    </row>
    <row r="19" spans="1:6" ht="14.4" x14ac:dyDescent="0.3">
      <c r="A19" s="146" t="s">
        <v>102</v>
      </c>
      <c r="B19" s="149">
        <v>7</v>
      </c>
      <c r="C19" s="200">
        <v>7</v>
      </c>
      <c r="D19" s="149">
        <v>14</v>
      </c>
      <c r="E19" s="59"/>
      <c r="F19"/>
    </row>
    <row r="20" spans="1:6" ht="14.4" x14ac:dyDescent="0.3">
      <c r="A20" s="146" t="s">
        <v>119</v>
      </c>
      <c r="B20" s="149">
        <v>7</v>
      </c>
      <c r="C20" s="200">
        <v>7</v>
      </c>
      <c r="D20" s="149">
        <v>14</v>
      </c>
      <c r="E20" s="59"/>
      <c r="F20"/>
    </row>
    <row r="21" spans="1:6" ht="14.4" x14ac:dyDescent="0.3">
      <c r="A21" s="146" t="s">
        <v>202</v>
      </c>
      <c r="B21" s="149">
        <v>6</v>
      </c>
      <c r="C21" s="149">
        <v>6</v>
      </c>
      <c r="D21" s="149">
        <v>12</v>
      </c>
      <c r="E21" s="59"/>
      <c r="F21"/>
    </row>
    <row r="22" spans="1:6" ht="14.4" x14ac:dyDescent="0.3">
      <c r="A22" s="146" t="s">
        <v>118</v>
      </c>
      <c r="B22" s="149">
        <v>7</v>
      </c>
      <c r="C22" s="149">
        <v>6</v>
      </c>
      <c r="D22" s="149">
        <v>13</v>
      </c>
      <c r="E22" s="59"/>
      <c r="F22"/>
    </row>
    <row r="23" spans="1:6" ht="14.4" x14ac:dyDescent="0.3">
      <c r="A23" s="146" t="s">
        <v>203</v>
      </c>
      <c r="B23" s="200">
        <v>7</v>
      </c>
      <c r="C23" s="149">
        <v>7</v>
      </c>
      <c r="D23" s="149">
        <v>14</v>
      </c>
      <c r="E23" s="59"/>
      <c r="F23"/>
    </row>
    <row r="24" spans="1:6" ht="14.4" x14ac:dyDescent="0.3">
      <c r="A24" s="146" t="s">
        <v>211</v>
      </c>
      <c r="B24" s="200">
        <v>7</v>
      </c>
      <c r="C24" s="149">
        <v>7</v>
      </c>
      <c r="D24" s="149">
        <v>14</v>
      </c>
      <c r="E24" s="59"/>
      <c r="F24"/>
    </row>
    <row r="25" spans="1:6" ht="14.4" x14ac:dyDescent="0.3">
      <c r="A25" s="146" t="s">
        <v>154</v>
      </c>
      <c r="B25" s="200">
        <v>7</v>
      </c>
      <c r="C25" s="149">
        <v>6</v>
      </c>
      <c r="D25" s="149">
        <v>13</v>
      </c>
      <c r="E25" s="59"/>
      <c r="F25"/>
    </row>
    <row r="26" spans="1:6" ht="14.4" x14ac:dyDescent="0.3">
      <c r="A26" s="146" t="s">
        <v>152</v>
      </c>
      <c r="B26" s="200">
        <v>7</v>
      </c>
      <c r="C26" s="149">
        <v>7</v>
      </c>
      <c r="D26" s="149">
        <v>14</v>
      </c>
      <c r="E26" s="59"/>
      <c r="F26"/>
    </row>
    <row r="27" spans="1:6" ht="14.4" x14ac:dyDescent="0.3">
      <c r="A27" s="146" t="s">
        <v>117</v>
      </c>
      <c r="B27" s="200">
        <v>7</v>
      </c>
      <c r="C27" s="149">
        <v>4</v>
      </c>
      <c r="D27" s="149">
        <v>11</v>
      </c>
      <c r="E27" s="59"/>
      <c r="F27"/>
    </row>
    <row r="28" spans="1:6" ht="11.4" customHeight="1" x14ac:dyDescent="0.3">
      <c r="A28" s="146" t="s">
        <v>100</v>
      </c>
      <c r="B28" s="149">
        <v>5</v>
      </c>
      <c r="C28" s="149">
        <v>4</v>
      </c>
      <c r="D28" s="149">
        <v>9</v>
      </c>
      <c r="E28" s="59"/>
      <c r="F28"/>
    </row>
    <row r="29" spans="1:6" ht="14.4" x14ac:dyDescent="0.3">
      <c r="A29" s="146" t="s">
        <v>239</v>
      </c>
      <c r="B29" s="200">
        <v>7</v>
      </c>
      <c r="C29" s="149">
        <v>7</v>
      </c>
      <c r="D29" s="149">
        <v>14</v>
      </c>
      <c r="E29" s="59"/>
      <c r="F29"/>
    </row>
    <row r="30" spans="1:6" ht="14.4" x14ac:dyDescent="0.3">
      <c r="A30" s="146" t="s">
        <v>240</v>
      </c>
      <c r="B30" s="200">
        <v>7</v>
      </c>
      <c r="C30" s="149">
        <v>7</v>
      </c>
      <c r="D30" s="149">
        <v>14</v>
      </c>
      <c r="E30" s="59"/>
      <c r="F30"/>
    </row>
    <row r="31" spans="1:6" ht="14.4" x14ac:dyDescent="0.3">
      <c r="A31" s="146" t="s">
        <v>241</v>
      </c>
      <c r="B31" s="149">
        <v>6</v>
      </c>
      <c r="C31" s="149">
        <v>4</v>
      </c>
      <c r="D31" s="149">
        <v>10</v>
      </c>
      <c r="E31" s="59"/>
      <c r="F31"/>
    </row>
    <row r="32" spans="1:6" ht="14.4" x14ac:dyDescent="0.3">
      <c r="A32" s="146" t="s">
        <v>242</v>
      </c>
      <c r="B32" s="200">
        <v>7</v>
      </c>
      <c r="C32" s="149">
        <v>7</v>
      </c>
      <c r="D32" s="149">
        <v>14</v>
      </c>
      <c r="E32" s="59"/>
      <c r="F32"/>
    </row>
    <row r="33" spans="1:6" ht="14.4" x14ac:dyDescent="0.3">
      <c r="A33" s="146" t="s">
        <v>244</v>
      </c>
      <c r="B33" s="149">
        <v>6</v>
      </c>
      <c r="C33" s="149">
        <v>2</v>
      </c>
      <c r="D33" s="149">
        <v>8</v>
      </c>
      <c r="E33" s="59"/>
      <c r="F33"/>
    </row>
    <row r="34" spans="1:6" ht="14.4" x14ac:dyDescent="0.3">
      <c r="A34" s="146" t="s">
        <v>7</v>
      </c>
      <c r="B34" s="200">
        <v>7</v>
      </c>
      <c r="C34" s="149">
        <v>7</v>
      </c>
      <c r="D34" s="149">
        <v>14</v>
      </c>
      <c r="E34" s="59"/>
      <c r="F34"/>
    </row>
    <row r="35" spans="1:6" ht="14.4" x14ac:dyDescent="0.3">
      <c r="A35" s="146" t="s">
        <v>60</v>
      </c>
      <c r="B35" s="149">
        <v>3</v>
      </c>
      <c r="C35" s="149">
        <v>5</v>
      </c>
      <c r="D35" s="149">
        <v>8</v>
      </c>
      <c r="E35" s="59"/>
      <c r="F35"/>
    </row>
    <row r="36" spans="1:6" ht="14.4" x14ac:dyDescent="0.3">
      <c r="A36" s="146" t="s">
        <v>127</v>
      </c>
      <c r="B36" s="149">
        <v>1</v>
      </c>
      <c r="C36" s="149">
        <v>2</v>
      </c>
      <c r="D36" s="149">
        <v>3</v>
      </c>
      <c r="E36" s="59"/>
      <c r="F36"/>
    </row>
    <row r="37" spans="1:6" ht="14.4" x14ac:dyDescent="0.3">
      <c r="A37" s="146" t="s">
        <v>43</v>
      </c>
      <c r="B37" s="149">
        <v>1</v>
      </c>
      <c r="C37" s="149">
        <v>2</v>
      </c>
      <c r="D37" s="149">
        <v>3</v>
      </c>
      <c r="E37" s="59"/>
      <c r="F37"/>
    </row>
    <row r="38" spans="1:6" ht="14.4" x14ac:dyDescent="0.3">
      <c r="A38" s="146" t="s">
        <v>101</v>
      </c>
      <c r="B38" s="149"/>
      <c r="C38" s="149">
        <v>1</v>
      </c>
      <c r="D38" s="149">
        <v>1</v>
      </c>
      <c r="E38" s="59"/>
      <c r="F38"/>
    </row>
    <row r="39" spans="1:6" ht="14.4" x14ac:dyDescent="0.3">
      <c r="A39" s="146" t="s">
        <v>314</v>
      </c>
      <c r="B39" s="149"/>
      <c r="C39" s="149">
        <v>1</v>
      </c>
      <c r="D39" s="149">
        <v>1</v>
      </c>
      <c r="E39" s="59"/>
      <c r="F39"/>
    </row>
    <row r="40" spans="1:6" ht="14.4" x14ac:dyDescent="0.3">
      <c r="A40" s="146" t="s">
        <v>350</v>
      </c>
      <c r="B40" s="149"/>
      <c r="C40" s="149">
        <v>1</v>
      </c>
      <c r="D40" s="149">
        <v>1</v>
      </c>
      <c r="E40"/>
      <c r="F40"/>
    </row>
    <row r="41" spans="1:6" ht="14.4" x14ac:dyDescent="0.3">
      <c r="A41" s="146" t="s">
        <v>124</v>
      </c>
      <c r="B41" s="166">
        <v>202</v>
      </c>
      <c r="C41" s="167">
        <v>191</v>
      </c>
      <c r="D41" s="149">
        <v>393</v>
      </c>
      <c r="E41"/>
      <c r="F41"/>
    </row>
    <row r="42" spans="1:6" ht="14.4" x14ac:dyDescent="0.3">
      <c r="A42"/>
      <c r="B42"/>
      <c r="C42"/>
      <c r="D42"/>
      <c r="E42"/>
      <c r="F42"/>
    </row>
    <row r="43" spans="1:6" ht="14.4" x14ac:dyDescent="0.3">
      <c r="A43"/>
      <c r="B43"/>
      <c r="C43" s="75"/>
      <c r="D43"/>
      <c r="E43"/>
      <c r="F43"/>
    </row>
    <row r="44" spans="1:6" ht="14.4" x14ac:dyDescent="0.3">
      <c r="A44"/>
      <c r="B44"/>
      <c r="C44" s="75"/>
      <c r="D44"/>
      <c r="E44"/>
      <c r="F44"/>
    </row>
    <row r="45" spans="1:6" ht="14.4" x14ac:dyDescent="0.3">
      <c r="A45"/>
      <c r="B45"/>
      <c r="C45" s="75"/>
      <c r="D45"/>
      <c r="E45"/>
      <c r="F45"/>
    </row>
    <row r="46" spans="1:6" ht="14.4" x14ac:dyDescent="0.3">
      <c r="A46"/>
      <c r="B46"/>
      <c r="C46" s="75"/>
      <c r="D46"/>
      <c r="E46"/>
      <c r="F46"/>
    </row>
    <row r="47" spans="1:6" ht="14.4" x14ac:dyDescent="0.3">
      <c r="A47"/>
      <c r="B47"/>
      <c r="C47" s="75"/>
      <c r="D47"/>
      <c r="E47"/>
      <c r="F47"/>
    </row>
    <row r="48" spans="1:6" ht="14.4" x14ac:dyDescent="0.3">
      <c r="A48"/>
      <c r="B48"/>
      <c r="C48" s="75"/>
      <c r="D48"/>
      <c r="E48"/>
      <c r="F48" s="78"/>
    </row>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X525"/>
  <sheetViews>
    <sheetView zoomScaleNormal="100" workbookViewId="0">
      <pane ySplit="1" topLeftCell="A500" activePane="bottomLeft" state="frozen"/>
      <selection pane="bottomLeft" activeCell="L506" sqref="L506"/>
    </sheetView>
  </sheetViews>
  <sheetFormatPr defaultColWidth="9.109375" defaultRowHeight="12" x14ac:dyDescent="0.25"/>
  <cols>
    <col min="1" max="1" width="20.5546875" style="2" customWidth="1"/>
    <col min="2" max="2" width="5" style="2" customWidth="1"/>
    <col min="3" max="3" width="7.109375" style="141" bestFit="1" customWidth="1"/>
    <col min="4" max="4" width="9.33203125" style="2" bestFit="1" customWidth="1"/>
    <col min="5" max="6" width="9.33203125" style="2" customWidth="1"/>
    <col min="7" max="7" width="11.109375" style="2" bestFit="1" customWidth="1"/>
    <col min="8" max="8" width="9.33203125" style="28" bestFit="1" customWidth="1"/>
    <col min="9" max="9" width="9.109375" style="2"/>
    <col min="10" max="10" width="6.5546875" style="2" customWidth="1"/>
    <col min="11" max="11" width="6.5546875" style="77" customWidth="1"/>
    <col min="12" max="12" width="7.6640625" style="2" bestFit="1" customWidth="1"/>
    <col min="13" max="13" width="6.88671875" style="2" bestFit="1" customWidth="1"/>
    <col min="14" max="14" width="5.33203125" style="2" bestFit="1" customWidth="1"/>
    <col min="15" max="16" width="6" style="27" customWidth="1"/>
    <col min="17" max="17" width="6.44140625" style="27" customWidth="1"/>
    <col min="18" max="18" width="6" style="27" customWidth="1"/>
    <col min="19" max="19" width="9.109375" style="22" customWidth="1"/>
    <col min="20" max="20" width="10.44140625" style="23" customWidth="1"/>
    <col min="21" max="21" width="6.77734375" style="141" customWidth="1"/>
    <col min="22" max="22" width="10.6640625" style="2" bestFit="1" customWidth="1"/>
    <col min="23" max="23" width="16.6640625" style="23" bestFit="1" customWidth="1"/>
    <col min="24" max="16384" width="9.109375" style="23"/>
  </cols>
  <sheetData>
    <row r="1" spans="1:24" ht="23.25" customHeight="1" x14ac:dyDescent="0.25">
      <c r="A1" s="47" t="s">
        <v>32</v>
      </c>
      <c r="B1" s="18" t="s">
        <v>33</v>
      </c>
      <c r="C1" s="136" t="s">
        <v>29</v>
      </c>
      <c r="D1" s="47" t="s">
        <v>34</v>
      </c>
      <c r="E1" s="70" t="s">
        <v>133</v>
      </c>
      <c r="F1" s="70" t="s">
        <v>134</v>
      </c>
      <c r="G1" s="70" t="s">
        <v>35</v>
      </c>
      <c r="H1" s="48" t="s">
        <v>87</v>
      </c>
      <c r="I1" s="13" t="s">
        <v>36</v>
      </c>
      <c r="J1" s="13" t="s">
        <v>37</v>
      </c>
      <c r="K1" s="13" t="s">
        <v>38</v>
      </c>
      <c r="L1" s="111" t="s">
        <v>108</v>
      </c>
      <c r="M1" s="13" t="s">
        <v>109</v>
      </c>
      <c r="N1" s="13" t="s">
        <v>110</v>
      </c>
      <c r="O1" s="26" t="s">
        <v>73</v>
      </c>
      <c r="P1" s="26" t="s">
        <v>77</v>
      </c>
      <c r="Q1" s="26" t="s">
        <v>85</v>
      </c>
      <c r="R1" s="26" t="s">
        <v>86</v>
      </c>
      <c r="S1" s="199" t="s">
        <v>39</v>
      </c>
      <c r="T1" s="47" t="s">
        <v>40</v>
      </c>
      <c r="U1" s="142" t="s">
        <v>41</v>
      </c>
      <c r="V1" s="2" t="s">
        <v>121</v>
      </c>
      <c r="X1" s="23" t="s">
        <v>355</v>
      </c>
    </row>
    <row r="2" spans="1:24" x14ac:dyDescent="0.25">
      <c r="A2" s="64" t="s">
        <v>49</v>
      </c>
      <c r="B2" s="2" t="str">
        <f>VLOOKUP(A2,Participanti!A:B,2,0)</f>
        <v>M</v>
      </c>
      <c r="C2" s="137">
        <v>1</v>
      </c>
      <c r="D2" s="66">
        <v>14.65</v>
      </c>
      <c r="E2" s="67">
        <v>4.7129629629629632E-2</v>
      </c>
      <c r="F2" s="67">
        <v>4.7129629629629632E-2</v>
      </c>
      <c r="G2" s="100">
        <f>AVERAGE(E2:F2)</f>
        <v>4.7129629629629632E-2</v>
      </c>
      <c r="H2" s="68">
        <v>92</v>
      </c>
      <c r="I2" s="14">
        <f>G2/D2</f>
        <v>3.2170395651624321E-3</v>
      </c>
      <c r="J2" s="92">
        <f>IF(B2="F",IF(D2&lt;2.5,0,IF(D2&gt;19.99,5,D2/4)),IF(D2&lt;3,0, IF(D2&gt;20.99,5,D2/4.2)))</f>
        <v>3.4880952380952381</v>
      </c>
      <c r="K2" s="92">
        <f>IF(J2=0,0,IF(B2="F",VLOOKUP(I2,Barem!$G$2:$H$11,2,1),VLOOKUP(I2,Barem!$G$12:$H$21,2,1)))</f>
        <v>3.5</v>
      </c>
      <c r="L2" s="65" t="str">
        <f>VLOOKUP(C2,Barem!L:Q,6,0)</f>
        <v>D</v>
      </c>
      <c r="M2" s="11">
        <f>IF(OR(L2="P1",L2="P2",L2="P3"),"",IF(C2=15,0.5,IF(L2="D",0.75,0.25)))</f>
        <v>0.75</v>
      </c>
      <c r="N2" s="11">
        <f>IF(OR(L2="P1",L2="P2",L2="P3"),"",IF(C2=15,0.5,IF(L2="V",0.75,0.25)))</f>
        <v>0.25</v>
      </c>
      <c r="O2" s="49">
        <f>IF(H2&lt;-49,H2/1500,IF(H2&gt;49,H2/1500,0))</f>
        <v>6.133333333333333E-2</v>
      </c>
      <c r="P2" s="27">
        <f>IF(D2&gt;21,VLOOKUP(D2,Barem!$S$1:$T$141,2,1),0)</f>
        <v>0</v>
      </c>
      <c r="Q2" s="27">
        <f>IF(D2&lt;1.609,0,IF(B2="F",VLOOKUP(I2,Barem!$W$2:$Y$13,2,1),VLOOKUP(I2,Barem!$W$14:$Y$25,2,1)))</f>
        <v>0</v>
      </c>
      <c r="R2" s="27">
        <f>VLOOKUP(A2,Participanti!A:C,3,0)</f>
        <v>0</v>
      </c>
      <c r="S2" s="21">
        <f>J2*M2+K2*N2+O2+P2+Q2+R2</f>
        <v>3.5524047619047621</v>
      </c>
      <c r="T2" s="82">
        <v>44446</v>
      </c>
      <c r="U2" s="143">
        <f>COUNTIFS(A:A,A2,C:C,C2)</f>
        <v>1</v>
      </c>
      <c r="V2" s="2" t="str">
        <f>VLOOKUP(A2,Data_echipe!A:U,21,0)</f>
        <v>All Stars</v>
      </c>
      <c r="W2" s="23" t="s">
        <v>243</v>
      </c>
      <c r="X2" s="154">
        <v>1</v>
      </c>
    </row>
    <row r="3" spans="1:24" x14ac:dyDescent="0.25">
      <c r="A3" s="64" t="s">
        <v>65</v>
      </c>
      <c r="B3" s="77" t="str">
        <f>VLOOKUP(A3,Participanti!A:B,2,0)</f>
        <v>M</v>
      </c>
      <c r="C3" s="137">
        <v>1</v>
      </c>
      <c r="D3" s="66">
        <v>11.25</v>
      </c>
      <c r="E3" s="67">
        <v>4.2754629629629635E-2</v>
      </c>
      <c r="F3" s="67">
        <v>4.2789351851851849E-2</v>
      </c>
      <c r="G3" s="100">
        <f>AVERAGE(E3:F3)</f>
        <v>4.2771990740740742E-2</v>
      </c>
      <c r="H3" s="68">
        <v>18</v>
      </c>
      <c r="I3" s="14">
        <f>G3/D3</f>
        <v>3.8019547325102883E-3</v>
      </c>
      <c r="J3" s="92">
        <f>IF(B3="F",IF(D3&lt;2.5,0,IF(D3&gt;19.99,5,D3/4)),IF(D3&lt;3,0, IF(D3&gt;20.99,5,D3/4.2)))</f>
        <v>2.6785714285714284</v>
      </c>
      <c r="K3" s="92">
        <f>IF(J3=0,0,IF(B3="F",VLOOKUP(I3,Barem!$G$2:$H$11,2,1),VLOOKUP(I3,Barem!$G$12:$H$21,2,1)))</f>
        <v>2</v>
      </c>
      <c r="L3" s="110" t="s">
        <v>110</v>
      </c>
      <c r="M3" s="11">
        <f>IF(OR(L3="P1",L3="P2",L3="P3"),"",IF(C3=15,0.5,IF(L3="D",0.75,0.25)))</f>
        <v>0.25</v>
      </c>
      <c r="N3" s="11">
        <f>IF(OR(L3="P1",L3="P2",L3="P3"),"",IF(C3=15,0.5,IF(L3="V",0.75,0.25)))</f>
        <v>0.75</v>
      </c>
      <c r="O3" s="49">
        <f t="shared" ref="O3:O17" si="0">IF(H3&lt;-49,H3/1500,IF(H3&gt;49,H3/1500,0))</f>
        <v>0</v>
      </c>
      <c r="P3" s="27">
        <f>IF(D3&gt;21,VLOOKUP(D3,Barem!$S$1:$T$141,2,1),0)</f>
        <v>0</v>
      </c>
      <c r="Q3" s="27">
        <f>IF(D3&lt;1.609,0,IF(B3="F",VLOOKUP(I3,Barem!$W$2:$Y$13,2,1),VLOOKUP(I3,Barem!$W$14:$Y$25,2,1)))</f>
        <v>0</v>
      </c>
      <c r="R3" s="27">
        <f>VLOOKUP(A3,Participanti!A:C,3,0)</f>
        <v>0</v>
      </c>
      <c r="S3" s="21">
        <f>J3*M3+K3*N3+O3+P3+Q3+R3</f>
        <v>2.1696428571428572</v>
      </c>
      <c r="T3" s="82">
        <v>44451</v>
      </c>
      <c r="U3" s="143">
        <f>COUNTIFS(A:A,A3,C:C,C3)</f>
        <v>1</v>
      </c>
      <c r="V3" s="77" t="str">
        <f>VLOOKUP(A3,Data_echipe!A:U,21,0)</f>
        <v>UltraSYR</v>
      </c>
      <c r="X3" s="154">
        <v>1</v>
      </c>
    </row>
    <row r="4" spans="1:24" x14ac:dyDescent="0.25">
      <c r="A4" s="64" t="s">
        <v>51</v>
      </c>
      <c r="B4" s="77" t="str">
        <f>VLOOKUP(A4,Participanti!A:B,2,0)</f>
        <v>M</v>
      </c>
      <c r="C4" s="137">
        <v>1</v>
      </c>
      <c r="D4" s="66">
        <v>38.700000000000003</v>
      </c>
      <c r="E4" s="67">
        <v>0.23021990740740739</v>
      </c>
      <c r="F4" s="67">
        <v>0.25009259259259259</v>
      </c>
      <c r="G4" s="100">
        <f t="shared" ref="G4:G25" si="1">AVERAGE(E4:F4)</f>
        <v>0.24015624999999999</v>
      </c>
      <c r="H4" s="68">
        <v>2112</v>
      </c>
      <c r="I4" s="14">
        <f t="shared" ref="I4:I17" si="2">G4/D4</f>
        <v>6.2055878552971571E-3</v>
      </c>
      <c r="J4" s="92">
        <f t="shared" ref="J4:J17" si="3">IF(B4="F",IF(D4&lt;2.5,0,IF(D4&gt;19.99,5,D4/4)),IF(D4&lt;3,0, IF(D4&gt;20.99,5,D4/4.2)))</f>
        <v>5</v>
      </c>
      <c r="K4" s="92">
        <f>IF(J4=0,0,IF(B4="F",VLOOKUP(I4,Barem!$G$2:$H$11,2,1),VLOOKUP(I4,Barem!$G$12:$H$21,2,1)))</f>
        <v>0</v>
      </c>
      <c r="L4" s="65" t="str">
        <f>VLOOKUP(C4,Barem!L:Q,6,0)</f>
        <v>D</v>
      </c>
      <c r="M4" s="11">
        <f t="shared" ref="M4:M17" si="4">IF(OR(L4="P1",L4="P2",L4="P3"),"",IF(C4=15,0.5,IF(L4="D",0.75,0.25)))</f>
        <v>0.75</v>
      </c>
      <c r="N4" s="11">
        <f t="shared" ref="N4:N17" si="5">IF(OR(L4="P1",L4="P2",L4="P3"),"",IF(C4=15,0.5,IF(L4="V",0.75,0.25)))</f>
        <v>0.25</v>
      </c>
      <c r="O4" s="49">
        <f t="shared" si="0"/>
        <v>1.4079999999999999</v>
      </c>
      <c r="P4" s="27">
        <f>IF(D4&gt;21,VLOOKUP(D4,Barem!$S$1:$T$141,2,1),0)</f>
        <v>0.8</v>
      </c>
      <c r="Q4" s="27">
        <f>IF(D4&lt;1.609,0,IF(B4="F",VLOOKUP(I4,Barem!$W$2:$Y$13,2,1),VLOOKUP(I4,Barem!$W$14:$Y$25,2,1)))</f>
        <v>0</v>
      </c>
      <c r="R4" s="27">
        <f>VLOOKUP(A4,Participanti!A:C,3,0)</f>
        <v>0</v>
      </c>
      <c r="S4" s="21">
        <f t="shared" ref="S4:S17" si="6">J4*M4+K4*N4+O4+P4+Q4+R4</f>
        <v>5.9579999999999993</v>
      </c>
      <c r="T4" s="82">
        <v>44450</v>
      </c>
      <c r="U4" s="143">
        <f>COUNTIFS(A:A,A4,C:C,C4)</f>
        <v>1</v>
      </c>
      <c r="V4" s="77" t="str">
        <f>VLOOKUP(A4,Data_echipe!A:U,21,0)</f>
        <v>UltraSYR</v>
      </c>
      <c r="X4" s="154"/>
    </row>
    <row r="5" spans="1:24" x14ac:dyDescent="0.25">
      <c r="A5" s="64" t="s">
        <v>5</v>
      </c>
      <c r="B5" s="77" t="str">
        <f>VLOOKUP(A5,Participanti!A:B,2,0)</f>
        <v>F</v>
      </c>
      <c r="C5" s="137">
        <v>1</v>
      </c>
      <c r="D5" s="66">
        <v>25.05</v>
      </c>
      <c r="E5" s="67">
        <v>0.15594907407407407</v>
      </c>
      <c r="F5" s="67">
        <v>0.19554398148148147</v>
      </c>
      <c r="G5" s="100">
        <f t="shared" si="1"/>
        <v>0.17574652777777777</v>
      </c>
      <c r="H5" s="68">
        <v>1336</v>
      </c>
      <c r="I5" s="14">
        <f t="shared" si="2"/>
        <v>7.0158294522066969E-3</v>
      </c>
      <c r="J5" s="92">
        <f t="shared" si="3"/>
        <v>5</v>
      </c>
      <c r="K5" s="92">
        <f>IF(J5=0,0,IF(B5="F",VLOOKUP(I5,Barem!$G$2:$H$11,2,1),VLOOKUP(I5,Barem!$G$12:$H$21,2,1)))</f>
        <v>0</v>
      </c>
      <c r="L5" s="65" t="str">
        <f>VLOOKUP(C5,Barem!L:Q,6,0)</f>
        <v>D</v>
      </c>
      <c r="M5" s="11">
        <f t="shared" si="4"/>
        <v>0.75</v>
      </c>
      <c r="N5" s="11">
        <f t="shared" si="5"/>
        <v>0.25</v>
      </c>
      <c r="O5" s="49">
        <f t="shared" si="0"/>
        <v>0.89066666666666672</v>
      </c>
      <c r="P5" s="27">
        <f>IF(D5&gt;21,VLOOKUP(D5,Barem!$S$1:$T$141,2,1),0)</f>
        <v>0.2</v>
      </c>
      <c r="Q5" s="27">
        <f>IF(D5&lt;1.609,0,IF(B5="F",VLOOKUP(I5,Barem!$W$2:$Y$13,2,1),VLOOKUP(I5,Barem!$W$14:$Y$25,2,1)))</f>
        <v>0</v>
      </c>
      <c r="R5" s="27">
        <f>VLOOKUP(A5,Participanti!A:C,3,0)</f>
        <v>0</v>
      </c>
      <c r="S5" s="21">
        <f t="shared" si="6"/>
        <v>4.8406666666666665</v>
      </c>
      <c r="T5" s="82">
        <v>44448</v>
      </c>
      <c r="U5" s="143">
        <f>COUNTIFS(A:A,A5,C:C,C5)</f>
        <v>1</v>
      </c>
      <c r="V5" s="77" t="str">
        <f>VLOOKUP(A5,Data_echipe!A:U,21,0)</f>
        <v>All Stars</v>
      </c>
      <c r="X5" s="154"/>
    </row>
    <row r="6" spans="1:24" x14ac:dyDescent="0.25">
      <c r="A6" s="64" t="s">
        <v>80</v>
      </c>
      <c r="B6" s="77" t="str">
        <f>VLOOKUP(A6,Participanti!A:B,2,0)</f>
        <v>M</v>
      </c>
      <c r="C6" s="137">
        <v>1</v>
      </c>
      <c r="D6" s="66">
        <v>34.67</v>
      </c>
      <c r="E6" s="67">
        <v>0.29649305555555555</v>
      </c>
      <c r="F6" s="67">
        <v>0.31267361111111108</v>
      </c>
      <c r="G6" s="100">
        <f t="shared" si="1"/>
        <v>0.30458333333333332</v>
      </c>
      <c r="H6" s="68">
        <v>1988</v>
      </c>
      <c r="I6" s="14">
        <f t="shared" si="2"/>
        <v>8.7852129602922786E-3</v>
      </c>
      <c r="J6" s="92">
        <f t="shared" si="3"/>
        <v>5</v>
      </c>
      <c r="K6" s="92">
        <f>IF(J6=0,0,IF(B6="F",VLOOKUP(I6,Barem!$G$2:$H$11,2,1),VLOOKUP(I6,Barem!$G$12:$H$21,2,1)))</f>
        <v>0</v>
      </c>
      <c r="L6" s="65" t="str">
        <f>VLOOKUP(C6,Barem!L:Q,6,0)</f>
        <v>D</v>
      </c>
      <c r="M6" s="11">
        <f t="shared" si="4"/>
        <v>0.75</v>
      </c>
      <c r="N6" s="11">
        <f t="shared" si="5"/>
        <v>0.25</v>
      </c>
      <c r="O6" s="49">
        <f t="shared" si="0"/>
        <v>1.3253333333333333</v>
      </c>
      <c r="P6" s="27">
        <f>IF(D6&gt;21,VLOOKUP(D6,Barem!$S$1:$T$141,2,1),0)</f>
        <v>0.6</v>
      </c>
      <c r="Q6" s="27">
        <f>IF(D6&lt;1.609,0,IF(B6="F",VLOOKUP(I6,Barem!$W$2:$Y$13,2,1),VLOOKUP(I6,Barem!$W$14:$Y$25,2,1)))</f>
        <v>0</v>
      </c>
      <c r="R6" s="27">
        <f>VLOOKUP(A6,Participanti!A:C,3,0)</f>
        <v>0.4</v>
      </c>
      <c r="S6" s="21">
        <f t="shared" si="6"/>
        <v>6.075333333333333</v>
      </c>
      <c r="T6" s="82">
        <v>44450</v>
      </c>
      <c r="U6" s="143">
        <f>COUNTIFS(A:A,A6,C:C,C6)</f>
        <v>1</v>
      </c>
      <c r="V6" s="77" t="str">
        <f>VLOOKUP(A6,Data_echipe!A:U,21,0)</f>
        <v>UltraSYR</v>
      </c>
      <c r="X6" s="154"/>
    </row>
    <row r="7" spans="1:24" x14ac:dyDescent="0.25">
      <c r="A7" s="64" t="s">
        <v>196</v>
      </c>
      <c r="B7" s="77" t="str">
        <f>VLOOKUP(A7,Participanti!A:B,2,0)</f>
        <v>F</v>
      </c>
      <c r="C7" s="137">
        <v>1</v>
      </c>
      <c r="D7" s="66">
        <v>17.68</v>
      </c>
      <c r="E7" s="67">
        <v>0.18681712962962962</v>
      </c>
      <c r="F7" s="67">
        <v>0.19802083333333331</v>
      </c>
      <c r="G7" s="100">
        <f t="shared" si="1"/>
        <v>0.19241898148148145</v>
      </c>
      <c r="H7" s="68">
        <v>706</v>
      </c>
      <c r="I7" s="14">
        <f t="shared" si="2"/>
        <v>1.0883426554382436E-2</v>
      </c>
      <c r="J7" s="92">
        <f t="shared" si="3"/>
        <v>4.42</v>
      </c>
      <c r="K7" s="92">
        <f>IF(J7=0,0,IF(B7="F",VLOOKUP(I7,Barem!$G$2:$H$11,2,1),VLOOKUP(I7,Barem!$G$12:$H$21,2,1)))</f>
        <v>0</v>
      </c>
      <c r="L7" s="65" t="str">
        <f>VLOOKUP(C7,Barem!L:Q,6,0)</f>
        <v>D</v>
      </c>
      <c r="M7" s="11">
        <f t="shared" si="4"/>
        <v>0.75</v>
      </c>
      <c r="N7" s="11">
        <f t="shared" si="5"/>
        <v>0.25</v>
      </c>
      <c r="O7" s="49">
        <f t="shared" si="0"/>
        <v>0.47066666666666668</v>
      </c>
      <c r="P7" s="27">
        <f>IF(D7&gt;21,VLOOKUP(D7,Barem!$S$1:$T$141,2,1),0)</f>
        <v>0</v>
      </c>
      <c r="Q7" s="27">
        <f>IF(D7&lt;1.609,0,IF(B7="F",VLOOKUP(I7,Barem!$W$2:$Y$13,2,1),VLOOKUP(I7,Barem!$W$14:$Y$25,2,1)))</f>
        <v>0</v>
      </c>
      <c r="R7" s="27">
        <f>VLOOKUP(A7,Participanti!A:C,3,0)</f>
        <v>0</v>
      </c>
      <c r="S7" s="21">
        <f t="shared" si="6"/>
        <v>3.7856666666666667</v>
      </c>
      <c r="T7" s="82">
        <v>44451</v>
      </c>
      <c r="U7" s="143">
        <f>COUNTIFS(A:A,A7,C:C,C7)</f>
        <v>1</v>
      </c>
      <c r="V7" s="77" t="str">
        <f>VLOOKUP(A7,Data_echipe!A:U,21,0)</f>
        <v>UltraSYR</v>
      </c>
      <c r="X7" s="154"/>
    </row>
    <row r="8" spans="1:24" x14ac:dyDescent="0.25">
      <c r="A8" s="64" t="s">
        <v>102</v>
      </c>
      <c r="B8" s="77" t="str">
        <f>VLOOKUP(A8,Participanti!A:B,2,0)</f>
        <v>M</v>
      </c>
      <c r="C8" s="137">
        <v>1</v>
      </c>
      <c r="D8" s="66">
        <v>10.7</v>
      </c>
      <c r="E8" s="67">
        <v>3.4502314814814812E-2</v>
      </c>
      <c r="F8" s="67">
        <v>4.3680555555555556E-2</v>
      </c>
      <c r="G8" s="100">
        <f t="shared" si="1"/>
        <v>3.909143518518518E-2</v>
      </c>
      <c r="H8" s="68">
        <v>19</v>
      </c>
      <c r="I8" s="14">
        <f t="shared" si="2"/>
        <v>3.6534051574939421E-3</v>
      </c>
      <c r="J8" s="92">
        <f t="shared" si="3"/>
        <v>2.5476190476190474</v>
      </c>
      <c r="K8" s="92">
        <f>IF(J8=0,0,IF(B8="F",VLOOKUP(I8,Barem!$G$2:$H$11,2,1),VLOOKUP(I8,Barem!$G$12:$H$21,2,1)))</f>
        <v>2.5</v>
      </c>
      <c r="L8" s="65" t="str">
        <f>VLOOKUP(C8,Barem!L:Q,6,0)</f>
        <v>D</v>
      </c>
      <c r="M8" s="11">
        <f t="shared" si="4"/>
        <v>0.75</v>
      </c>
      <c r="N8" s="11">
        <f t="shared" si="5"/>
        <v>0.25</v>
      </c>
      <c r="O8" s="49">
        <f t="shared" si="0"/>
        <v>0</v>
      </c>
      <c r="P8" s="27">
        <f>IF(D8&gt;21,VLOOKUP(D8,Barem!$S$1:$T$141,2,1),0)</f>
        <v>0</v>
      </c>
      <c r="Q8" s="27">
        <f>IF(D8&lt;1.609,0,IF(B8="F",VLOOKUP(I8,Barem!$W$2:$Y$13,2,1),VLOOKUP(I8,Barem!$W$14:$Y$25,2,1)))</f>
        <v>0</v>
      </c>
      <c r="R8" s="27">
        <f>VLOOKUP(A8,Participanti!A:C,3,0)</f>
        <v>0</v>
      </c>
      <c r="S8" s="21">
        <f t="shared" si="6"/>
        <v>2.5357142857142856</v>
      </c>
      <c r="T8" s="82">
        <v>44450</v>
      </c>
      <c r="U8" s="143">
        <f>COUNTIFS(A:A,A8,C:C,C8)</f>
        <v>1</v>
      </c>
      <c r="V8" s="77" t="str">
        <f>VLOOKUP(A8,Data_echipe!A:U,21,0)</f>
        <v>All Stars</v>
      </c>
      <c r="X8" s="154">
        <v>1</v>
      </c>
    </row>
    <row r="9" spans="1:24" x14ac:dyDescent="0.25">
      <c r="A9" s="64" t="s">
        <v>66</v>
      </c>
      <c r="B9" s="77" t="str">
        <f>VLOOKUP(A9,Participanti!A:B,2,0)</f>
        <v>F</v>
      </c>
      <c r="C9" s="137">
        <v>1</v>
      </c>
      <c r="D9" s="66">
        <v>4.97</v>
      </c>
      <c r="E9" s="67">
        <v>2.359953703703704E-2</v>
      </c>
      <c r="F9" s="67">
        <v>2.3738425925925923E-2</v>
      </c>
      <c r="G9" s="100">
        <f t="shared" si="1"/>
        <v>2.3668981481481482E-2</v>
      </c>
      <c r="H9" s="68">
        <v>9</v>
      </c>
      <c r="I9" s="14">
        <f t="shared" si="2"/>
        <v>4.7623705194127734E-3</v>
      </c>
      <c r="J9" s="92">
        <f t="shared" si="3"/>
        <v>1.2424999999999999</v>
      </c>
      <c r="K9" s="92">
        <f>IF(J9=0,0,IF(B9="F",VLOOKUP(I9,Barem!$G$2:$H$11,2,1),VLOOKUP(I9,Barem!$G$12:$H$21,2,1)))</f>
        <v>1</v>
      </c>
      <c r="L9" s="65" t="str">
        <f>VLOOKUP(C9,Barem!L:Q,6,0)</f>
        <v>D</v>
      </c>
      <c r="M9" s="11">
        <f t="shared" si="4"/>
        <v>0.75</v>
      </c>
      <c r="N9" s="11">
        <f t="shared" si="5"/>
        <v>0.25</v>
      </c>
      <c r="O9" s="49">
        <f t="shared" si="0"/>
        <v>0</v>
      </c>
      <c r="P9" s="27">
        <f>IF(D9&gt;21,VLOOKUP(D9,Barem!$S$1:$T$141,2,1),0)</f>
        <v>0</v>
      </c>
      <c r="Q9" s="27">
        <f>IF(D9&lt;1.609,0,IF(B9="F",VLOOKUP(I9,Barem!$W$2:$Y$13,2,1),VLOOKUP(I9,Barem!$W$14:$Y$25,2,1)))</f>
        <v>0</v>
      </c>
      <c r="R9" s="27">
        <f>VLOOKUP(A9,Participanti!A:C,3,0)</f>
        <v>0.7</v>
      </c>
      <c r="S9" s="21">
        <f t="shared" si="6"/>
        <v>1.881875</v>
      </c>
      <c r="T9" s="82">
        <v>44450</v>
      </c>
      <c r="U9" s="143">
        <f>COUNTIFS(A:A,A9,C:C,C9)</f>
        <v>1</v>
      </c>
      <c r="V9" s="77" t="e">
        <f>VLOOKUP(A9,Data_echipe!A:U,21,0)</f>
        <v>#N/A</v>
      </c>
      <c r="X9" s="154">
        <v>1</v>
      </c>
    </row>
    <row r="10" spans="1:24" x14ac:dyDescent="0.25">
      <c r="A10" s="64" t="s">
        <v>67</v>
      </c>
      <c r="B10" s="77" t="str">
        <f>VLOOKUP(A10,Participanti!A:B,2,0)</f>
        <v>M</v>
      </c>
      <c r="C10" s="137">
        <v>1</v>
      </c>
      <c r="D10" s="66">
        <v>25</v>
      </c>
      <c r="E10" s="67">
        <v>9.4108796296296301E-2</v>
      </c>
      <c r="F10" s="67">
        <v>9.5115740740740737E-2</v>
      </c>
      <c r="G10" s="100">
        <f t="shared" si="1"/>
        <v>9.4612268518518519E-2</v>
      </c>
      <c r="H10" s="68">
        <v>34</v>
      </c>
      <c r="I10" s="14">
        <f t="shared" si="2"/>
        <v>3.7844907407407406E-3</v>
      </c>
      <c r="J10" s="92">
        <f t="shared" si="3"/>
        <v>5</v>
      </c>
      <c r="K10" s="92">
        <f>IF(J10=0,0,IF(B10="F",VLOOKUP(I10,Barem!$G$2:$H$11,2,1),VLOOKUP(I10,Barem!$G$12:$H$21,2,1)))</f>
        <v>2</v>
      </c>
      <c r="L10" s="65" t="str">
        <f>VLOOKUP(C10,Barem!L:Q,6,0)</f>
        <v>D</v>
      </c>
      <c r="M10" s="11">
        <f t="shared" si="4"/>
        <v>0.75</v>
      </c>
      <c r="N10" s="11">
        <f t="shared" si="5"/>
        <v>0.25</v>
      </c>
      <c r="O10" s="49">
        <f t="shared" si="0"/>
        <v>0</v>
      </c>
      <c r="P10" s="27">
        <f>IF(D10&gt;21,VLOOKUP(D10,Barem!$S$1:$T$141,2,1),0)</f>
        <v>0.2</v>
      </c>
      <c r="Q10" s="27">
        <f>IF(D10&lt;1.609,0,IF(B10="F",VLOOKUP(I10,Barem!$W$2:$Y$13,2,1),VLOOKUP(I10,Barem!$W$14:$Y$25,2,1)))</f>
        <v>0</v>
      </c>
      <c r="R10" s="27">
        <f>VLOOKUP(A10,Participanti!A:C,3,0)</f>
        <v>0</v>
      </c>
      <c r="S10" s="21">
        <f t="shared" si="6"/>
        <v>4.45</v>
      </c>
      <c r="T10" s="82">
        <v>44450</v>
      </c>
      <c r="U10" s="143">
        <f>COUNTIFS(A:A,A10,C:C,C10)</f>
        <v>1</v>
      </c>
      <c r="V10" s="77" t="e">
        <f>VLOOKUP(A10,Data_echipe!A:U,21,0)</f>
        <v>#N/A</v>
      </c>
      <c r="X10" s="154">
        <v>1</v>
      </c>
    </row>
    <row r="11" spans="1:24" x14ac:dyDescent="0.25">
      <c r="A11" s="64" t="s">
        <v>111</v>
      </c>
      <c r="B11" s="77" t="str">
        <f>VLOOKUP(A11,Participanti!A:B,2,0)</f>
        <v>M</v>
      </c>
      <c r="C11" s="137">
        <v>1</v>
      </c>
      <c r="D11" s="66">
        <v>10.1</v>
      </c>
      <c r="E11" s="67">
        <v>3.2523148148148148E-2</v>
      </c>
      <c r="F11" s="67">
        <v>3.2523148148148148E-2</v>
      </c>
      <c r="G11" s="100">
        <f t="shared" si="1"/>
        <v>3.2523148148148148E-2</v>
      </c>
      <c r="H11" s="68">
        <v>9</v>
      </c>
      <c r="I11" s="14">
        <f t="shared" si="2"/>
        <v>3.2201136780344703E-3</v>
      </c>
      <c r="J11" s="92">
        <f t="shared" si="3"/>
        <v>2.4047619047619047</v>
      </c>
      <c r="K11" s="92">
        <f>IF(J11=0,0,IF(B11="F",VLOOKUP(I11,Barem!$G$2:$H$11,2,1),VLOOKUP(I11,Barem!$G$12:$H$21,2,1)))</f>
        <v>3.5</v>
      </c>
      <c r="L11" s="110" t="s">
        <v>110</v>
      </c>
      <c r="M11" s="11">
        <f t="shared" si="4"/>
        <v>0.25</v>
      </c>
      <c r="N11" s="11">
        <f t="shared" si="5"/>
        <v>0.75</v>
      </c>
      <c r="O11" s="49">
        <f t="shared" si="0"/>
        <v>0</v>
      </c>
      <c r="P11" s="27">
        <f>IF(D11&gt;21,VLOOKUP(D11,Barem!$S$1:$T$141,2,1),0)</f>
        <v>0</v>
      </c>
      <c r="Q11" s="27">
        <f>IF(D11&lt;1.609,0,IF(B11="F",VLOOKUP(I11,Barem!$W$2:$Y$13,2,1),VLOOKUP(I11,Barem!$W$14:$Y$25,2,1)))</f>
        <v>0</v>
      </c>
      <c r="R11" s="27">
        <f>VLOOKUP(A11,Participanti!A:C,3,0)</f>
        <v>0</v>
      </c>
      <c r="S11" s="21">
        <f t="shared" si="6"/>
        <v>3.2261904761904763</v>
      </c>
      <c r="T11" s="82">
        <v>44450</v>
      </c>
      <c r="U11" s="143">
        <f>COUNTIFS(A:A,A11,C:C,C11)</f>
        <v>1</v>
      </c>
      <c r="V11" s="77" t="str">
        <f>VLOOKUP(A11,Data_echipe!A:U,21,0)</f>
        <v>UltraSYR</v>
      </c>
      <c r="X11" s="154">
        <v>1</v>
      </c>
    </row>
    <row r="12" spans="1:24" x14ac:dyDescent="0.25">
      <c r="A12" s="64" t="s">
        <v>103</v>
      </c>
      <c r="B12" s="77" t="str">
        <f>VLOOKUP(A12,Participanti!A:B,2,0)</f>
        <v>F</v>
      </c>
      <c r="C12" s="137">
        <v>1</v>
      </c>
      <c r="D12" s="66">
        <v>6.72</v>
      </c>
      <c r="E12" s="67">
        <v>2.6458333333333334E-2</v>
      </c>
      <c r="F12" s="67">
        <v>4.763888888888889E-2</v>
      </c>
      <c r="G12" s="100">
        <f t="shared" si="1"/>
        <v>3.7048611111111115E-2</v>
      </c>
      <c r="H12" s="68">
        <v>0</v>
      </c>
      <c r="I12" s="14">
        <f t="shared" si="2"/>
        <v>5.5131861772486782E-3</v>
      </c>
      <c r="J12" s="92">
        <f t="shared" si="3"/>
        <v>1.68</v>
      </c>
      <c r="K12" s="92">
        <f>IF(J12=0,0,IF(B12="F",VLOOKUP(I12,Barem!$G$2:$H$11,2,1),VLOOKUP(I12,Barem!$G$12:$H$21,2,1)))</f>
        <v>1</v>
      </c>
      <c r="L12" s="65" t="str">
        <f>VLOOKUP(C12,Barem!L:Q,6,0)</f>
        <v>D</v>
      </c>
      <c r="M12" s="11">
        <f t="shared" si="4"/>
        <v>0.75</v>
      </c>
      <c r="N12" s="11">
        <f t="shared" si="5"/>
        <v>0.25</v>
      </c>
      <c r="O12" s="49">
        <f t="shared" si="0"/>
        <v>0</v>
      </c>
      <c r="P12" s="27">
        <f>IF(D12&gt;21,VLOOKUP(D12,Barem!$S$1:$T$141,2,1),0)</f>
        <v>0</v>
      </c>
      <c r="Q12" s="27">
        <f>IF(D12&lt;1.609,0,IF(B12="F",VLOOKUP(I12,Barem!$W$2:$Y$13,2,1),VLOOKUP(I12,Barem!$W$14:$Y$25,2,1)))</f>
        <v>0</v>
      </c>
      <c r="R12" s="27">
        <f>VLOOKUP(A12,Participanti!A:C,3,0)</f>
        <v>0</v>
      </c>
      <c r="S12" s="21">
        <f t="shared" si="6"/>
        <v>1.51</v>
      </c>
      <c r="T12" s="82">
        <v>44451</v>
      </c>
      <c r="U12" s="143">
        <f>COUNTIFS(A:A,A12,C:C,C12)</f>
        <v>1</v>
      </c>
      <c r="V12" s="77" t="str">
        <f>VLOOKUP(A12,Data_echipe!A:U,21,0)</f>
        <v>UltraSYR</v>
      </c>
      <c r="X12" s="154">
        <v>1</v>
      </c>
    </row>
    <row r="13" spans="1:24" x14ac:dyDescent="0.25">
      <c r="A13" s="64" t="s">
        <v>61</v>
      </c>
      <c r="B13" s="77" t="str">
        <f>VLOOKUP(A13,Participanti!A:B,2,0)</f>
        <v>M</v>
      </c>
      <c r="C13" s="137">
        <v>1</v>
      </c>
      <c r="D13" s="66">
        <v>5</v>
      </c>
      <c r="E13" s="67">
        <v>1.480324074074074E-2</v>
      </c>
      <c r="F13" s="67">
        <v>1.480324074074074E-2</v>
      </c>
      <c r="G13" s="100">
        <f t="shared" si="1"/>
        <v>1.480324074074074E-2</v>
      </c>
      <c r="H13" s="68">
        <v>12</v>
      </c>
      <c r="I13" s="14">
        <f t="shared" si="2"/>
        <v>2.960648148148148E-3</v>
      </c>
      <c r="J13" s="92">
        <f t="shared" si="3"/>
        <v>1.1904761904761905</v>
      </c>
      <c r="K13" s="92">
        <f>IF(J13=0,0,IF(B13="F",VLOOKUP(I13,Barem!$G$2:$H$11,2,1),VLOOKUP(I13,Barem!$G$12:$H$21,2,1)))</f>
        <v>4.5</v>
      </c>
      <c r="L13" s="110" t="s">
        <v>110</v>
      </c>
      <c r="M13" s="11">
        <f t="shared" si="4"/>
        <v>0.25</v>
      </c>
      <c r="N13" s="11">
        <f t="shared" si="5"/>
        <v>0.75</v>
      </c>
      <c r="O13" s="49">
        <f t="shared" si="0"/>
        <v>0</v>
      </c>
      <c r="P13" s="27">
        <f>IF(D13&gt;21,VLOOKUP(D13,Barem!$S$1:$T$141,2,1),0)</f>
        <v>0</v>
      </c>
      <c r="Q13" s="27">
        <f>IF(D13&lt;1.609,0,IF(B13="F",VLOOKUP(I13,Barem!$W$2:$Y$13,2,1),VLOOKUP(I13,Barem!$W$14:$Y$25,2,1)))</f>
        <v>0</v>
      </c>
      <c r="R13" s="27">
        <f>VLOOKUP(A13,Participanti!A:C,3,0)</f>
        <v>0</v>
      </c>
      <c r="S13" s="21">
        <f t="shared" si="6"/>
        <v>3.6726190476190474</v>
      </c>
      <c r="T13" s="82">
        <v>44447</v>
      </c>
      <c r="U13" s="143">
        <f>COUNTIFS(A:A,A13,C:C,C13)</f>
        <v>1</v>
      </c>
      <c r="V13" s="77" t="str">
        <f>VLOOKUP(A13,Data_echipe!A:U,21,0)</f>
        <v>UltraSYR</v>
      </c>
      <c r="X13" s="154">
        <v>1</v>
      </c>
    </row>
    <row r="14" spans="1:24" x14ac:dyDescent="0.25">
      <c r="A14" s="64" t="s">
        <v>50</v>
      </c>
      <c r="B14" s="77" t="str">
        <f>VLOOKUP(A14,Participanti!A:B,2,0)</f>
        <v>M</v>
      </c>
      <c r="C14" s="137">
        <v>1</v>
      </c>
      <c r="D14" s="66">
        <v>7.32</v>
      </c>
      <c r="E14" s="67">
        <v>2.7395833333333338E-2</v>
      </c>
      <c r="F14" s="67">
        <v>2.7696759259259258E-2</v>
      </c>
      <c r="G14" s="100">
        <f t="shared" si="1"/>
        <v>2.7546296296296298E-2</v>
      </c>
      <c r="H14" s="68">
        <v>111</v>
      </c>
      <c r="I14" s="14">
        <f t="shared" si="2"/>
        <v>3.7631552317344669E-3</v>
      </c>
      <c r="J14" s="92">
        <f t="shared" si="3"/>
        <v>1.7428571428571429</v>
      </c>
      <c r="K14" s="92">
        <f>IF(J14=0,0,IF(B14="F",VLOOKUP(I14,Barem!$G$2:$H$11,2,1),VLOOKUP(I14,Barem!$G$12:$H$21,2,1)))</f>
        <v>2</v>
      </c>
      <c r="L14" s="110" t="s">
        <v>110</v>
      </c>
      <c r="M14" s="11">
        <f t="shared" si="4"/>
        <v>0.25</v>
      </c>
      <c r="N14" s="11">
        <f t="shared" si="5"/>
        <v>0.75</v>
      </c>
      <c r="O14" s="49">
        <f t="shared" si="0"/>
        <v>7.3999999999999996E-2</v>
      </c>
      <c r="P14" s="27">
        <f>IF(D14&gt;21,VLOOKUP(D14,Barem!$S$1:$T$141,2,1),0)</f>
        <v>0</v>
      </c>
      <c r="Q14" s="27">
        <f>IF(D14&lt;1.609,0,IF(B14="F",VLOOKUP(I14,Barem!$W$2:$Y$13,2,1),VLOOKUP(I14,Barem!$W$14:$Y$25,2,1)))</f>
        <v>0</v>
      </c>
      <c r="R14" s="27">
        <f>VLOOKUP(A14,Participanti!A:C,3,0)</f>
        <v>0.4</v>
      </c>
      <c r="S14" s="21">
        <f t="shared" si="6"/>
        <v>2.4097142857142857</v>
      </c>
      <c r="T14" s="82">
        <v>44449</v>
      </c>
      <c r="U14" s="143">
        <f>COUNTIFS(A:A,A14,C:C,C14)</f>
        <v>1</v>
      </c>
      <c r="V14" s="77" t="str">
        <f>VLOOKUP(A14,Data_echipe!A:U,21,0)</f>
        <v>UltraSYR</v>
      </c>
      <c r="X14" s="154">
        <v>1</v>
      </c>
    </row>
    <row r="15" spans="1:24" x14ac:dyDescent="0.25">
      <c r="A15" s="64" t="s">
        <v>153</v>
      </c>
      <c r="B15" s="77" t="str">
        <f>VLOOKUP(A15,Participanti!A:B,2,0)</f>
        <v>F</v>
      </c>
      <c r="C15" s="137">
        <v>1</v>
      </c>
      <c r="D15" s="66">
        <v>8.01</v>
      </c>
      <c r="E15" s="67">
        <v>3.019675925925926E-2</v>
      </c>
      <c r="F15" s="67">
        <v>3.019675925925926E-2</v>
      </c>
      <c r="G15" s="100">
        <f t="shared" si="1"/>
        <v>3.019675925925926E-2</v>
      </c>
      <c r="H15" s="68">
        <v>0</v>
      </c>
      <c r="I15" s="14">
        <f t="shared" si="2"/>
        <v>3.7698825542146395E-3</v>
      </c>
      <c r="J15" s="92">
        <f t="shared" si="3"/>
        <v>2.0024999999999999</v>
      </c>
      <c r="K15" s="92">
        <f>IF(J15=0,0,IF(B15="F",VLOOKUP(I15,Barem!$G$2:$H$11,2,1),VLOOKUP(I15,Barem!$G$12:$H$21,2,1)))</f>
        <v>3</v>
      </c>
      <c r="L15" s="110" t="s">
        <v>110</v>
      </c>
      <c r="M15" s="11">
        <f t="shared" si="4"/>
        <v>0.25</v>
      </c>
      <c r="N15" s="11">
        <f t="shared" si="5"/>
        <v>0.75</v>
      </c>
      <c r="O15" s="49">
        <f t="shared" si="0"/>
        <v>0</v>
      </c>
      <c r="P15" s="27">
        <f>IF(D15&gt;21,VLOOKUP(D15,Barem!$S$1:$T$141,2,1),0)</f>
        <v>0</v>
      </c>
      <c r="Q15" s="27">
        <f>IF(D15&lt;1.609,0,IF(B15="F",VLOOKUP(I15,Barem!$W$2:$Y$13,2,1),VLOOKUP(I15,Barem!$W$14:$Y$25,2,1)))</f>
        <v>0</v>
      </c>
      <c r="R15" s="27">
        <f>VLOOKUP(A15,Participanti!A:C,3,0)</f>
        <v>0</v>
      </c>
      <c r="S15" s="21">
        <f t="shared" si="6"/>
        <v>2.7506249999999999</v>
      </c>
      <c r="T15" s="82">
        <v>44448</v>
      </c>
      <c r="U15" s="143">
        <f>COUNTIFS(A:A,A15,C:C,C15)</f>
        <v>1</v>
      </c>
      <c r="V15" s="77" t="str">
        <f>VLOOKUP(A15,Data_echipe!A:U,21,0)</f>
        <v>All Stars</v>
      </c>
      <c r="X15" s="154">
        <v>1</v>
      </c>
    </row>
    <row r="16" spans="1:24" x14ac:dyDescent="0.25">
      <c r="A16" s="64" t="s">
        <v>53</v>
      </c>
      <c r="B16" s="77" t="str">
        <f>VLOOKUP(A16,Participanti!A:B,2,0)</f>
        <v>M</v>
      </c>
      <c r="C16" s="137">
        <v>1</v>
      </c>
      <c r="D16" s="66">
        <v>30</v>
      </c>
      <c r="E16" s="67">
        <v>0.11769675925925926</v>
      </c>
      <c r="F16" s="67">
        <v>0.12454861111111111</v>
      </c>
      <c r="G16" s="100">
        <f t="shared" si="1"/>
        <v>0.12112268518518518</v>
      </c>
      <c r="H16" s="68">
        <v>619</v>
      </c>
      <c r="I16" s="14">
        <f t="shared" si="2"/>
        <v>4.0374228395061726E-3</v>
      </c>
      <c r="J16" s="92">
        <f t="shared" si="3"/>
        <v>5</v>
      </c>
      <c r="K16" s="92">
        <f>IF(J16=0,0,IF(B16="F",VLOOKUP(I16,Barem!$G$2:$H$11,2,1),VLOOKUP(I16,Barem!$G$12:$H$21,2,1)))</f>
        <v>1.5</v>
      </c>
      <c r="L16" s="65" t="str">
        <f>VLOOKUP(C16,Barem!L:Q,6,0)</f>
        <v>D</v>
      </c>
      <c r="M16" s="11">
        <f t="shared" si="4"/>
        <v>0.75</v>
      </c>
      <c r="N16" s="11">
        <f t="shared" si="5"/>
        <v>0.25</v>
      </c>
      <c r="O16" s="49">
        <f t="shared" si="0"/>
        <v>0.41266666666666668</v>
      </c>
      <c r="P16" s="27">
        <f>IF(D16&gt;21,VLOOKUP(D16,Barem!$S$1:$T$141,2,1),0)</f>
        <v>0.4</v>
      </c>
      <c r="Q16" s="27">
        <f>IF(D16&lt;1.609,0,IF(B16="F",VLOOKUP(I16,Barem!$W$2:$Y$13,2,1),VLOOKUP(I16,Barem!$W$14:$Y$25,2,1)))</f>
        <v>0</v>
      </c>
      <c r="R16" s="27">
        <f>VLOOKUP(A16,Participanti!A:C,3,0)</f>
        <v>0</v>
      </c>
      <c r="S16" s="21">
        <f t="shared" si="6"/>
        <v>4.9376666666666669</v>
      </c>
      <c r="T16" s="82">
        <v>44451</v>
      </c>
      <c r="U16" s="143">
        <f>COUNTIFS(A:A,A16,C:C,C16)</f>
        <v>1</v>
      </c>
      <c r="V16" s="77" t="str">
        <f>VLOOKUP(A16,Data_echipe!A:U,21,0)</f>
        <v>UltraSYR</v>
      </c>
      <c r="X16" s="154">
        <v>1</v>
      </c>
    </row>
    <row r="17" spans="1:24" x14ac:dyDescent="0.25">
      <c r="A17" s="64" t="s">
        <v>55</v>
      </c>
      <c r="B17" s="77" t="str">
        <f>VLOOKUP(A17,Participanti!A:B,2,0)</f>
        <v>M</v>
      </c>
      <c r="C17" s="137">
        <v>1</v>
      </c>
      <c r="D17" s="66">
        <v>21.46</v>
      </c>
      <c r="E17" s="67">
        <v>0.15464120370370371</v>
      </c>
      <c r="F17" s="67">
        <v>0.20879629629629629</v>
      </c>
      <c r="G17" s="100">
        <f t="shared" si="1"/>
        <v>0.18171874999999998</v>
      </c>
      <c r="H17" s="68">
        <v>1325</v>
      </c>
      <c r="I17" s="14">
        <f t="shared" si="2"/>
        <v>8.467788909599254E-3</v>
      </c>
      <c r="J17" s="92">
        <f t="shared" si="3"/>
        <v>5</v>
      </c>
      <c r="K17" s="92">
        <f>IF(J17=0,0,IF(B17="F",VLOOKUP(I17,Barem!$G$2:$H$11,2,1),VLOOKUP(I17,Barem!$G$12:$H$21,2,1)))</f>
        <v>0</v>
      </c>
      <c r="L17" s="65" t="str">
        <f>VLOOKUP(C17,Barem!L:Q,6,0)</f>
        <v>D</v>
      </c>
      <c r="M17" s="11">
        <f t="shared" si="4"/>
        <v>0.75</v>
      </c>
      <c r="N17" s="11">
        <f t="shared" si="5"/>
        <v>0.25</v>
      </c>
      <c r="O17" s="49">
        <f t="shared" si="0"/>
        <v>0.8833333333333333</v>
      </c>
      <c r="P17" s="27">
        <f>IF(D17&gt;21,VLOOKUP(D17,Barem!$S$1:$T$141,2,1),0)</f>
        <v>0</v>
      </c>
      <c r="Q17" s="27">
        <f>IF(D17&lt;1.609,0,IF(B17="F",VLOOKUP(I17,Barem!$W$2:$Y$13,2,1),VLOOKUP(I17,Barem!$W$14:$Y$25,2,1)))</f>
        <v>0</v>
      </c>
      <c r="R17" s="27">
        <f>VLOOKUP(A17,Participanti!A:C,3,0)</f>
        <v>0</v>
      </c>
      <c r="S17" s="21">
        <f t="shared" si="6"/>
        <v>4.6333333333333329</v>
      </c>
      <c r="T17" s="82">
        <v>44451</v>
      </c>
      <c r="U17" s="143">
        <f>COUNTIFS(A:A,A17,C:C,C17)</f>
        <v>1</v>
      </c>
      <c r="V17" s="77" t="e">
        <f>VLOOKUP(A17,Data_echipe!A:U,21,0)</f>
        <v>#N/A</v>
      </c>
      <c r="X17" s="154"/>
    </row>
    <row r="18" spans="1:24" x14ac:dyDescent="0.25">
      <c r="A18" s="64" t="s">
        <v>154</v>
      </c>
      <c r="B18" s="77" t="str">
        <f>VLOOKUP(A18,Participanti!A:B,2,0)</f>
        <v>M</v>
      </c>
      <c r="C18" s="137">
        <v>1</v>
      </c>
      <c r="D18" s="66">
        <v>21.15</v>
      </c>
      <c r="E18" s="67">
        <v>7.3414351851851856E-2</v>
      </c>
      <c r="F18" s="67">
        <v>8.2777777777777783E-2</v>
      </c>
      <c r="G18" s="100">
        <f t="shared" si="1"/>
        <v>7.809606481481482E-2</v>
      </c>
      <c r="H18" s="68">
        <v>14</v>
      </c>
      <c r="I18" s="14">
        <f t="shared" ref="I18:I25" si="7">G18/D18</f>
        <v>3.6924853340337977E-3</v>
      </c>
      <c r="J18" s="92">
        <f t="shared" ref="J18:J25" si="8">IF(B18="F",IF(D18&lt;2.5,0,IF(D18&gt;19.99,5,D18/4)),IF(D18&lt;3,0, IF(D18&gt;20.99,5,D18/4.2)))</f>
        <v>5</v>
      </c>
      <c r="K18" s="92">
        <f>IF(J18=0,0,IF(B18="F",VLOOKUP(I18,Barem!$G$2:$H$11,2,1),VLOOKUP(I18,Barem!$G$12:$H$21,2,1)))</f>
        <v>2</v>
      </c>
      <c r="L18" s="65" t="str">
        <f>VLOOKUP(C18,Barem!L:Q,6,0)</f>
        <v>D</v>
      </c>
      <c r="M18" s="11">
        <f t="shared" ref="M18:M25" si="9">IF(OR(L18="P1",L18="P2",L18="P3"),"",IF(C18=15,0.5,IF(L18="D",0.75,0.25)))</f>
        <v>0.75</v>
      </c>
      <c r="N18" s="11">
        <f t="shared" ref="N18:N25" si="10">IF(OR(L18="P1",L18="P2",L18="P3"),"",IF(C18=15,0.5,IF(L18="V",0.75,0.25)))</f>
        <v>0.25</v>
      </c>
      <c r="O18" s="49">
        <f t="shared" ref="O18:O25" si="11">IF(H18&lt;-49,H18/1500,IF(H18&gt;49,H18/1500,0))</f>
        <v>0</v>
      </c>
      <c r="P18" s="27">
        <f>IF(D18&gt;21,VLOOKUP(D18,Barem!$S$1:$T$141,2,1),0)</f>
        <v>0</v>
      </c>
      <c r="Q18" s="27">
        <f>IF(D18&lt;1.609,0,IF(B18="F",VLOOKUP(I18,Barem!$W$2:$Y$13,2,1),VLOOKUP(I18,Barem!$W$14:$Y$25,2,1)))</f>
        <v>0</v>
      </c>
      <c r="R18" s="27">
        <f>VLOOKUP(A18,Participanti!A:C,3,0)</f>
        <v>0</v>
      </c>
      <c r="S18" s="21">
        <f t="shared" ref="S18:S25" si="12">J18*M18+K18*N18+O18+P18+Q18+R18</f>
        <v>4.25</v>
      </c>
      <c r="T18" s="82">
        <v>44447</v>
      </c>
      <c r="U18" s="143">
        <f>COUNTIFS(A:A,A18,C:C,C18)</f>
        <v>1</v>
      </c>
      <c r="V18" s="77" t="str">
        <f>VLOOKUP(A18,Data_echipe!A:U,21,0)</f>
        <v>All Stars</v>
      </c>
      <c r="X18" s="154">
        <v>1</v>
      </c>
    </row>
    <row r="19" spans="1:24" x14ac:dyDescent="0.25">
      <c r="A19" s="64" t="s">
        <v>152</v>
      </c>
      <c r="B19" s="77" t="str">
        <f>VLOOKUP(A19,Participanti!A:B,2,0)</f>
        <v>F</v>
      </c>
      <c r="C19" s="137">
        <v>1</v>
      </c>
      <c r="D19" s="66">
        <v>3.8</v>
      </c>
      <c r="E19" s="67">
        <v>1.1689814814814814E-2</v>
      </c>
      <c r="F19" s="67">
        <v>1.1689814814814814E-2</v>
      </c>
      <c r="G19" s="100">
        <f t="shared" si="1"/>
        <v>1.1689814814814814E-2</v>
      </c>
      <c r="H19" s="68">
        <v>5</v>
      </c>
      <c r="I19" s="14">
        <f t="shared" si="7"/>
        <v>3.0762670565302143E-3</v>
      </c>
      <c r="J19" s="92">
        <f t="shared" si="8"/>
        <v>0.95</v>
      </c>
      <c r="K19" s="92">
        <f>IF(J19=0,0,IF(B19="F",VLOOKUP(I19,Barem!$G$2:$H$11,2,1),VLOOKUP(I19,Barem!$G$12:$H$21,2,1)))</f>
        <v>5</v>
      </c>
      <c r="L19" s="110" t="s">
        <v>110</v>
      </c>
      <c r="M19" s="11">
        <f t="shared" si="9"/>
        <v>0.25</v>
      </c>
      <c r="N19" s="11">
        <f t="shared" si="10"/>
        <v>0.75</v>
      </c>
      <c r="O19" s="49">
        <f t="shared" si="11"/>
        <v>0</v>
      </c>
      <c r="P19" s="27">
        <f>IF(D19&gt;21,VLOOKUP(D19,Barem!$S$1:$T$141,2,1),0)</f>
        <v>0</v>
      </c>
      <c r="Q19" s="27">
        <f>IF(D19&lt;1.609,0,IF(B19="F",VLOOKUP(I19,Barem!$W$2:$Y$13,2,1),VLOOKUP(I19,Barem!$W$14:$Y$25,2,1)))</f>
        <v>0.45000000000000007</v>
      </c>
      <c r="R19" s="27">
        <f>VLOOKUP(A19,Participanti!A:C,3,0)</f>
        <v>0</v>
      </c>
      <c r="S19" s="21">
        <f t="shared" si="12"/>
        <v>4.4375</v>
      </c>
      <c r="T19" s="82">
        <v>44450</v>
      </c>
      <c r="U19" s="143">
        <f>COUNTIFS(A:A,A19,C:C,C19)</f>
        <v>1</v>
      </c>
      <c r="V19" s="77" t="str">
        <f>VLOOKUP(A19,Data_echipe!A:U,21,0)</f>
        <v>All Stars</v>
      </c>
      <c r="X19" s="154">
        <v>1</v>
      </c>
    </row>
    <row r="20" spans="1:24" x14ac:dyDescent="0.25">
      <c r="A20" s="64" t="s">
        <v>117</v>
      </c>
      <c r="B20" s="77" t="str">
        <f>VLOOKUP(A20,Participanti!A:B,2,0)</f>
        <v>M</v>
      </c>
      <c r="C20" s="137">
        <v>1</v>
      </c>
      <c r="D20" s="66">
        <v>5</v>
      </c>
      <c r="E20" s="67">
        <v>2.3969907407407409E-2</v>
      </c>
      <c r="F20" s="67">
        <v>2.5613425925925925E-2</v>
      </c>
      <c r="G20" s="100">
        <f t="shared" si="1"/>
        <v>2.4791666666666667E-2</v>
      </c>
      <c r="H20" s="68">
        <v>19</v>
      </c>
      <c r="I20" s="14">
        <f t="shared" si="7"/>
        <v>4.9583333333333337E-3</v>
      </c>
      <c r="J20" s="92">
        <f t="shared" si="8"/>
        <v>1.1904761904761905</v>
      </c>
      <c r="K20" s="92">
        <f>IF(J20=0,0,IF(B20="F",VLOOKUP(I20,Barem!$G$2:$H$11,2,1),VLOOKUP(I20,Barem!$G$12:$H$21,2,1)))</f>
        <v>1</v>
      </c>
      <c r="L20" s="65" t="str">
        <f>VLOOKUP(C20,Barem!L:Q,6,0)</f>
        <v>D</v>
      </c>
      <c r="M20" s="11">
        <f t="shared" si="9"/>
        <v>0.75</v>
      </c>
      <c r="N20" s="11">
        <f t="shared" si="10"/>
        <v>0.25</v>
      </c>
      <c r="O20" s="49">
        <f t="shared" si="11"/>
        <v>0</v>
      </c>
      <c r="P20" s="27">
        <f>IF(D20&gt;21,VLOOKUP(D20,Barem!$S$1:$T$141,2,1),0)</f>
        <v>0</v>
      </c>
      <c r="Q20" s="27">
        <f>IF(D20&lt;1.609,0,IF(B20="F",VLOOKUP(I20,Barem!$W$2:$Y$13,2,1),VLOOKUP(I20,Barem!$W$14:$Y$25,2,1)))</f>
        <v>0</v>
      </c>
      <c r="R20" s="27">
        <f>VLOOKUP(A20,Participanti!A:C,3,0)</f>
        <v>0</v>
      </c>
      <c r="S20" s="21">
        <f t="shared" si="12"/>
        <v>1.1428571428571428</v>
      </c>
      <c r="T20" s="82">
        <v>44451</v>
      </c>
      <c r="U20" s="143">
        <f>COUNTIFS(A:A,A20,C:C,C20)</f>
        <v>1</v>
      </c>
      <c r="V20" s="77" t="str">
        <f>VLOOKUP(A20,Data_echipe!A:U,21,0)</f>
        <v>UltraSYR</v>
      </c>
      <c r="X20" s="154">
        <v>1</v>
      </c>
    </row>
    <row r="21" spans="1:24" x14ac:dyDescent="0.25">
      <c r="A21" s="64" t="s">
        <v>100</v>
      </c>
      <c r="B21" s="77" t="str">
        <f>VLOOKUP(A21,Participanti!A:B,2,0)</f>
        <v>F</v>
      </c>
      <c r="C21" s="137">
        <v>1</v>
      </c>
      <c r="D21" s="66">
        <v>10</v>
      </c>
      <c r="E21" s="67">
        <v>6.2199074074074073E-2</v>
      </c>
      <c r="F21" s="67">
        <v>6.2557870370370375E-2</v>
      </c>
      <c r="G21" s="100">
        <f t="shared" si="1"/>
        <v>6.2378472222222224E-2</v>
      </c>
      <c r="H21" s="68">
        <v>32</v>
      </c>
      <c r="I21" s="14">
        <f t="shared" si="7"/>
        <v>6.2378472222222228E-3</v>
      </c>
      <c r="J21" s="92">
        <f t="shared" si="8"/>
        <v>2.5</v>
      </c>
      <c r="K21" s="92">
        <f>IF(J21=0,0,IF(B21="F",VLOOKUP(I21,Barem!$G$2:$H$11,2,1),VLOOKUP(I21,Barem!$G$12:$H$21,2,1)))</f>
        <v>1</v>
      </c>
      <c r="L21" s="65" t="str">
        <f>VLOOKUP(C21,Barem!L:Q,6,0)</f>
        <v>D</v>
      </c>
      <c r="M21" s="11">
        <f t="shared" si="9"/>
        <v>0.75</v>
      </c>
      <c r="N21" s="11">
        <f t="shared" si="10"/>
        <v>0.25</v>
      </c>
      <c r="O21" s="49">
        <f t="shared" si="11"/>
        <v>0</v>
      </c>
      <c r="P21" s="27">
        <f>IF(D21&gt;21,VLOOKUP(D21,Barem!$S$1:$T$141,2,1),0)</f>
        <v>0</v>
      </c>
      <c r="Q21" s="27">
        <f>IF(D21&lt;1.609,0,IF(B21="F",VLOOKUP(I21,Barem!$W$2:$Y$13,2,1),VLOOKUP(I21,Barem!$W$14:$Y$25,2,1)))</f>
        <v>0</v>
      </c>
      <c r="R21" s="27">
        <f>VLOOKUP(A21,Participanti!A:C,3,0)</f>
        <v>0.4</v>
      </c>
      <c r="S21" s="21">
        <f t="shared" si="12"/>
        <v>2.5249999999999999</v>
      </c>
      <c r="T21" s="82">
        <v>44450</v>
      </c>
      <c r="U21" s="143">
        <f>COUNTIFS(A:A,A21,C:C,C21)</f>
        <v>1</v>
      </c>
      <c r="V21" s="77" t="str">
        <f>VLOOKUP(A21,Data_echipe!A:U,21,0)</f>
        <v>All Stars</v>
      </c>
      <c r="X21" s="154">
        <v>1</v>
      </c>
    </row>
    <row r="22" spans="1:24" x14ac:dyDescent="0.25">
      <c r="A22" s="64" t="s">
        <v>239</v>
      </c>
      <c r="B22" s="77" t="str">
        <f>VLOOKUP(A22,Participanti!A:B,2,0)</f>
        <v>M</v>
      </c>
      <c r="C22" s="137">
        <v>1</v>
      </c>
      <c r="D22" s="66">
        <v>12.38</v>
      </c>
      <c r="E22" s="67">
        <v>4.9224537037037032E-2</v>
      </c>
      <c r="F22" s="67">
        <v>5.0104166666666672E-2</v>
      </c>
      <c r="G22" s="100">
        <f t="shared" si="1"/>
        <v>4.9664351851851848E-2</v>
      </c>
      <c r="H22" s="68">
        <v>15</v>
      </c>
      <c r="I22" s="14">
        <f t="shared" si="7"/>
        <v>4.0116600849638001E-3</v>
      </c>
      <c r="J22" s="92">
        <f t="shared" si="8"/>
        <v>2.9476190476190478</v>
      </c>
      <c r="K22" s="92">
        <f>IF(J22=0,0,IF(B22="F",VLOOKUP(I22,Barem!$G$2:$H$11,2,1),VLOOKUP(I22,Barem!$G$12:$H$21,2,1)))</f>
        <v>1.5</v>
      </c>
      <c r="L22" s="65" t="str">
        <f>VLOOKUP(C22,Barem!L:Q,6,0)</f>
        <v>D</v>
      </c>
      <c r="M22" s="11">
        <f t="shared" si="9"/>
        <v>0.75</v>
      </c>
      <c r="N22" s="11">
        <f t="shared" si="10"/>
        <v>0.25</v>
      </c>
      <c r="O22" s="49">
        <f t="shared" si="11"/>
        <v>0</v>
      </c>
      <c r="P22" s="27">
        <f>IF(D22&gt;21,VLOOKUP(D22,Barem!$S$1:$T$141,2,1),0)</f>
        <v>0</v>
      </c>
      <c r="Q22" s="27">
        <f>IF(D22&lt;1.609,0,IF(B22="F",VLOOKUP(I22,Barem!$W$2:$Y$13,2,1),VLOOKUP(I22,Barem!$W$14:$Y$25,2,1)))</f>
        <v>0</v>
      </c>
      <c r="R22" s="27">
        <f>VLOOKUP(A22,Participanti!A:C,3,0)</f>
        <v>0</v>
      </c>
      <c r="S22" s="21">
        <f t="shared" si="12"/>
        <v>2.5857142857142859</v>
      </c>
      <c r="T22" s="82">
        <v>44450</v>
      </c>
      <c r="U22" s="143">
        <f>COUNTIFS(A:A,A22,C:C,C22)</f>
        <v>1</v>
      </c>
      <c r="V22" s="77" t="str">
        <f>VLOOKUP(A22,Data_echipe!A:U,21,0)</f>
        <v>All Stars</v>
      </c>
      <c r="X22" s="154">
        <v>1</v>
      </c>
    </row>
    <row r="23" spans="1:24" x14ac:dyDescent="0.25">
      <c r="A23" s="64" t="s">
        <v>240</v>
      </c>
      <c r="B23" s="77" t="str">
        <f>VLOOKUP(A23,Participanti!A:B,2,0)</f>
        <v>M</v>
      </c>
      <c r="C23" s="137">
        <v>1</v>
      </c>
      <c r="D23" s="66">
        <v>21.03</v>
      </c>
      <c r="E23" s="67">
        <v>0.11840277777777779</v>
      </c>
      <c r="F23" s="67">
        <v>0.12428240740740741</v>
      </c>
      <c r="G23" s="100">
        <f t="shared" si="1"/>
        <v>0.1213425925925926</v>
      </c>
      <c r="H23" s="68">
        <v>1237</v>
      </c>
      <c r="I23" s="14">
        <f t="shared" si="7"/>
        <v>5.7699758722107751E-3</v>
      </c>
      <c r="J23" s="92">
        <f t="shared" si="8"/>
        <v>5</v>
      </c>
      <c r="K23" s="92">
        <f>IF(J23=0,0,IF(B23="F",VLOOKUP(I23,Barem!$G$2:$H$11,2,1),VLOOKUP(I23,Barem!$G$12:$H$21,2,1)))</f>
        <v>0</v>
      </c>
      <c r="L23" s="65" t="str">
        <f>VLOOKUP(C23,Barem!L:Q,6,0)</f>
        <v>D</v>
      </c>
      <c r="M23" s="11">
        <f t="shared" si="9"/>
        <v>0.75</v>
      </c>
      <c r="N23" s="11">
        <f t="shared" si="10"/>
        <v>0.25</v>
      </c>
      <c r="O23" s="49">
        <f t="shared" si="11"/>
        <v>0.82466666666666666</v>
      </c>
      <c r="P23" s="27">
        <f>IF(D23&gt;21,VLOOKUP(D23,Barem!$S$1:$T$141,2,1),0)</f>
        <v>0</v>
      </c>
      <c r="Q23" s="27">
        <f>IF(D23&lt;1.609,0,IF(B23="F",VLOOKUP(I23,Barem!$W$2:$Y$13,2,1),VLOOKUP(I23,Barem!$W$14:$Y$25,2,1)))</f>
        <v>0</v>
      </c>
      <c r="R23" s="27">
        <f>VLOOKUP(A23,Participanti!A:C,3,0)</f>
        <v>0</v>
      </c>
      <c r="S23" s="21">
        <f t="shared" si="12"/>
        <v>4.5746666666666664</v>
      </c>
      <c r="T23" s="82">
        <v>44451</v>
      </c>
      <c r="U23" s="143">
        <f>COUNTIFS(A:A,A23,C:C,C23)</f>
        <v>1</v>
      </c>
      <c r="V23" s="77" t="str">
        <f>VLOOKUP(A23,Data_echipe!A:U,21,0)</f>
        <v>All Stars</v>
      </c>
      <c r="X23" s="154"/>
    </row>
    <row r="24" spans="1:24" x14ac:dyDescent="0.25">
      <c r="A24" s="64" t="s">
        <v>241</v>
      </c>
      <c r="B24" s="77" t="str">
        <f>VLOOKUP(A24,Participanti!A:B,2,0)</f>
        <v>M</v>
      </c>
      <c r="C24" s="137">
        <v>1</v>
      </c>
      <c r="D24" s="66">
        <v>10.38</v>
      </c>
      <c r="E24" s="67">
        <v>3.9907407407407412E-2</v>
      </c>
      <c r="F24" s="67">
        <v>4.0046296296296295E-2</v>
      </c>
      <c r="G24" s="100">
        <f t="shared" si="1"/>
        <v>3.9976851851851854E-2</v>
      </c>
      <c r="H24" s="68">
        <v>0</v>
      </c>
      <c r="I24" s="14">
        <f t="shared" si="7"/>
        <v>3.851334475130236E-3</v>
      </c>
      <c r="J24" s="92">
        <f t="shared" si="8"/>
        <v>2.4714285714285715</v>
      </c>
      <c r="K24" s="92">
        <f>IF(J24=0,0,IF(B24="F",VLOOKUP(I24,Barem!$G$2:$H$11,2,1),VLOOKUP(I24,Barem!$G$12:$H$21,2,1)))</f>
        <v>1.5</v>
      </c>
      <c r="L24" s="65" t="str">
        <f>VLOOKUP(C24,Barem!L:Q,6,0)</f>
        <v>D</v>
      </c>
      <c r="M24" s="11">
        <f t="shared" si="9"/>
        <v>0.75</v>
      </c>
      <c r="N24" s="11">
        <f t="shared" si="10"/>
        <v>0.25</v>
      </c>
      <c r="O24" s="49">
        <f t="shared" si="11"/>
        <v>0</v>
      </c>
      <c r="P24" s="27">
        <f>IF(D24&gt;21,VLOOKUP(D24,Barem!$S$1:$T$141,2,1),0)</f>
        <v>0</v>
      </c>
      <c r="Q24" s="27">
        <f>IF(D24&lt;1.609,0,IF(B24="F",VLOOKUP(I24,Barem!$W$2:$Y$13,2,1),VLOOKUP(I24,Barem!$W$14:$Y$25,2,1)))</f>
        <v>0</v>
      </c>
      <c r="R24" s="27">
        <f>VLOOKUP(A24,Participanti!A:C,3,0)</f>
        <v>0</v>
      </c>
      <c r="S24" s="21">
        <f t="shared" si="12"/>
        <v>2.2285714285714286</v>
      </c>
      <c r="T24" s="82">
        <v>44446</v>
      </c>
      <c r="U24" s="143">
        <f>COUNTIFS(A:A,A24,C:C,C24)</f>
        <v>1</v>
      </c>
      <c r="V24" s="77" t="e">
        <f>VLOOKUP(A24,Data_echipe!A:U,21,0)</f>
        <v>#N/A</v>
      </c>
      <c r="X24" s="154">
        <v>1</v>
      </c>
    </row>
    <row r="25" spans="1:24" x14ac:dyDescent="0.25">
      <c r="A25" s="64" t="s">
        <v>242</v>
      </c>
      <c r="B25" s="77" t="str">
        <f>VLOOKUP(A25,Participanti!A:B,2,0)</f>
        <v>M</v>
      </c>
      <c r="C25" s="137">
        <v>1</v>
      </c>
      <c r="D25" s="66">
        <v>21.55</v>
      </c>
      <c r="E25" s="67">
        <v>6.0590277777777778E-2</v>
      </c>
      <c r="F25" s="67">
        <v>6.0590277777777778E-2</v>
      </c>
      <c r="G25" s="100">
        <f t="shared" si="1"/>
        <v>6.0590277777777778E-2</v>
      </c>
      <c r="H25" s="68">
        <v>218</v>
      </c>
      <c r="I25" s="14">
        <f t="shared" si="7"/>
        <v>2.8116138179943282E-3</v>
      </c>
      <c r="J25" s="92">
        <f t="shared" si="8"/>
        <v>5</v>
      </c>
      <c r="K25" s="92">
        <f>IF(J25=0,0,IF(B25="F",VLOOKUP(I25,Barem!$G$2:$H$11,2,1),VLOOKUP(I25,Barem!$G$12:$H$21,2,1)))</f>
        <v>4.5</v>
      </c>
      <c r="L25" s="65" t="str">
        <f>VLOOKUP(C25,Barem!L:Q,6,0)</f>
        <v>D</v>
      </c>
      <c r="M25" s="11">
        <f t="shared" si="9"/>
        <v>0.75</v>
      </c>
      <c r="N25" s="11">
        <f t="shared" si="10"/>
        <v>0.25</v>
      </c>
      <c r="O25" s="49">
        <f t="shared" si="11"/>
        <v>0.14533333333333334</v>
      </c>
      <c r="P25" s="27">
        <f>IF(D25&gt;21,VLOOKUP(D25,Barem!$S$1:$T$141,2,1),0)</f>
        <v>0</v>
      </c>
      <c r="Q25" s="27">
        <f>IF(D25&lt;1.609,0,IF(B25="F",VLOOKUP(I25,Barem!$W$2:$Y$13,2,1),VLOOKUP(I25,Barem!$W$14:$Y$25,2,1)))</f>
        <v>0</v>
      </c>
      <c r="R25" s="27">
        <f>VLOOKUP(A25,Participanti!A:C,3,0)</f>
        <v>0</v>
      </c>
      <c r="S25" s="21">
        <f t="shared" si="12"/>
        <v>5.0203333333333333</v>
      </c>
      <c r="T25" s="82">
        <v>44446</v>
      </c>
      <c r="U25" s="143">
        <f>COUNTIFS(A:A,A25,C:C,C25)</f>
        <v>1</v>
      </c>
      <c r="V25" s="77" t="str">
        <f>VLOOKUP(A25,Data_echipe!A:U,21,0)</f>
        <v>All Stars</v>
      </c>
      <c r="X25" s="154">
        <v>1</v>
      </c>
    </row>
    <row r="26" spans="1:24" x14ac:dyDescent="0.25">
      <c r="A26" s="64" t="s">
        <v>203</v>
      </c>
      <c r="B26" s="77" t="str">
        <f>VLOOKUP(A26,Participanti!A:B,2,0)</f>
        <v>M</v>
      </c>
      <c r="C26" s="137">
        <v>1</v>
      </c>
      <c r="D26" s="66">
        <v>15.21</v>
      </c>
      <c r="E26" s="67">
        <v>4.1701388888888885E-2</v>
      </c>
      <c r="F26" s="67">
        <v>4.1759259259259253E-2</v>
      </c>
      <c r="G26" s="100">
        <f t="shared" ref="G26:G32" si="13">AVERAGE(E26:F26)</f>
        <v>4.1730324074074066E-2</v>
      </c>
      <c r="H26" s="68">
        <v>83</v>
      </c>
      <c r="I26" s="14">
        <f t="shared" ref="I26:I32" si="14">G26/D26</f>
        <v>2.7436110502349811E-3</v>
      </c>
      <c r="J26" s="92">
        <f t="shared" ref="J26:J32" si="15">IF(B26="F",IF(D26&lt;2.5,0,IF(D26&gt;19.99,5,D26/4)),IF(D26&lt;3,0, IF(D26&gt;20.99,5,D26/4.2)))</f>
        <v>3.6214285714285714</v>
      </c>
      <c r="K26" s="92">
        <f>IF(J26=0,0,IF(B26="F",VLOOKUP(I26,Barem!$G$2:$H$11,2,1),VLOOKUP(I26,Barem!$G$12:$H$21,2,1)))</f>
        <v>5</v>
      </c>
      <c r="L26" s="110" t="s">
        <v>110</v>
      </c>
      <c r="M26" s="11">
        <f t="shared" ref="M26:M32" si="16">IF(OR(L26="P1",L26="P2",L26="P3"),"",IF(C26=15,0.5,IF(L26="D",0.75,0.25)))</f>
        <v>0.25</v>
      </c>
      <c r="N26" s="11">
        <f t="shared" ref="N26:N32" si="17">IF(OR(L26="P1",L26="P2",L26="P3"),"",IF(C26=15,0.5,IF(L26="V",0.75,0.25)))</f>
        <v>0.75</v>
      </c>
      <c r="O26" s="49">
        <f t="shared" ref="O26:O32" si="18">IF(H26&lt;-49,H26/1500,IF(H26&gt;49,H26/1500,0))</f>
        <v>5.5333333333333332E-2</v>
      </c>
      <c r="P26" s="27">
        <f>IF(D26&gt;21,VLOOKUP(D26,Barem!$S$1:$T$141,2,1),0)</f>
        <v>0</v>
      </c>
      <c r="Q26" s="27">
        <f>IF(D26&lt;1.609,0,IF(B26="F",VLOOKUP(I26,Barem!$W$2:$Y$13,2,1),VLOOKUP(I26,Barem!$W$14:$Y$25,2,1)))</f>
        <v>0.15000000000000002</v>
      </c>
      <c r="R26" s="27">
        <f>VLOOKUP(A26,Participanti!A:C,3,0)</f>
        <v>0</v>
      </c>
      <c r="S26" s="21">
        <f t="shared" ref="S26:S32" si="19">J26*M26+K26*N26+O26+P26+Q26+R26</f>
        <v>4.8606904761904763</v>
      </c>
      <c r="T26" s="82">
        <v>44446</v>
      </c>
      <c r="U26" s="143">
        <f>COUNTIFS(A:A,A26,C:C,C26)</f>
        <v>1</v>
      </c>
      <c r="V26" s="77" t="str">
        <f>VLOOKUP(A26,Data_echipe!A:U,21,0)</f>
        <v>All Stars</v>
      </c>
      <c r="X26" s="154">
        <v>1</v>
      </c>
    </row>
    <row r="27" spans="1:24" ht="11.4" customHeight="1" x14ac:dyDescent="0.25">
      <c r="A27" s="64" t="s">
        <v>244</v>
      </c>
      <c r="B27" s="77" t="str">
        <f>VLOOKUP(A27,Participanti!A:B,2,0)</f>
        <v>M</v>
      </c>
      <c r="C27" s="137">
        <v>1</v>
      </c>
      <c r="D27" s="66">
        <v>20.82</v>
      </c>
      <c r="E27" s="67">
        <v>0.10590277777777778</v>
      </c>
      <c r="F27" s="67">
        <v>0.10637731481481481</v>
      </c>
      <c r="G27" s="100">
        <f t="shared" si="13"/>
        <v>0.10614004629629629</v>
      </c>
      <c r="H27" s="68">
        <v>1273</v>
      </c>
      <c r="I27" s="14">
        <f t="shared" si="14"/>
        <v>5.0979849325790728E-3</v>
      </c>
      <c r="J27" s="92">
        <f t="shared" si="15"/>
        <v>4.9571428571428573</v>
      </c>
      <c r="K27" s="92">
        <f>IF(J27=0,0,IF(B27="F",VLOOKUP(I27,Barem!$G$2:$H$11,2,1),VLOOKUP(I27,Barem!$G$12:$H$21,2,1)))</f>
        <v>1</v>
      </c>
      <c r="L27" s="65" t="str">
        <f>VLOOKUP(C27,Barem!L:Q,6,0)</f>
        <v>D</v>
      </c>
      <c r="M27" s="11">
        <f t="shared" si="16"/>
        <v>0.75</v>
      </c>
      <c r="N27" s="11">
        <f t="shared" si="17"/>
        <v>0.25</v>
      </c>
      <c r="O27" s="49">
        <f t="shared" si="18"/>
        <v>0.84866666666666668</v>
      </c>
      <c r="P27" s="27">
        <f>IF(D27&gt;21,VLOOKUP(D27,Barem!$S$1:$T$141,2,1),0)</f>
        <v>0</v>
      </c>
      <c r="Q27" s="27">
        <f>IF(D27&lt;1.609,0,IF(B27="F",VLOOKUP(I27,Barem!$W$2:$Y$13,2,1),VLOOKUP(I27,Barem!$W$14:$Y$25,2,1)))</f>
        <v>0</v>
      </c>
      <c r="R27" s="27">
        <f>VLOOKUP(A27,Participanti!A:C,3,0)</f>
        <v>0</v>
      </c>
      <c r="S27" s="21">
        <f t="shared" si="19"/>
        <v>4.8165238095238099</v>
      </c>
      <c r="T27" s="82">
        <v>44451</v>
      </c>
      <c r="U27" s="143">
        <f>COUNTIFS(A:A,A27,C:C,C27)</f>
        <v>1</v>
      </c>
      <c r="V27" s="77" t="str">
        <f>VLOOKUP(A27,Data_echipe!A:U,21,0)</f>
        <v>All Stars</v>
      </c>
      <c r="X27" s="154">
        <v>1</v>
      </c>
    </row>
    <row r="28" spans="1:24" x14ac:dyDescent="0.25">
      <c r="A28" s="64" t="s">
        <v>119</v>
      </c>
      <c r="B28" s="77" t="str">
        <f>VLOOKUP(A28,Participanti!A:B,2,0)</f>
        <v>M</v>
      </c>
      <c r="C28" s="137">
        <v>1</v>
      </c>
      <c r="D28" s="66">
        <v>10.36</v>
      </c>
      <c r="E28" s="67">
        <v>3.3935185185185186E-2</v>
      </c>
      <c r="F28" s="67">
        <v>3.4421296296296297E-2</v>
      </c>
      <c r="G28" s="100">
        <f t="shared" si="13"/>
        <v>3.4178240740740745E-2</v>
      </c>
      <c r="H28" s="68">
        <v>0</v>
      </c>
      <c r="I28" s="14">
        <f t="shared" si="14"/>
        <v>3.299057986557987E-3</v>
      </c>
      <c r="J28" s="92">
        <f t="shared" si="15"/>
        <v>2.4666666666666663</v>
      </c>
      <c r="K28" s="92">
        <f>IF(J28=0,0,IF(B28="F",VLOOKUP(I28,Barem!$G$2:$H$11,2,1),VLOOKUP(I28,Barem!$G$12:$H$21,2,1)))</f>
        <v>3.5</v>
      </c>
      <c r="L28" s="65" t="str">
        <f>VLOOKUP(C28,Barem!L:Q,6,0)</f>
        <v>D</v>
      </c>
      <c r="M28" s="11">
        <f t="shared" si="16"/>
        <v>0.75</v>
      </c>
      <c r="N28" s="11">
        <f t="shared" si="17"/>
        <v>0.25</v>
      </c>
      <c r="O28" s="49">
        <f t="shared" si="18"/>
        <v>0</v>
      </c>
      <c r="P28" s="27">
        <f>IF(D28&gt;21,VLOOKUP(D28,Barem!$S$1:$T$141,2,1),0)</f>
        <v>0</v>
      </c>
      <c r="Q28" s="27">
        <f>IF(D28&lt;1.609,0,IF(B28="F",VLOOKUP(I28,Barem!$W$2:$Y$13,2,1),VLOOKUP(I28,Barem!$W$14:$Y$25,2,1)))</f>
        <v>0</v>
      </c>
      <c r="R28" s="27">
        <f>VLOOKUP(A28,Participanti!A:C,3,0)</f>
        <v>0</v>
      </c>
      <c r="S28" s="21">
        <f t="shared" si="19"/>
        <v>2.7249999999999996</v>
      </c>
      <c r="T28" s="82">
        <v>44450</v>
      </c>
      <c r="U28" s="143">
        <f>COUNTIFS(A:A,A28,C:C,C28)</f>
        <v>1</v>
      </c>
      <c r="V28" s="77" t="e">
        <f>VLOOKUP(A28,Data_echipe!A:U,21,0)</f>
        <v>#N/A</v>
      </c>
      <c r="X28" s="154">
        <v>1</v>
      </c>
    </row>
    <row r="29" spans="1:24" x14ac:dyDescent="0.25">
      <c r="A29" s="64" t="s">
        <v>7</v>
      </c>
      <c r="B29" s="77" t="str">
        <f>VLOOKUP(A29,Participanti!A:B,2,0)</f>
        <v>M</v>
      </c>
      <c r="C29" s="137">
        <v>1</v>
      </c>
      <c r="D29" s="66">
        <v>3</v>
      </c>
      <c r="E29" s="67">
        <v>8.7962962962962968E-3</v>
      </c>
      <c r="F29" s="67">
        <v>8.7962962962962968E-3</v>
      </c>
      <c r="G29" s="100">
        <f t="shared" si="13"/>
        <v>8.7962962962962968E-3</v>
      </c>
      <c r="H29" s="68">
        <v>16</v>
      </c>
      <c r="I29" s="14">
        <f t="shared" si="14"/>
        <v>2.9320987654320989E-3</v>
      </c>
      <c r="J29" s="92">
        <f t="shared" si="15"/>
        <v>0.7142857142857143</v>
      </c>
      <c r="K29" s="92">
        <f>IF(J29=0,0,IF(B29="F",VLOOKUP(I29,Barem!$G$2:$H$11,2,1),VLOOKUP(I29,Barem!$G$12:$H$21,2,1)))</f>
        <v>4.5</v>
      </c>
      <c r="L29" s="110" t="s">
        <v>110</v>
      </c>
      <c r="M29" s="11">
        <f t="shared" si="16"/>
        <v>0.25</v>
      </c>
      <c r="N29" s="11">
        <f t="shared" si="17"/>
        <v>0.75</v>
      </c>
      <c r="O29" s="49">
        <f t="shared" si="18"/>
        <v>0</v>
      </c>
      <c r="P29" s="27">
        <f>IF(D29&gt;21,VLOOKUP(D29,Barem!$S$1:$T$141,2,1),0)</f>
        <v>0</v>
      </c>
      <c r="Q29" s="27">
        <f>IF(D29&lt;1.609,0,IF(B29="F",VLOOKUP(I29,Barem!$W$2:$Y$13,2,1),VLOOKUP(I29,Barem!$W$14:$Y$25,2,1)))</f>
        <v>0</v>
      </c>
      <c r="R29" s="27">
        <f>VLOOKUP(A29,Participanti!A:C,3,0)</f>
        <v>0</v>
      </c>
      <c r="S29" s="21">
        <f t="shared" si="19"/>
        <v>3.5535714285714284</v>
      </c>
      <c r="T29" s="82">
        <v>44446</v>
      </c>
      <c r="U29" s="143">
        <f>COUNTIFS(A:A,A29,C:C,C29)</f>
        <v>1</v>
      </c>
      <c r="V29" s="77" t="str">
        <f>VLOOKUP(A29,Data_echipe!A:U,21,0)</f>
        <v>All Stars</v>
      </c>
      <c r="X29" s="154">
        <v>1</v>
      </c>
    </row>
    <row r="30" spans="1:24" x14ac:dyDescent="0.25">
      <c r="A30" s="64" t="s">
        <v>118</v>
      </c>
      <c r="B30" s="77" t="str">
        <f>VLOOKUP(A30,Participanti!A:B,2,0)</f>
        <v>M</v>
      </c>
      <c r="C30" s="137">
        <v>1</v>
      </c>
      <c r="D30" s="66">
        <v>25.72</v>
      </c>
      <c r="E30" s="67">
        <v>0.10305555555555555</v>
      </c>
      <c r="F30" s="67">
        <v>0.11255787037037036</v>
      </c>
      <c r="G30" s="100">
        <f t="shared" si="13"/>
        <v>0.10780671296296296</v>
      </c>
      <c r="H30" s="68">
        <v>11</v>
      </c>
      <c r="I30" s="112">
        <f t="shared" si="14"/>
        <v>4.1915518259316858E-3</v>
      </c>
      <c r="J30" s="92">
        <f t="shared" si="15"/>
        <v>5</v>
      </c>
      <c r="K30" s="92">
        <f>IF(J30=0,0,IF(B30="F",VLOOKUP(I30,Barem!$G$2:$H$11,2,1),VLOOKUP(I30,Barem!$G$12:$H$21,2,1)))</f>
        <v>1</v>
      </c>
      <c r="L30" s="65" t="str">
        <f>VLOOKUP(C30,Barem!L:Q,6,0)</f>
        <v>D</v>
      </c>
      <c r="M30" s="11">
        <f t="shared" si="16"/>
        <v>0.75</v>
      </c>
      <c r="N30" s="11">
        <f t="shared" si="17"/>
        <v>0.25</v>
      </c>
      <c r="O30" s="49">
        <f t="shared" si="18"/>
        <v>0</v>
      </c>
      <c r="P30" s="27">
        <f>IF(D30&gt;21,VLOOKUP(D30,Barem!$S$1:$T$141,2,1),0)</f>
        <v>0.2</v>
      </c>
      <c r="Q30" s="27">
        <f>IF(D30&lt;1.609,0,IF(B30="F",VLOOKUP(I30,Barem!$W$2:$Y$13,2,1),VLOOKUP(I30,Barem!$W$14:$Y$25,2,1)))</f>
        <v>0</v>
      </c>
      <c r="R30" s="27">
        <f>VLOOKUP(A30,Participanti!A:C,3,0)</f>
        <v>0</v>
      </c>
      <c r="S30" s="21">
        <f t="shared" si="19"/>
        <v>4.2</v>
      </c>
      <c r="T30" s="82">
        <v>44451</v>
      </c>
      <c r="U30" s="143">
        <f>COUNTIFS(A:A,A30,C:C,C30)</f>
        <v>1</v>
      </c>
      <c r="V30" s="77" t="str">
        <f>VLOOKUP(A30,Data_echipe!A:U,21,0)</f>
        <v>UltraSYR</v>
      </c>
      <c r="X30" s="154">
        <v>1</v>
      </c>
    </row>
    <row r="31" spans="1:24" x14ac:dyDescent="0.25">
      <c r="A31" s="113" t="s">
        <v>211</v>
      </c>
      <c r="B31" s="114" t="str">
        <f>VLOOKUP(A31,Participanti!A:B,2,0)</f>
        <v>F</v>
      </c>
      <c r="C31" s="138">
        <v>1</v>
      </c>
      <c r="D31" s="116">
        <v>10.02</v>
      </c>
      <c r="E31" s="117">
        <v>3.3819444444444451E-2</v>
      </c>
      <c r="F31" s="117">
        <v>3.3819444444444451E-2</v>
      </c>
      <c r="G31" s="118">
        <f t="shared" si="13"/>
        <v>3.3819444444444451E-2</v>
      </c>
      <c r="H31" s="119">
        <v>58</v>
      </c>
      <c r="I31" s="120">
        <f t="shared" si="14"/>
        <v>3.3751940563317815E-3</v>
      </c>
      <c r="J31" s="121">
        <f t="shared" si="15"/>
        <v>2.5049999999999999</v>
      </c>
      <c r="K31" s="121">
        <f>IF(J31=0,0,IF(B31="F",VLOOKUP(I31,Barem!$G$2:$H$11,2,1),VLOOKUP(I31,Barem!$G$12:$H$21,2,1)))</f>
        <v>4</v>
      </c>
      <c r="L31" s="115" t="str">
        <f>VLOOKUP(C31,Barem!L:Q,6,0)</f>
        <v>D</v>
      </c>
      <c r="M31" s="122">
        <f t="shared" si="16"/>
        <v>0.75</v>
      </c>
      <c r="N31" s="122">
        <f t="shared" si="17"/>
        <v>0.25</v>
      </c>
      <c r="O31" s="123">
        <f t="shared" si="18"/>
        <v>3.8666666666666669E-2</v>
      </c>
      <c r="P31" s="124">
        <f>IF(D31&gt;21,VLOOKUP(D31,Barem!$S$1:$T$141,2,1),0)</f>
        <v>0</v>
      </c>
      <c r="Q31" s="124">
        <f>IF(D31&lt;1.609,0,IF(B31="F",VLOOKUP(I31,Barem!$W$2:$Y$13,2,1),VLOOKUP(I31,Barem!$W$14:$Y$25,2,1)))</f>
        <v>0</v>
      </c>
      <c r="R31" s="124">
        <f>VLOOKUP(A31,Participanti!A:C,3,0)</f>
        <v>0</v>
      </c>
      <c r="S31" s="125">
        <f t="shared" si="19"/>
        <v>2.917416666666667</v>
      </c>
      <c r="T31" s="126">
        <v>44451</v>
      </c>
      <c r="U31" s="144">
        <f>COUNTIFS(A:A,A31,C:C,C31)</f>
        <v>1</v>
      </c>
      <c r="V31" s="114" t="str">
        <f>VLOOKUP(A31,Data_echipe!A:U,21,0)</f>
        <v>UltraSYR</v>
      </c>
      <c r="W31" s="127"/>
      <c r="X31" s="154">
        <v>1</v>
      </c>
    </row>
    <row r="32" spans="1:24" x14ac:dyDescent="0.25">
      <c r="A32" s="64" t="s">
        <v>49</v>
      </c>
      <c r="B32" s="77" t="str">
        <f>VLOOKUP(A32,Participanti!A:B,2,0)</f>
        <v>M</v>
      </c>
      <c r="C32" s="137">
        <v>2</v>
      </c>
      <c r="D32" s="66">
        <v>10.07</v>
      </c>
      <c r="E32" s="67">
        <v>2.8749999999999998E-2</v>
      </c>
      <c r="F32" s="67">
        <v>2.8749999999999998E-2</v>
      </c>
      <c r="G32" s="100">
        <f t="shared" si="13"/>
        <v>2.8749999999999998E-2</v>
      </c>
      <c r="H32" s="68">
        <v>9</v>
      </c>
      <c r="I32" s="14">
        <f t="shared" si="14"/>
        <v>2.8550148957298903E-3</v>
      </c>
      <c r="J32" s="92">
        <f t="shared" si="15"/>
        <v>2.3976190476190475</v>
      </c>
      <c r="K32" s="92">
        <f>IF(J32=0,0,IF(B32="F",VLOOKUP(I32,Barem!$G$2:$H$11,2,1),VLOOKUP(I32,Barem!$G$12:$H$21,2,1)))</f>
        <v>4.5</v>
      </c>
      <c r="L32" s="65" t="str">
        <f>VLOOKUP(C32,Barem!L:Q,6,0)</f>
        <v>V</v>
      </c>
      <c r="M32" s="11">
        <f t="shared" si="16"/>
        <v>0.25</v>
      </c>
      <c r="N32" s="11">
        <f t="shared" si="17"/>
        <v>0.75</v>
      </c>
      <c r="O32" s="49">
        <f t="shared" si="18"/>
        <v>0</v>
      </c>
      <c r="P32" s="27">
        <f>IF(D32&gt;21,VLOOKUP(D32,Barem!$S$1:$T$141,2,1),0)</f>
        <v>0</v>
      </c>
      <c r="Q32" s="27">
        <f>IF(D32&lt;1.609,0,IF(B32="F",VLOOKUP(I32,Barem!$W$2:$Y$13,2,1),VLOOKUP(I32,Barem!$W$14:$Y$25,2,1)))</f>
        <v>0</v>
      </c>
      <c r="R32" s="27">
        <f>VLOOKUP(A32,Participanti!A:C,3,0)</f>
        <v>0</v>
      </c>
      <c r="S32" s="21">
        <f t="shared" si="19"/>
        <v>3.9744047619047618</v>
      </c>
      <c r="T32" s="82">
        <v>44458</v>
      </c>
      <c r="U32" s="143">
        <f>COUNTIFS(A:A,A32,C:C,C32)</f>
        <v>1</v>
      </c>
      <c r="V32" s="77" t="str">
        <f>VLOOKUP(A32,Data_echipe!A:U,21,0)</f>
        <v>All Stars</v>
      </c>
      <c r="W32" s="23" t="s">
        <v>247</v>
      </c>
      <c r="X32" s="154">
        <v>1</v>
      </c>
    </row>
    <row r="33" spans="1:24" x14ac:dyDescent="0.25">
      <c r="A33" s="64" t="s">
        <v>51</v>
      </c>
      <c r="B33" s="77" t="str">
        <f>VLOOKUP(A33,Participanti!A:B,2,0)</f>
        <v>M</v>
      </c>
      <c r="C33" s="137">
        <v>2</v>
      </c>
      <c r="D33" s="66">
        <v>31.01</v>
      </c>
      <c r="E33" s="67">
        <v>0.11127314814814815</v>
      </c>
      <c r="F33" s="67">
        <v>0.11157407407407406</v>
      </c>
      <c r="G33" s="100">
        <f t="shared" ref="G33:G62" si="20">AVERAGE(E33:F33)</f>
        <v>0.1114236111111111</v>
      </c>
      <c r="H33" s="68">
        <v>34</v>
      </c>
      <c r="I33" s="14">
        <f t="shared" ref="I33:I62" si="21">G33/D33</f>
        <v>3.5931509548891034E-3</v>
      </c>
      <c r="J33" s="92">
        <f t="shared" ref="J33:J62" si="22">IF(B33="F",IF(D33&lt;2.5,0,IF(D33&gt;19.99,5,D33/4)),IF(D33&lt;3,0, IF(D33&gt;20.99,5,D33/4.2)))</f>
        <v>5</v>
      </c>
      <c r="K33" s="92">
        <f>IF(J33=0,0,IF(B33="F",VLOOKUP(I33,Barem!$G$2:$H$11,2,1),VLOOKUP(I33,Barem!$G$12:$H$21,2,1)))</f>
        <v>2.5</v>
      </c>
      <c r="L33" s="65" t="str">
        <f>VLOOKUP(C33,Barem!L:Q,6,0)</f>
        <v>V</v>
      </c>
      <c r="M33" s="11">
        <f t="shared" ref="M33:M62" si="23">IF(OR(L33="P1",L33="P2",L33="P3"),"",IF(C33=15,0.5,IF(L33="D",0.75,0.25)))</f>
        <v>0.25</v>
      </c>
      <c r="N33" s="11">
        <f t="shared" ref="N33:N62" si="24">IF(OR(L33="P1",L33="P2",L33="P3"),"",IF(C33=15,0.5,IF(L33="V",0.75,0.25)))</f>
        <v>0.75</v>
      </c>
      <c r="O33" s="49">
        <f t="shared" ref="O33:O62" si="25">IF(H33&lt;-49,H33/1500,IF(H33&gt;49,H33/1500,0))</f>
        <v>0</v>
      </c>
      <c r="P33" s="27">
        <f>IF(D33&gt;21,VLOOKUP(D33,Barem!$S$1:$T$141,2,1),0)</f>
        <v>0.5</v>
      </c>
      <c r="Q33" s="27">
        <f>IF(D33&lt;1.609,0,IF(B33="F",VLOOKUP(I33,Barem!$W$2:$Y$13,2,1),VLOOKUP(I33,Barem!$W$14:$Y$25,2,1)))</f>
        <v>0</v>
      </c>
      <c r="R33" s="27">
        <f>VLOOKUP(A33,Participanti!A:C,3,0)</f>
        <v>0</v>
      </c>
      <c r="S33" s="21">
        <f t="shared" ref="S33:S62" si="26">J33*M33+K33*N33+O33+P33+Q33+R33</f>
        <v>3.625</v>
      </c>
      <c r="T33" s="82">
        <v>44458</v>
      </c>
      <c r="U33" s="143">
        <f>COUNTIFS(A:A,A33,C:C,C33)</f>
        <v>1</v>
      </c>
      <c r="V33" s="77" t="str">
        <f>VLOOKUP(A33,Data_echipe!A:U,21,0)</f>
        <v>UltraSYR</v>
      </c>
      <c r="X33" s="154">
        <v>1</v>
      </c>
    </row>
    <row r="34" spans="1:24" x14ac:dyDescent="0.25">
      <c r="A34" s="64" t="s">
        <v>5</v>
      </c>
      <c r="B34" s="77" t="str">
        <f>VLOOKUP(A34,Participanti!A:B,2,0)</f>
        <v>F</v>
      </c>
      <c r="C34" s="137">
        <v>2</v>
      </c>
      <c r="D34" s="66">
        <v>10.11</v>
      </c>
      <c r="E34" s="67">
        <v>3.1226851851851853E-2</v>
      </c>
      <c r="F34" s="67">
        <v>3.1226851851851853E-2</v>
      </c>
      <c r="G34" s="100">
        <f t="shared" si="20"/>
        <v>3.1226851851851853E-2</v>
      </c>
      <c r="H34" s="68">
        <v>13</v>
      </c>
      <c r="I34" s="14">
        <f t="shared" si="21"/>
        <v>3.0887093819833684E-3</v>
      </c>
      <c r="J34" s="92">
        <f t="shared" si="22"/>
        <v>2.5274999999999999</v>
      </c>
      <c r="K34" s="92">
        <f>IF(J34=0,0,IF(B34="F",VLOOKUP(I34,Barem!$G$2:$H$11,2,1),VLOOKUP(I34,Barem!$G$12:$H$21,2,1)))</f>
        <v>5</v>
      </c>
      <c r="L34" s="65" t="str">
        <f>VLOOKUP(C34,Barem!L:Q,6,0)</f>
        <v>V</v>
      </c>
      <c r="M34" s="11">
        <f t="shared" si="23"/>
        <v>0.25</v>
      </c>
      <c r="N34" s="11">
        <f t="shared" si="24"/>
        <v>0.75</v>
      </c>
      <c r="O34" s="49">
        <f t="shared" si="25"/>
        <v>0</v>
      </c>
      <c r="P34" s="27">
        <f>IF(D34&gt;21,VLOOKUP(D34,Barem!$S$1:$T$141,2,1),0)</f>
        <v>0</v>
      </c>
      <c r="Q34" s="27">
        <f>IF(D34&lt;1.609,0,IF(B34="F",VLOOKUP(I34,Barem!$W$2:$Y$13,2,1),VLOOKUP(I34,Barem!$W$14:$Y$25,2,1)))</f>
        <v>0.15000000000000002</v>
      </c>
      <c r="R34" s="27">
        <f>VLOOKUP(A34,Participanti!A:C,3,0)</f>
        <v>0</v>
      </c>
      <c r="S34" s="21">
        <f t="shared" si="26"/>
        <v>4.5318750000000003</v>
      </c>
      <c r="T34" s="82">
        <v>44458</v>
      </c>
      <c r="U34" s="143">
        <f>COUNTIFS(A:A,A34,C:C,C34)</f>
        <v>1</v>
      </c>
      <c r="V34" s="77" t="str">
        <f>VLOOKUP(A34,Data_echipe!A:U,21,0)</f>
        <v>All Stars</v>
      </c>
      <c r="X34" s="154">
        <v>1</v>
      </c>
    </row>
    <row r="35" spans="1:24" x14ac:dyDescent="0.25">
      <c r="A35" s="64" t="s">
        <v>80</v>
      </c>
      <c r="B35" s="77" t="str">
        <f>VLOOKUP(A35,Participanti!A:B,2,0)</f>
        <v>M</v>
      </c>
      <c r="C35" s="137">
        <v>2</v>
      </c>
      <c r="D35" s="66">
        <v>31.68</v>
      </c>
      <c r="E35" s="67">
        <v>0.22155092592592593</v>
      </c>
      <c r="F35" s="67">
        <v>0.24370370370370367</v>
      </c>
      <c r="G35" s="100">
        <f t="shared" si="20"/>
        <v>0.2326273148148148</v>
      </c>
      <c r="H35" s="68">
        <v>949</v>
      </c>
      <c r="I35" s="14">
        <f t="shared" si="21"/>
        <v>7.343033927235316E-3</v>
      </c>
      <c r="J35" s="92">
        <f t="shared" si="22"/>
        <v>5</v>
      </c>
      <c r="K35" s="92">
        <f>IF(J35=0,0,IF(B35="F",VLOOKUP(I35,Barem!$G$2:$H$11,2,1),VLOOKUP(I35,Barem!$G$12:$H$21,2,1)))</f>
        <v>0</v>
      </c>
      <c r="L35" s="65" t="str">
        <f>VLOOKUP(C35,Barem!L:Q,6,0)</f>
        <v>V</v>
      </c>
      <c r="M35" s="11">
        <f t="shared" si="23"/>
        <v>0.25</v>
      </c>
      <c r="N35" s="11">
        <f t="shared" si="24"/>
        <v>0.75</v>
      </c>
      <c r="O35" s="49">
        <f t="shared" si="25"/>
        <v>0.63266666666666671</v>
      </c>
      <c r="P35" s="27">
        <f>IF(D35&gt;21,VLOOKUP(D35,Barem!$S$1:$T$141,2,1),0)</f>
        <v>0.5</v>
      </c>
      <c r="Q35" s="27">
        <f>IF(D35&lt;1.609,0,IF(B35="F",VLOOKUP(I35,Barem!$W$2:$Y$13,2,1),VLOOKUP(I35,Barem!$W$14:$Y$25,2,1)))</f>
        <v>0</v>
      </c>
      <c r="R35" s="27">
        <f>VLOOKUP(A35,Participanti!A:C,3,0)</f>
        <v>0.4</v>
      </c>
      <c r="S35" s="21">
        <f t="shared" si="26"/>
        <v>2.7826666666666666</v>
      </c>
      <c r="T35" s="82">
        <v>44458</v>
      </c>
      <c r="U35" s="143">
        <f>COUNTIFS(A:A,A35,C:C,C35)</f>
        <v>1</v>
      </c>
      <c r="V35" s="77" t="str">
        <f>VLOOKUP(A35,Data_echipe!A:U,21,0)</f>
        <v>UltraSYR</v>
      </c>
      <c r="X35" s="154"/>
    </row>
    <row r="36" spans="1:24" x14ac:dyDescent="0.25">
      <c r="A36" s="64" t="s">
        <v>196</v>
      </c>
      <c r="B36" s="77" t="str">
        <f>VLOOKUP(A36,Participanti!A:B,2,0)</f>
        <v>F</v>
      </c>
      <c r="C36" s="137">
        <v>2</v>
      </c>
      <c r="D36" s="66">
        <v>9.7100000000000009</v>
      </c>
      <c r="E36" s="67">
        <v>4.0138888888888884E-2</v>
      </c>
      <c r="F36" s="67">
        <v>4.5925925925925926E-2</v>
      </c>
      <c r="G36" s="100">
        <f t="shared" si="20"/>
        <v>4.3032407407407408E-2</v>
      </c>
      <c r="H36" s="68">
        <v>10</v>
      </c>
      <c r="I36" s="14">
        <f t="shared" si="21"/>
        <v>4.4317618339245529E-3</v>
      </c>
      <c r="J36" s="92">
        <f t="shared" si="22"/>
        <v>2.4275000000000002</v>
      </c>
      <c r="K36" s="92">
        <f>IF(J36=0,0,IF(B36="F",VLOOKUP(I36,Barem!$G$2:$H$11,2,1),VLOOKUP(I36,Barem!$G$12:$H$21,2,1)))</f>
        <v>1.5</v>
      </c>
      <c r="L36" s="65" t="str">
        <f>VLOOKUP(C36,Barem!L:Q,6,0)</f>
        <v>V</v>
      </c>
      <c r="M36" s="11">
        <f t="shared" si="23"/>
        <v>0.25</v>
      </c>
      <c r="N36" s="11">
        <f t="shared" si="24"/>
        <v>0.75</v>
      </c>
      <c r="O36" s="49">
        <f t="shared" si="25"/>
        <v>0</v>
      </c>
      <c r="P36" s="27">
        <f>IF(D36&gt;21,VLOOKUP(D36,Barem!$S$1:$T$141,2,1),0)</f>
        <v>0</v>
      </c>
      <c r="Q36" s="27">
        <f>IF(D36&lt;1.609,0,IF(B36="F",VLOOKUP(I36,Barem!$W$2:$Y$13,2,1),VLOOKUP(I36,Barem!$W$14:$Y$25,2,1)))</f>
        <v>0</v>
      </c>
      <c r="R36" s="27">
        <f>VLOOKUP(A36,Participanti!A:C,3,0)</f>
        <v>0</v>
      </c>
      <c r="S36" s="21">
        <f t="shared" si="26"/>
        <v>1.7318750000000001</v>
      </c>
      <c r="T36" s="82">
        <v>44457</v>
      </c>
      <c r="U36" s="143">
        <f>COUNTIFS(A:A,A36,C:C,C36)</f>
        <v>1</v>
      </c>
      <c r="V36" s="77" t="str">
        <f>VLOOKUP(A36,Data_echipe!A:U,21,0)</f>
        <v>UltraSYR</v>
      </c>
      <c r="X36" s="154">
        <v>1</v>
      </c>
    </row>
    <row r="37" spans="1:24" x14ac:dyDescent="0.25">
      <c r="A37" s="64" t="s">
        <v>102</v>
      </c>
      <c r="B37" s="77" t="str">
        <f>VLOOKUP(A37,Participanti!A:B,2,0)</f>
        <v>M</v>
      </c>
      <c r="C37" s="137">
        <v>2</v>
      </c>
      <c r="D37" s="66">
        <v>21.5</v>
      </c>
      <c r="E37" s="67">
        <v>5.7708333333333334E-2</v>
      </c>
      <c r="F37" s="67">
        <v>5.7708333333333334E-2</v>
      </c>
      <c r="G37" s="100">
        <f t="shared" si="20"/>
        <v>5.7708333333333334E-2</v>
      </c>
      <c r="H37" s="68">
        <v>36</v>
      </c>
      <c r="I37" s="14">
        <f t="shared" si="21"/>
        <v>2.6841085271317828E-3</v>
      </c>
      <c r="J37" s="92">
        <f t="shared" si="22"/>
        <v>5</v>
      </c>
      <c r="K37" s="92">
        <f>IF(J37=0,0,IF(B37="F",VLOOKUP(I37,Barem!$G$2:$H$11,2,1),VLOOKUP(I37,Barem!$G$12:$H$21,2,1)))</f>
        <v>5</v>
      </c>
      <c r="L37" s="65" t="str">
        <f>VLOOKUP(C37,Barem!L:Q,6,0)</f>
        <v>V</v>
      </c>
      <c r="M37" s="11">
        <f t="shared" si="23"/>
        <v>0.25</v>
      </c>
      <c r="N37" s="11">
        <f t="shared" si="24"/>
        <v>0.75</v>
      </c>
      <c r="O37" s="49">
        <f t="shared" si="25"/>
        <v>0</v>
      </c>
      <c r="P37" s="27">
        <f>IF(D37&gt;21,VLOOKUP(D37,Barem!$S$1:$T$141,2,1),0)</f>
        <v>0</v>
      </c>
      <c r="Q37" s="27">
        <f>IF(D37&lt;1.609,0,IF(B37="F",VLOOKUP(I37,Barem!$W$2:$Y$13,2,1),VLOOKUP(I37,Barem!$W$14:$Y$25,2,1)))</f>
        <v>0.45000000000000007</v>
      </c>
      <c r="R37" s="27">
        <f>VLOOKUP(A37,Participanti!A:C,3,0)</f>
        <v>0</v>
      </c>
      <c r="S37" s="21">
        <f t="shared" si="26"/>
        <v>5.45</v>
      </c>
      <c r="T37" s="82">
        <v>44458</v>
      </c>
      <c r="U37" s="143">
        <f>COUNTIFS(A:A,A37,C:C,C37)</f>
        <v>1</v>
      </c>
      <c r="V37" s="77" t="str">
        <f>VLOOKUP(A37,Data_echipe!A:U,21,0)</f>
        <v>All Stars</v>
      </c>
      <c r="X37" s="154">
        <v>1</v>
      </c>
    </row>
    <row r="38" spans="1:24" x14ac:dyDescent="0.25">
      <c r="A38" s="64" t="s">
        <v>66</v>
      </c>
      <c r="B38" s="77" t="str">
        <f>VLOOKUP(A38,Participanti!A:B,2,0)</f>
        <v>F</v>
      </c>
      <c r="C38" s="137">
        <v>2</v>
      </c>
      <c r="D38" s="66">
        <v>8.02</v>
      </c>
      <c r="E38" s="67">
        <v>4.1192129629629634E-2</v>
      </c>
      <c r="F38" s="67">
        <v>5.7187500000000002E-2</v>
      </c>
      <c r="G38" s="100">
        <f t="shared" si="20"/>
        <v>4.9189814814814818E-2</v>
      </c>
      <c r="H38" s="68">
        <v>2</v>
      </c>
      <c r="I38" s="14">
        <f t="shared" si="21"/>
        <v>6.1333933684307755E-3</v>
      </c>
      <c r="J38" s="92">
        <f t="shared" si="22"/>
        <v>2.0049999999999999</v>
      </c>
      <c r="K38" s="92">
        <f>IF(J38=0,0,IF(B38="F",VLOOKUP(I38,Barem!$G$2:$H$11,2,1),VLOOKUP(I38,Barem!$G$12:$H$21,2,1)))</f>
        <v>1</v>
      </c>
      <c r="L38" s="65" t="str">
        <f>VLOOKUP(C38,Barem!L:Q,6,0)</f>
        <v>V</v>
      </c>
      <c r="M38" s="11">
        <f t="shared" si="23"/>
        <v>0.25</v>
      </c>
      <c r="N38" s="11">
        <f t="shared" si="24"/>
        <v>0.75</v>
      </c>
      <c r="O38" s="49">
        <f t="shared" si="25"/>
        <v>0</v>
      </c>
      <c r="P38" s="27">
        <f>IF(D38&gt;21,VLOOKUP(D38,Barem!$S$1:$T$141,2,1),0)</f>
        <v>0</v>
      </c>
      <c r="Q38" s="27">
        <f>IF(D38&lt;1.609,0,IF(B38="F",VLOOKUP(I38,Barem!$W$2:$Y$13,2,1),VLOOKUP(I38,Barem!$W$14:$Y$25,2,1)))</f>
        <v>0</v>
      </c>
      <c r="R38" s="27">
        <f>VLOOKUP(A38,Participanti!A:C,3,0)</f>
        <v>0.7</v>
      </c>
      <c r="S38" s="21">
        <f t="shared" si="26"/>
        <v>1.9512499999999999</v>
      </c>
      <c r="T38" s="82">
        <v>44456</v>
      </c>
      <c r="U38" s="143">
        <f>COUNTIFS(A:A,A38,C:C,C38)</f>
        <v>1</v>
      </c>
      <c r="V38" s="77" t="e">
        <f>VLOOKUP(A38,Data_echipe!A:U,21,0)</f>
        <v>#N/A</v>
      </c>
      <c r="X38" s="154">
        <v>1</v>
      </c>
    </row>
    <row r="39" spans="1:24" x14ac:dyDescent="0.25">
      <c r="A39" s="64" t="s">
        <v>67</v>
      </c>
      <c r="B39" s="77" t="str">
        <f>VLOOKUP(A39,Participanti!A:B,2,0)</f>
        <v>M</v>
      </c>
      <c r="C39" s="137">
        <v>2</v>
      </c>
      <c r="D39" s="66">
        <v>7.01</v>
      </c>
      <c r="E39" s="67">
        <v>2.2650462962962966E-2</v>
      </c>
      <c r="F39" s="67">
        <v>2.2650462962962966E-2</v>
      </c>
      <c r="G39" s="100">
        <f t="shared" si="20"/>
        <v>2.2650462962962966E-2</v>
      </c>
      <c r="H39" s="68">
        <v>21</v>
      </c>
      <c r="I39" s="14">
        <f t="shared" si="21"/>
        <v>3.2311644740318068E-3</v>
      </c>
      <c r="J39" s="92">
        <f t="shared" si="22"/>
        <v>1.6690476190476189</v>
      </c>
      <c r="K39" s="92">
        <f>IF(J39=0,0,IF(B39="F",VLOOKUP(I39,Barem!$G$2:$H$11,2,1),VLOOKUP(I39,Barem!$G$12:$H$21,2,1)))</f>
        <v>3.5</v>
      </c>
      <c r="L39" s="65" t="str">
        <f>VLOOKUP(C39,Barem!L:Q,6,0)</f>
        <v>V</v>
      </c>
      <c r="M39" s="11">
        <f t="shared" si="23"/>
        <v>0.25</v>
      </c>
      <c r="N39" s="11">
        <f t="shared" si="24"/>
        <v>0.75</v>
      </c>
      <c r="O39" s="49">
        <f t="shared" si="25"/>
        <v>0</v>
      </c>
      <c r="P39" s="27">
        <f>IF(D39&gt;21,VLOOKUP(D39,Barem!$S$1:$T$141,2,1),0)</f>
        <v>0</v>
      </c>
      <c r="Q39" s="27">
        <f>IF(D39&lt;1.609,0,IF(B39="F",VLOOKUP(I39,Barem!$W$2:$Y$13,2,1),VLOOKUP(I39,Barem!$W$14:$Y$25,2,1)))</f>
        <v>0</v>
      </c>
      <c r="R39" s="27">
        <f>VLOOKUP(A39,Participanti!A:C,3,0)</f>
        <v>0</v>
      </c>
      <c r="S39" s="21">
        <f t="shared" si="26"/>
        <v>3.0422619047619048</v>
      </c>
      <c r="T39" s="82">
        <v>44457</v>
      </c>
      <c r="U39" s="143">
        <f>COUNTIFS(A:A,A39,C:C,C39)</f>
        <v>1</v>
      </c>
      <c r="V39" s="77" t="e">
        <f>VLOOKUP(A39,Data_echipe!A:U,21,0)</f>
        <v>#N/A</v>
      </c>
      <c r="X39" s="154">
        <v>1</v>
      </c>
    </row>
    <row r="40" spans="1:24" x14ac:dyDescent="0.25">
      <c r="A40" s="64" t="s">
        <v>111</v>
      </c>
      <c r="B40" s="77" t="str">
        <f>VLOOKUP(A40,Participanti!A:B,2,0)</f>
        <v>M</v>
      </c>
      <c r="C40" s="137">
        <v>2</v>
      </c>
      <c r="D40" s="66">
        <v>11.11</v>
      </c>
      <c r="E40" s="67">
        <v>3.4849537037037033E-2</v>
      </c>
      <c r="F40" s="67">
        <v>3.4884259259259261E-2</v>
      </c>
      <c r="G40" s="100">
        <f t="shared" si="20"/>
        <v>3.4866898148148147E-2</v>
      </c>
      <c r="H40" s="68">
        <v>9</v>
      </c>
      <c r="I40" s="14">
        <f t="shared" si="21"/>
        <v>3.1383346668000132E-3</v>
      </c>
      <c r="J40" s="92">
        <f t="shared" si="22"/>
        <v>2.6452380952380952</v>
      </c>
      <c r="K40" s="92">
        <f>IF(J40=0,0,IF(B40="F",VLOOKUP(I40,Barem!$G$2:$H$11,2,1),VLOOKUP(I40,Barem!$G$12:$H$21,2,1)))</f>
        <v>3.5</v>
      </c>
      <c r="L40" s="65" t="str">
        <f>VLOOKUP(C40,Barem!L:Q,6,0)</f>
        <v>V</v>
      </c>
      <c r="M40" s="11">
        <f t="shared" si="23"/>
        <v>0.25</v>
      </c>
      <c r="N40" s="11">
        <f t="shared" si="24"/>
        <v>0.75</v>
      </c>
      <c r="O40" s="49">
        <f t="shared" si="25"/>
        <v>0</v>
      </c>
      <c r="P40" s="27">
        <f>IF(D40&gt;21,VLOOKUP(D40,Barem!$S$1:$T$141,2,1),0)</f>
        <v>0</v>
      </c>
      <c r="Q40" s="27">
        <f>IF(D40&lt;1.609,0,IF(B40="F",VLOOKUP(I40,Barem!$W$2:$Y$13,2,1),VLOOKUP(I40,Barem!$W$14:$Y$25,2,1)))</f>
        <v>0</v>
      </c>
      <c r="R40" s="27">
        <f>VLOOKUP(A40,Participanti!A:C,3,0)</f>
        <v>0</v>
      </c>
      <c r="S40" s="21">
        <f t="shared" si="26"/>
        <v>3.2863095238095239</v>
      </c>
      <c r="T40" s="82">
        <v>44453</v>
      </c>
      <c r="U40" s="143">
        <f>COUNTIFS(A:A,A40,C:C,C40)</f>
        <v>1</v>
      </c>
      <c r="V40" s="77" t="str">
        <f>VLOOKUP(A40,Data_echipe!A:U,21,0)</f>
        <v>UltraSYR</v>
      </c>
      <c r="X40" s="154">
        <v>1</v>
      </c>
    </row>
    <row r="41" spans="1:24" x14ac:dyDescent="0.25">
      <c r="A41" s="64" t="s">
        <v>103</v>
      </c>
      <c r="B41" s="77" t="str">
        <f>VLOOKUP(A41,Participanti!A:B,2,0)</f>
        <v>F</v>
      </c>
      <c r="C41" s="137">
        <v>2</v>
      </c>
      <c r="D41" s="66">
        <v>21.01</v>
      </c>
      <c r="E41" s="67">
        <v>7.9074074074074074E-2</v>
      </c>
      <c r="F41" s="67">
        <v>8.3923611111111115E-2</v>
      </c>
      <c r="G41" s="100">
        <f t="shared" si="20"/>
        <v>8.1498842592592602E-2</v>
      </c>
      <c r="H41" s="68">
        <v>20</v>
      </c>
      <c r="I41" s="14">
        <f t="shared" si="21"/>
        <v>3.8790500995998381E-3</v>
      </c>
      <c r="J41" s="92">
        <f t="shared" si="22"/>
        <v>5</v>
      </c>
      <c r="K41" s="92">
        <f>IF(J41=0,0,IF(B41="F",VLOOKUP(I41,Barem!$G$2:$H$11,2,1),VLOOKUP(I41,Barem!$G$12:$H$21,2,1)))</f>
        <v>2.5</v>
      </c>
      <c r="L41" s="110" t="s">
        <v>109</v>
      </c>
      <c r="M41" s="11">
        <f t="shared" si="23"/>
        <v>0.75</v>
      </c>
      <c r="N41" s="11">
        <f t="shared" si="24"/>
        <v>0.25</v>
      </c>
      <c r="O41" s="49">
        <f t="shared" si="25"/>
        <v>0</v>
      </c>
      <c r="P41" s="27">
        <f>IF(D41&gt;21,VLOOKUP(D41,Barem!$S$1:$T$141,2,1),0)</f>
        <v>0</v>
      </c>
      <c r="Q41" s="27">
        <f>IF(D41&lt;1.609,0,IF(B41="F",VLOOKUP(I41,Barem!$W$2:$Y$13,2,1),VLOOKUP(I41,Barem!$W$14:$Y$25,2,1)))</f>
        <v>0</v>
      </c>
      <c r="R41" s="27">
        <f>VLOOKUP(A41,Participanti!A:C,3,0)</f>
        <v>0</v>
      </c>
      <c r="S41" s="21">
        <f t="shared" si="26"/>
        <v>4.375</v>
      </c>
      <c r="T41" s="82">
        <v>44458</v>
      </c>
      <c r="U41" s="143">
        <f>COUNTIFS(A:A,A41,C:C,C41)</f>
        <v>1</v>
      </c>
      <c r="V41" s="77" t="str">
        <f>VLOOKUP(A41,Data_echipe!A:U,21,0)</f>
        <v>UltraSYR</v>
      </c>
      <c r="X41" s="154">
        <v>1</v>
      </c>
    </row>
    <row r="42" spans="1:24" x14ac:dyDescent="0.25">
      <c r="A42" s="64" t="s">
        <v>61</v>
      </c>
      <c r="B42" s="77" t="str">
        <f>VLOOKUP(A42,Participanti!A:B,2,0)</f>
        <v>M</v>
      </c>
      <c r="C42" s="137">
        <v>2</v>
      </c>
      <c r="D42" s="66">
        <v>3.3</v>
      </c>
      <c r="E42" s="67">
        <v>1.0289351851851852E-2</v>
      </c>
      <c r="F42" s="67">
        <v>1.0289351851851852E-2</v>
      </c>
      <c r="G42" s="100">
        <f t="shared" si="20"/>
        <v>1.0289351851851852E-2</v>
      </c>
      <c r="H42" s="68">
        <v>8</v>
      </c>
      <c r="I42" s="14">
        <f t="shared" si="21"/>
        <v>3.1179854096520764E-3</v>
      </c>
      <c r="J42" s="92">
        <f t="shared" si="22"/>
        <v>0.78571428571428559</v>
      </c>
      <c r="K42" s="92">
        <f>IF(J42=0,0,IF(B42="F",VLOOKUP(I42,Barem!$G$2:$H$11,2,1),VLOOKUP(I42,Barem!$G$12:$H$21,2,1)))</f>
        <v>4</v>
      </c>
      <c r="L42" s="65" t="str">
        <f>VLOOKUP(C42,Barem!L:Q,6,0)</f>
        <v>V</v>
      </c>
      <c r="M42" s="11">
        <f t="shared" si="23"/>
        <v>0.25</v>
      </c>
      <c r="N42" s="11">
        <f t="shared" si="24"/>
        <v>0.75</v>
      </c>
      <c r="O42" s="49">
        <f t="shared" si="25"/>
        <v>0</v>
      </c>
      <c r="P42" s="27">
        <f>IF(D42&gt;21,VLOOKUP(D42,Barem!$S$1:$T$141,2,1),0)</f>
        <v>0</v>
      </c>
      <c r="Q42" s="27">
        <f>IF(D42&lt;1.609,0,IF(B42="F",VLOOKUP(I42,Barem!$W$2:$Y$13,2,1),VLOOKUP(I42,Barem!$W$14:$Y$25,2,1)))</f>
        <v>0</v>
      </c>
      <c r="R42" s="27">
        <f>VLOOKUP(A42,Participanti!A:C,3,0)</f>
        <v>0</v>
      </c>
      <c r="S42" s="21">
        <f t="shared" si="26"/>
        <v>3.1964285714285712</v>
      </c>
      <c r="T42" s="82">
        <v>44457</v>
      </c>
      <c r="U42" s="143">
        <f>COUNTIFS(A:A,A42,C:C,C42)</f>
        <v>1</v>
      </c>
      <c r="V42" s="77" t="str">
        <f>VLOOKUP(A42,Data_echipe!A:U,21,0)</f>
        <v>UltraSYR</v>
      </c>
      <c r="X42" s="154">
        <v>1</v>
      </c>
    </row>
    <row r="43" spans="1:24" x14ac:dyDescent="0.25">
      <c r="A43" s="64" t="s">
        <v>50</v>
      </c>
      <c r="B43" s="77" t="str">
        <f>VLOOKUP(A43,Participanti!A:B,2,0)</f>
        <v>M</v>
      </c>
      <c r="C43" s="137">
        <v>2</v>
      </c>
      <c r="D43" s="66">
        <v>21.25</v>
      </c>
      <c r="E43" s="67">
        <v>0.10553240740740739</v>
      </c>
      <c r="F43" s="67">
        <v>0.11171296296296296</v>
      </c>
      <c r="G43" s="100">
        <f t="shared" si="20"/>
        <v>0.10862268518518517</v>
      </c>
      <c r="H43" s="68">
        <v>550</v>
      </c>
      <c r="I43" s="14">
        <f t="shared" si="21"/>
        <v>5.1116557734204784E-3</v>
      </c>
      <c r="J43" s="92">
        <f t="shared" si="22"/>
        <v>5</v>
      </c>
      <c r="K43" s="92">
        <f>IF(J43=0,0,IF(B43="F",VLOOKUP(I43,Barem!$G$2:$H$11,2,1),VLOOKUP(I43,Barem!$G$12:$H$21,2,1)))</f>
        <v>1</v>
      </c>
      <c r="L43" s="110" t="s">
        <v>109</v>
      </c>
      <c r="M43" s="11">
        <f t="shared" si="23"/>
        <v>0.75</v>
      </c>
      <c r="N43" s="11">
        <f t="shared" si="24"/>
        <v>0.25</v>
      </c>
      <c r="O43" s="49">
        <f t="shared" si="25"/>
        <v>0.36666666666666664</v>
      </c>
      <c r="P43" s="27">
        <f>IF(D43&gt;21,VLOOKUP(D43,Barem!$S$1:$T$141,2,1),0)</f>
        <v>0</v>
      </c>
      <c r="Q43" s="27">
        <f>IF(D43&lt;1.609,0,IF(B43="F",VLOOKUP(I43,Barem!$W$2:$Y$13,2,1),VLOOKUP(I43,Barem!$W$14:$Y$25,2,1)))</f>
        <v>0</v>
      </c>
      <c r="R43" s="27">
        <f>VLOOKUP(A43,Participanti!A:C,3,0)</f>
        <v>0.4</v>
      </c>
      <c r="S43" s="21">
        <f t="shared" si="26"/>
        <v>4.7666666666666666</v>
      </c>
      <c r="T43" s="82">
        <v>44457</v>
      </c>
      <c r="U43" s="143">
        <f>COUNTIFS(A:A,A43,C:C,C43)</f>
        <v>1</v>
      </c>
      <c r="V43" s="77" t="str">
        <f>VLOOKUP(A43,Data_echipe!A:U,21,0)</f>
        <v>UltraSYR</v>
      </c>
      <c r="X43" s="154">
        <v>1</v>
      </c>
    </row>
    <row r="44" spans="1:24" x14ac:dyDescent="0.25">
      <c r="A44" s="64" t="s">
        <v>153</v>
      </c>
      <c r="B44" s="77" t="str">
        <f>VLOOKUP(A44,Participanti!A:B,2,0)</f>
        <v>F</v>
      </c>
      <c r="C44" s="137">
        <v>2</v>
      </c>
      <c r="D44" s="66">
        <v>6.01</v>
      </c>
      <c r="E44" s="67">
        <v>2.1863425925925925E-2</v>
      </c>
      <c r="F44" s="67">
        <v>2.1863425925925925E-2</v>
      </c>
      <c r="G44" s="100">
        <f t="shared" si="20"/>
        <v>2.1863425925925925E-2</v>
      </c>
      <c r="H44" s="68">
        <v>17</v>
      </c>
      <c r="I44" s="14">
        <f t="shared" si="21"/>
        <v>3.637841252233931E-3</v>
      </c>
      <c r="J44" s="92">
        <f t="shared" si="22"/>
        <v>1.5024999999999999</v>
      </c>
      <c r="K44" s="92">
        <f>IF(J44=0,0,IF(B44="F",VLOOKUP(I44,Barem!$G$2:$H$11,2,1),VLOOKUP(I44,Barem!$G$12:$H$21,2,1)))</f>
        <v>3.5</v>
      </c>
      <c r="L44" s="65" t="str">
        <f>VLOOKUP(C44,Barem!L:Q,6,0)</f>
        <v>V</v>
      </c>
      <c r="M44" s="11">
        <f t="shared" si="23"/>
        <v>0.25</v>
      </c>
      <c r="N44" s="11">
        <f t="shared" si="24"/>
        <v>0.75</v>
      </c>
      <c r="O44" s="49">
        <f t="shared" si="25"/>
        <v>0</v>
      </c>
      <c r="P44" s="27">
        <f>IF(D44&gt;21,VLOOKUP(D44,Barem!$S$1:$T$141,2,1),0)</f>
        <v>0</v>
      </c>
      <c r="Q44" s="27">
        <f>IF(D44&lt;1.609,0,IF(B44="F",VLOOKUP(I44,Barem!$W$2:$Y$13,2,1),VLOOKUP(I44,Barem!$W$14:$Y$25,2,1)))</f>
        <v>0</v>
      </c>
      <c r="R44" s="27">
        <f>VLOOKUP(A44,Participanti!A:C,3,0)</f>
        <v>0</v>
      </c>
      <c r="S44" s="21">
        <f t="shared" si="26"/>
        <v>3.0006249999999999</v>
      </c>
      <c r="T44" s="82">
        <v>44456</v>
      </c>
      <c r="U44" s="143">
        <f>COUNTIFS(A:A,A44,C:C,C44)</f>
        <v>1</v>
      </c>
      <c r="V44" s="77" t="str">
        <f>VLOOKUP(A44,Data_echipe!A:U,21,0)</f>
        <v>All Stars</v>
      </c>
      <c r="X44" s="154">
        <v>1</v>
      </c>
    </row>
    <row r="45" spans="1:24" x14ac:dyDescent="0.25">
      <c r="A45" s="64" t="s">
        <v>52</v>
      </c>
      <c r="B45" s="77" t="str">
        <f>VLOOKUP(A45,Participanti!A:B,2,0)</f>
        <v>M</v>
      </c>
      <c r="C45" s="137">
        <v>2</v>
      </c>
      <c r="D45" s="66">
        <v>21.19</v>
      </c>
      <c r="E45" s="67">
        <v>8.4212962962962976E-2</v>
      </c>
      <c r="F45" s="67">
        <v>8.4803240740740748E-2</v>
      </c>
      <c r="G45" s="100">
        <f>AVERAGE(E45:F45)</f>
        <v>8.4508101851851869E-2</v>
      </c>
      <c r="H45" s="68">
        <v>26</v>
      </c>
      <c r="I45" s="14">
        <f>G45/D45</f>
        <v>3.988112404523448E-3</v>
      </c>
      <c r="J45" s="92">
        <f>IF(B45="F",IF(D45&lt;2.5,0,IF(D45&gt;19.99,5,D45/4)),IF(D45&lt;3,0, IF(D45&gt;20.99,5,D45/4.2)))</f>
        <v>5</v>
      </c>
      <c r="K45" s="92">
        <f>IF(J45=0,0,IF(B45="F",VLOOKUP(I45,Barem!$G$2:$H$11,2,1),VLOOKUP(I45,Barem!$G$12:$H$21,2,1)))</f>
        <v>1.5</v>
      </c>
      <c r="L45" s="110" t="s">
        <v>109</v>
      </c>
      <c r="M45" s="11">
        <f>IF(OR(L45="P1",L45="P2",L45="P3"),"",IF(C45=15,0.5,IF(L45="D",0.75,0.25)))</f>
        <v>0.75</v>
      </c>
      <c r="N45" s="11">
        <f>IF(OR(L45="P1",L45="P2",L45="P3"),"",IF(C45=15,0.5,IF(L45="V",0.75,0.25)))</f>
        <v>0.25</v>
      </c>
      <c r="O45" s="49">
        <f>IF(H45&lt;-49,H45/1500,IF(H45&gt;49,H45/1500,0))</f>
        <v>0</v>
      </c>
      <c r="P45" s="27">
        <f>IF(D45&gt;21,VLOOKUP(D45,Barem!$S$1:$T$141,2,1),0)</f>
        <v>0</v>
      </c>
      <c r="Q45" s="27">
        <f>IF(D45&lt;1.609,0,IF(B45="F",VLOOKUP(I45,Barem!$W$2:$Y$13,2,1),VLOOKUP(I45,Barem!$W$14:$Y$25,2,1)))</f>
        <v>0</v>
      </c>
      <c r="R45" s="27">
        <f>VLOOKUP(A45,Participanti!A:C,3,0)</f>
        <v>0</v>
      </c>
      <c r="S45" s="21">
        <f>J45*M45+K45*N45+O45+P45+Q45+R45</f>
        <v>4.125</v>
      </c>
      <c r="T45" s="82">
        <v>44458</v>
      </c>
      <c r="U45" s="143">
        <f>COUNTIFS(A:A,A45,C:C,C45)</f>
        <v>1</v>
      </c>
      <c r="V45" s="77" t="e">
        <f>VLOOKUP(A45,Data_echipe!A:U,21,0)</f>
        <v>#N/A</v>
      </c>
      <c r="X45" s="154">
        <v>1</v>
      </c>
    </row>
    <row r="46" spans="1:24" x14ac:dyDescent="0.25">
      <c r="A46" s="64" t="s">
        <v>53</v>
      </c>
      <c r="B46" s="77" t="str">
        <f>VLOOKUP(A46,Participanti!A:B,2,0)</f>
        <v>M</v>
      </c>
      <c r="C46" s="137">
        <v>2</v>
      </c>
      <c r="D46" s="66">
        <v>15.81</v>
      </c>
      <c r="E46" s="67">
        <v>0.11859953703703703</v>
      </c>
      <c r="F46" s="67">
        <v>0.12954861111111113</v>
      </c>
      <c r="G46" s="100">
        <f t="shared" si="20"/>
        <v>0.12407407407407409</v>
      </c>
      <c r="H46" s="68">
        <v>1510</v>
      </c>
      <c r="I46" s="14">
        <f t="shared" si="21"/>
        <v>7.8478225220793216E-3</v>
      </c>
      <c r="J46" s="92">
        <f t="shared" si="22"/>
        <v>3.7642857142857142</v>
      </c>
      <c r="K46" s="92">
        <f>IF(J46=0,0,IF(B46="F",VLOOKUP(I46,Barem!$G$2:$H$11,2,1),VLOOKUP(I46,Barem!$G$12:$H$21,2,1)))</f>
        <v>0</v>
      </c>
      <c r="L46" s="110" t="s">
        <v>109</v>
      </c>
      <c r="M46" s="11">
        <f t="shared" si="23"/>
        <v>0.75</v>
      </c>
      <c r="N46" s="11">
        <f t="shared" si="24"/>
        <v>0.25</v>
      </c>
      <c r="O46" s="49">
        <f t="shared" si="25"/>
        <v>1.0066666666666666</v>
      </c>
      <c r="P46" s="27">
        <f>IF(D46&gt;21,VLOOKUP(D46,Barem!$S$1:$T$141,2,1),0)</f>
        <v>0</v>
      </c>
      <c r="Q46" s="27">
        <f>IF(D46&lt;1.609,0,IF(B46="F",VLOOKUP(I46,Barem!$W$2:$Y$13,2,1),VLOOKUP(I46,Barem!$W$14:$Y$25,2,1)))</f>
        <v>0</v>
      </c>
      <c r="R46" s="27">
        <f>VLOOKUP(A46,Participanti!A:C,3,0)</f>
        <v>0</v>
      </c>
      <c r="S46" s="21">
        <f t="shared" si="26"/>
        <v>3.8298809523809521</v>
      </c>
      <c r="T46" s="82">
        <v>44456</v>
      </c>
      <c r="U46" s="143">
        <f>COUNTIFS(A:A,A46,C:C,C46)</f>
        <v>1</v>
      </c>
      <c r="V46" s="77" t="str">
        <f>VLOOKUP(A46,Data_echipe!A:U,21,0)</f>
        <v>UltraSYR</v>
      </c>
      <c r="X46" s="154"/>
    </row>
    <row r="47" spans="1:24" x14ac:dyDescent="0.25">
      <c r="A47" s="64" t="s">
        <v>154</v>
      </c>
      <c r="B47" s="77" t="str">
        <f>VLOOKUP(A47,Participanti!A:B,2,0)</f>
        <v>M</v>
      </c>
      <c r="C47" s="137">
        <v>2</v>
      </c>
      <c r="D47" s="66">
        <v>10.01</v>
      </c>
      <c r="E47" s="67">
        <v>3.3587962962962965E-2</v>
      </c>
      <c r="F47" s="67">
        <v>3.8842592592592588E-2</v>
      </c>
      <c r="G47" s="100">
        <f t="shared" si="20"/>
        <v>3.6215277777777777E-2</v>
      </c>
      <c r="H47" s="68">
        <v>17</v>
      </c>
      <c r="I47" s="14">
        <f t="shared" si="21"/>
        <v>3.617909867909868E-3</v>
      </c>
      <c r="J47" s="92">
        <f t="shared" si="22"/>
        <v>2.3833333333333333</v>
      </c>
      <c r="K47" s="92">
        <f>IF(J47=0,0,IF(B47="F",VLOOKUP(I47,Barem!$G$2:$H$11,2,1),VLOOKUP(I47,Barem!$G$12:$H$21,2,1)))</f>
        <v>2.5</v>
      </c>
      <c r="L47" s="65" t="str">
        <f>VLOOKUP(C47,Barem!L:Q,6,0)</f>
        <v>V</v>
      </c>
      <c r="M47" s="11">
        <f t="shared" si="23"/>
        <v>0.25</v>
      </c>
      <c r="N47" s="11">
        <f t="shared" si="24"/>
        <v>0.75</v>
      </c>
      <c r="O47" s="49">
        <f t="shared" si="25"/>
        <v>0</v>
      </c>
      <c r="P47" s="27">
        <f>IF(D47&gt;21,VLOOKUP(D47,Barem!$S$1:$T$141,2,1),0)</f>
        <v>0</v>
      </c>
      <c r="Q47" s="27">
        <f>IF(D47&lt;1.609,0,IF(B47="F",VLOOKUP(I47,Barem!$W$2:$Y$13,2,1),VLOOKUP(I47,Barem!$W$14:$Y$25,2,1)))</f>
        <v>0</v>
      </c>
      <c r="R47" s="27">
        <f>VLOOKUP(A47,Participanti!A:C,3,0)</f>
        <v>0</v>
      </c>
      <c r="S47" s="21">
        <f t="shared" si="26"/>
        <v>2.4708333333333332</v>
      </c>
      <c r="T47" s="82">
        <v>44453</v>
      </c>
      <c r="U47" s="143">
        <f>COUNTIFS(A:A,A47,C:C,C47)</f>
        <v>1</v>
      </c>
      <c r="V47" s="77" t="str">
        <f>VLOOKUP(A47,Data_echipe!A:U,21,0)</f>
        <v>All Stars</v>
      </c>
      <c r="X47" s="154">
        <v>1</v>
      </c>
    </row>
    <row r="48" spans="1:24" x14ac:dyDescent="0.25">
      <c r="A48" s="64" t="s">
        <v>152</v>
      </c>
      <c r="B48" s="77" t="str">
        <f>VLOOKUP(A48,Participanti!A:B,2,0)</f>
        <v>F</v>
      </c>
      <c r="C48" s="137">
        <v>2</v>
      </c>
      <c r="D48" s="66">
        <v>20</v>
      </c>
      <c r="E48" s="67">
        <v>6.9027777777777785E-2</v>
      </c>
      <c r="F48" s="67">
        <v>6.9027777777777785E-2</v>
      </c>
      <c r="G48" s="100">
        <f t="shared" si="20"/>
        <v>6.9027777777777785E-2</v>
      </c>
      <c r="H48" s="68">
        <v>61</v>
      </c>
      <c r="I48" s="14">
        <f t="shared" si="21"/>
        <v>3.4513888888888893E-3</v>
      </c>
      <c r="J48" s="92">
        <f t="shared" si="22"/>
        <v>5</v>
      </c>
      <c r="K48" s="92">
        <f>IF(J48=0,0,IF(B48="F",VLOOKUP(I48,Barem!$G$2:$H$11,2,1),VLOOKUP(I48,Barem!$G$12:$H$21,2,1)))</f>
        <v>4</v>
      </c>
      <c r="L48" s="110" t="s">
        <v>109</v>
      </c>
      <c r="M48" s="11">
        <f t="shared" si="23"/>
        <v>0.75</v>
      </c>
      <c r="N48" s="11">
        <f t="shared" si="24"/>
        <v>0.25</v>
      </c>
      <c r="O48" s="49">
        <f t="shared" si="25"/>
        <v>4.0666666666666663E-2</v>
      </c>
      <c r="P48" s="27">
        <f>IF(D48&gt;21,VLOOKUP(D48,Barem!$S$1:$T$141,2,1),0)</f>
        <v>0</v>
      </c>
      <c r="Q48" s="27">
        <f>IF(D48&lt;1.609,0,IF(B48="F",VLOOKUP(I48,Barem!$W$2:$Y$13,2,1),VLOOKUP(I48,Barem!$W$14:$Y$25,2,1)))</f>
        <v>0</v>
      </c>
      <c r="R48" s="27">
        <f>VLOOKUP(A48,Participanti!A:C,3,0)</f>
        <v>0</v>
      </c>
      <c r="S48" s="21">
        <f t="shared" si="26"/>
        <v>4.7906666666666666</v>
      </c>
      <c r="T48" s="82">
        <v>44458</v>
      </c>
      <c r="U48" s="143">
        <f>COUNTIFS(A:A,A48,C:C,C48)</f>
        <v>1</v>
      </c>
      <c r="V48" s="77" t="str">
        <f>VLOOKUP(A48,Data_echipe!A:U,21,0)</f>
        <v>All Stars</v>
      </c>
      <c r="X48" s="154">
        <v>1</v>
      </c>
    </row>
    <row r="49" spans="1:24" x14ac:dyDescent="0.25">
      <c r="A49" s="64" t="s">
        <v>117</v>
      </c>
      <c r="B49" s="77" t="str">
        <f>VLOOKUP(A49,Participanti!A:B,2,0)</f>
        <v>M</v>
      </c>
      <c r="C49" s="137">
        <v>2</v>
      </c>
      <c r="D49" s="66"/>
      <c r="E49" s="67"/>
      <c r="F49" s="67"/>
      <c r="G49" s="100"/>
      <c r="H49" s="68"/>
      <c r="I49" s="14"/>
      <c r="J49" s="92"/>
      <c r="K49" s="92"/>
      <c r="L49" s="65"/>
      <c r="M49" s="11"/>
      <c r="N49" s="11"/>
      <c r="O49" s="49"/>
      <c r="S49" s="128">
        <v>1.5</v>
      </c>
      <c r="T49" s="82"/>
      <c r="U49" s="143">
        <f>COUNTIFS(A:A,A49,C:C,C49)</f>
        <v>1</v>
      </c>
      <c r="V49" s="77" t="str">
        <f>VLOOKUP(A49,Data_echipe!A:U,21,0)</f>
        <v>UltraSYR</v>
      </c>
      <c r="X49" s="154"/>
    </row>
    <row r="50" spans="1:24" x14ac:dyDescent="0.25">
      <c r="A50" s="64" t="s">
        <v>239</v>
      </c>
      <c r="B50" s="77" t="str">
        <f>VLOOKUP(A50,Participanti!A:B,2,0)</f>
        <v>M</v>
      </c>
      <c r="C50" s="137">
        <v>2</v>
      </c>
      <c r="D50" s="66">
        <v>4.91</v>
      </c>
      <c r="E50" s="67">
        <v>1.5821759259259261E-2</v>
      </c>
      <c r="F50" s="67">
        <v>1.5821759259259261E-2</v>
      </c>
      <c r="G50" s="100">
        <f t="shared" si="20"/>
        <v>1.5821759259259261E-2</v>
      </c>
      <c r="H50" s="68">
        <v>9</v>
      </c>
      <c r="I50" s="14">
        <f t="shared" si="21"/>
        <v>3.2223542279550431E-3</v>
      </c>
      <c r="J50" s="92">
        <f t="shared" si="22"/>
        <v>1.1690476190476191</v>
      </c>
      <c r="K50" s="92">
        <f>IF(J50=0,0,IF(B50="F",VLOOKUP(I50,Barem!$G$2:$H$11,2,1),VLOOKUP(I50,Barem!$G$12:$H$21,2,1)))</f>
        <v>3.5</v>
      </c>
      <c r="L50" s="65" t="str">
        <f>VLOOKUP(C50,Barem!L:Q,6,0)</f>
        <v>V</v>
      </c>
      <c r="M50" s="11">
        <f t="shared" si="23"/>
        <v>0.25</v>
      </c>
      <c r="N50" s="11">
        <f t="shared" si="24"/>
        <v>0.75</v>
      </c>
      <c r="O50" s="49">
        <f t="shared" si="25"/>
        <v>0</v>
      </c>
      <c r="P50" s="27">
        <f>IF(D50&gt;21,VLOOKUP(D50,Barem!$S$1:$T$141,2,1),0)</f>
        <v>0</v>
      </c>
      <c r="Q50" s="27">
        <f>IF(D50&lt;1.609,0,IF(B50="F",VLOOKUP(I50,Barem!$W$2:$Y$13,2,1),VLOOKUP(I50,Barem!$W$14:$Y$25,2,1)))</f>
        <v>0</v>
      </c>
      <c r="R50" s="27">
        <f>VLOOKUP(A50,Participanti!A:C,3,0)</f>
        <v>0</v>
      </c>
      <c r="S50" s="21">
        <f t="shared" si="26"/>
        <v>2.9172619047619048</v>
      </c>
      <c r="T50" s="82">
        <v>44458</v>
      </c>
      <c r="U50" s="143">
        <f>COUNTIFS(A:A,A50,C:C,C50)</f>
        <v>1</v>
      </c>
      <c r="V50" s="77" t="str">
        <f>VLOOKUP(A50,Data_echipe!A:U,21,0)</f>
        <v>All Stars</v>
      </c>
      <c r="X50" s="154">
        <v>1</v>
      </c>
    </row>
    <row r="51" spans="1:24" x14ac:dyDescent="0.25">
      <c r="A51" s="64" t="s">
        <v>60</v>
      </c>
      <c r="B51" s="77" t="str">
        <f>VLOOKUP(A51,Participanti!A:B,2,0)</f>
        <v>M</v>
      </c>
      <c r="C51" s="137">
        <v>2</v>
      </c>
      <c r="D51" s="66">
        <v>10.029999999999999</v>
      </c>
      <c r="E51" s="67">
        <v>4.7094907407407405E-2</v>
      </c>
      <c r="F51" s="67">
        <v>4.7453703703703699E-2</v>
      </c>
      <c r="G51" s="100">
        <f>AVERAGE(E51:F51)</f>
        <v>4.7274305555555549E-2</v>
      </c>
      <c r="H51" s="68">
        <v>0</v>
      </c>
      <c r="I51" s="14">
        <f>G51/D51</f>
        <v>4.7132906835050401E-3</v>
      </c>
      <c r="J51" s="92">
        <f>IF(B51="F",IF(D51&lt;2.5,0,IF(D51&gt;19.99,5,D51/4)),IF(D51&lt;3,0, IF(D51&gt;20.99,5,D51/4.2)))</f>
        <v>2.388095238095238</v>
      </c>
      <c r="K51" s="92">
        <f>IF(J51=0,0,IF(B51="F",VLOOKUP(I51,Barem!$G$2:$H$11,2,1),VLOOKUP(I51,Barem!$G$12:$H$21,2,1)))</f>
        <v>1</v>
      </c>
      <c r="L51" s="65" t="str">
        <f>VLOOKUP(C51,Barem!L:Q,6,0)</f>
        <v>V</v>
      </c>
      <c r="M51" s="11">
        <f>IF(OR(L51="P1",L51="P2",L51="P3"),"",IF(C51=15,0.5,IF(L51="D",0.75,0.25)))</f>
        <v>0.25</v>
      </c>
      <c r="N51" s="11">
        <f>IF(OR(L51="P1",L51="P2",L51="P3"),"",IF(C51=15,0.5,IF(L51="V",0.75,0.25)))</f>
        <v>0.75</v>
      </c>
      <c r="O51" s="49">
        <f>IF(H51&lt;-49,H51/1500,IF(H51&gt;49,H51/1500,0))</f>
        <v>0</v>
      </c>
      <c r="P51" s="27">
        <f>IF(D51&gt;21,VLOOKUP(D51,Barem!$S$1:$T$141,2,1),0)</f>
        <v>0</v>
      </c>
      <c r="Q51" s="27">
        <f>IF(D51&lt;1.609,0,IF(B51="F",VLOOKUP(I51,Barem!$W$2:$Y$13,2,1),VLOOKUP(I51,Barem!$W$14:$Y$25,2,1)))</f>
        <v>0</v>
      </c>
      <c r="R51" s="27">
        <f>VLOOKUP(A51,Participanti!A:C,3,0)</f>
        <v>0</v>
      </c>
      <c r="S51" s="21">
        <f>J51*M51+K51*N51+O51+P51+Q51+R51</f>
        <v>1.3470238095238094</v>
      </c>
      <c r="T51" s="82">
        <v>44452</v>
      </c>
      <c r="U51" s="143">
        <f>COUNTIFS(A:A,A51,C:C,C51)</f>
        <v>1</v>
      </c>
      <c r="V51" s="77" t="e">
        <f>VLOOKUP(A51,Data_echipe!A:U,21,0)</f>
        <v>#N/A</v>
      </c>
      <c r="X51" s="154">
        <v>1</v>
      </c>
    </row>
    <row r="52" spans="1:24" x14ac:dyDescent="0.25">
      <c r="A52" s="64" t="s">
        <v>127</v>
      </c>
      <c r="B52" s="77" t="str">
        <f>VLOOKUP(A52,Participanti!A:B,2,0)</f>
        <v>M</v>
      </c>
      <c r="C52" s="137">
        <v>2</v>
      </c>
      <c r="D52" s="66">
        <v>10.11</v>
      </c>
      <c r="E52" s="67">
        <v>2.7754629629629629E-2</v>
      </c>
      <c r="F52" s="67">
        <v>2.7754629629629629E-2</v>
      </c>
      <c r="G52" s="100">
        <f>AVERAGE(E52:F52)</f>
        <v>2.7754629629629629E-2</v>
      </c>
      <c r="H52" s="68">
        <v>9</v>
      </c>
      <c r="I52" s="14">
        <f>G52/D52</f>
        <v>2.7452650474411107E-3</v>
      </c>
      <c r="J52" s="92">
        <f>IF(B52="F",IF(D52&lt;2.5,0,IF(D52&gt;19.99,5,D52/4)),IF(D52&lt;3,0, IF(D52&gt;20.99,5,D52/4.2)))</f>
        <v>2.407142857142857</v>
      </c>
      <c r="K52" s="92">
        <f>IF(J52=0,0,IF(B52="F",VLOOKUP(I52,Barem!$G$2:$H$11,2,1),VLOOKUP(I52,Barem!$G$12:$H$21,2,1)))</f>
        <v>5</v>
      </c>
      <c r="L52" s="65" t="str">
        <f>VLOOKUP(C52,Barem!L:Q,6,0)</f>
        <v>V</v>
      </c>
      <c r="M52" s="11">
        <f>IF(OR(L52="P1",L52="P2",L52="P3"),"",IF(C52=15,0.5,IF(L52="D",0.75,0.25)))</f>
        <v>0.25</v>
      </c>
      <c r="N52" s="11">
        <f>IF(OR(L52="P1",L52="P2",L52="P3"),"",IF(C52=15,0.5,IF(L52="V",0.75,0.25)))</f>
        <v>0.75</v>
      </c>
      <c r="O52" s="49">
        <f>IF(H52&lt;-49,H52/1500,IF(H52&gt;49,H52/1500,0))</f>
        <v>0</v>
      </c>
      <c r="P52" s="27">
        <f>IF(D52&gt;21,VLOOKUP(D52,Barem!$S$1:$T$141,2,1),0)</f>
        <v>0</v>
      </c>
      <c r="Q52" s="27">
        <f>IF(D52&lt;1.609,0,IF(B52="F",VLOOKUP(I52,Barem!$W$2:$Y$13,2,1),VLOOKUP(I52,Barem!$W$14:$Y$25,2,1)))</f>
        <v>0.15000000000000002</v>
      </c>
      <c r="R52" s="27">
        <f>VLOOKUP(A52,Participanti!A:C,3,0)</f>
        <v>0</v>
      </c>
      <c r="S52" s="21">
        <f>J52*M52+K52*N52+O52+P52+Q52+R52</f>
        <v>4.5017857142857149</v>
      </c>
      <c r="T52" s="82">
        <v>44458</v>
      </c>
      <c r="U52" s="143">
        <f>COUNTIFS(A:A,A52,C:C,C52)</f>
        <v>1</v>
      </c>
      <c r="V52" s="77" t="e">
        <f>VLOOKUP(A52,Data_echipe!A:U,21,0)</f>
        <v>#N/A</v>
      </c>
      <c r="X52" s="154">
        <v>1</v>
      </c>
    </row>
    <row r="53" spans="1:24" x14ac:dyDescent="0.25">
      <c r="A53" s="64" t="s">
        <v>240</v>
      </c>
      <c r="B53" s="77" t="str">
        <f>VLOOKUP(A53,Participanti!A:B,2,0)</f>
        <v>M</v>
      </c>
      <c r="C53" s="137">
        <v>2</v>
      </c>
      <c r="D53" s="66">
        <v>10</v>
      </c>
      <c r="E53" s="67">
        <v>3.0462962962962966E-2</v>
      </c>
      <c r="F53" s="67">
        <v>3.050925925925926E-2</v>
      </c>
      <c r="G53" s="100">
        <f t="shared" si="20"/>
        <v>3.0486111111111113E-2</v>
      </c>
      <c r="H53" s="68">
        <v>15</v>
      </c>
      <c r="I53" s="14">
        <f t="shared" si="21"/>
        <v>3.0486111111111113E-3</v>
      </c>
      <c r="J53" s="92">
        <f t="shared" si="22"/>
        <v>2.3809523809523809</v>
      </c>
      <c r="K53" s="92">
        <f>IF(J53=0,0,IF(B53="F",VLOOKUP(I53,Barem!$G$2:$H$11,2,1),VLOOKUP(I53,Barem!$G$12:$H$21,2,1)))</f>
        <v>4</v>
      </c>
      <c r="L53" s="65" t="str">
        <f>VLOOKUP(C53,Barem!L:Q,6,0)</f>
        <v>V</v>
      </c>
      <c r="M53" s="11">
        <f t="shared" si="23"/>
        <v>0.25</v>
      </c>
      <c r="N53" s="11">
        <f t="shared" si="24"/>
        <v>0.75</v>
      </c>
      <c r="O53" s="49">
        <f t="shared" si="25"/>
        <v>0</v>
      </c>
      <c r="P53" s="27">
        <f>IF(D53&gt;21,VLOOKUP(D53,Barem!$S$1:$T$141,2,1),0)</f>
        <v>0</v>
      </c>
      <c r="Q53" s="27">
        <f>IF(D53&lt;1.609,0,IF(B53="F",VLOOKUP(I53,Barem!$W$2:$Y$13,2,1),VLOOKUP(I53,Barem!$W$14:$Y$25,2,1)))</f>
        <v>0</v>
      </c>
      <c r="R53" s="27">
        <f>VLOOKUP(A53,Participanti!A:C,3,0)</f>
        <v>0</v>
      </c>
      <c r="S53" s="21">
        <f t="shared" si="26"/>
        <v>3.5952380952380953</v>
      </c>
      <c r="T53" s="82">
        <v>44453</v>
      </c>
      <c r="U53" s="143">
        <f>COUNTIFS(A:A,A53,C:C,C53)</f>
        <v>1</v>
      </c>
      <c r="V53" s="77" t="str">
        <f>VLOOKUP(A53,Data_echipe!A:U,21,0)</f>
        <v>All Stars</v>
      </c>
      <c r="X53" s="154">
        <v>1</v>
      </c>
    </row>
    <row r="54" spans="1:24" x14ac:dyDescent="0.25">
      <c r="A54" s="64" t="s">
        <v>202</v>
      </c>
      <c r="B54" s="77" t="str">
        <f>VLOOKUP(A54,Participanti!A:B,2,0)</f>
        <v>F</v>
      </c>
      <c r="C54" s="137">
        <v>2</v>
      </c>
      <c r="D54" s="66">
        <v>21.99</v>
      </c>
      <c r="E54" s="67">
        <v>0.10649305555555555</v>
      </c>
      <c r="F54" s="67">
        <v>0.12424768518518518</v>
      </c>
      <c r="G54" s="100">
        <f>AVERAGE(E54:F54)</f>
        <v>0.11537037037037037</v>
      </c>
      <c r="H54" s="68">
        <v>11</v>
      </c>
      <c r="I54" s="14">
        <f>G54/D54</f>
        <v>5.2464925134320323E-3</v>
      </c>
      <c r="J54" s="92">
        <f>IF(B54="F",IF(D54&lt;2.5,0,IF(D54&gt;19.99,5,D54/4)),IF(D54&lt;3,0, IF(D54&gt;20.99,5,D54/4.2)))</f>
        <v>5</v>
      </c>
      <c r="K54" s="92">
        <f>IF(J54=0,0,IF(B54="F",VLOOKUP(I54,Barem!$G$2:$H$11,2,1),VLOOKUP(I54,Barem!$G$12:$H$21,2,1)))</f>
        <v>1</v>
      </c>
      <c r="L54" s="110" t="s">
        <v>109</v>
      </c>
      <c r="M54" s="11">
        <f>IF(OR(L54="P1",L54="P2",L54="P3"),"",IF(C54=15,0.5,IF(L54="D",0.75,0.25)))</f>
        <v>0.75</v>
      </c>
      <c r="N54" s="11">
        <f>IF(OR(L54="P1",L54="P2",L54="P3"),"",IF(C54=15,0.5,IF(L54="V",0.75,0.25)))</f>
        <v>0.25</v>
      </c>
      <c r="O54" s="49">
        <f>IF(H54&lt;-49,H54/1500,IF(H54&gt;49,H54/1500,0))</f>
        <v>0</v>
      </c>
      <c r="P54" s="27">
        <f>IF(D54&gt;21,VLOOKUP(D54,Barem!$S$1:$T$141,2,1),0)</f>
        <v>0</v>
      </c>
      <c r="Q54" s="27">
        <f>IF(D54&lt;1.609,0,IF(B54="F",VLOOKUP(I54,Barem!$W$2:$Y$13,2,1),VLOOKUP(I54,Barem!$W$14:$Y$25,2,1)))</f>
        <v>0</v>
      </c>
      <c r="R54" s="27">
        <f>VLOOKUP(A54,Participanti!A:C,3,0)</f>
        <v>0</v>
      </c>
      <c r="S54" s="21">
        <f>J54*M54+K54*N54+O54+P54+Q54+R54</f>
        <v>4</v>
      </c>
      <c r="T54" s="82">
        <v>44458</v>
      </c>
      <c r="U54" s="143">
        <f>COUNTIFS(A:A,A54,C:C,C54)</f>
        <v>1</v>
      </c>
      <c r="V54" s="77" t="e">
        <f>VLOOKUP(A54,Data_echipe!A:U,21,0)</f>
        <v>#N/A</v>
      </c>
      <c r="X54" s="154">
        <v>1</v>
      </c>
    </row>
    <row r="55" spans="1:24" x14ac:dyDescent="0.25">
      <c r="A55" s="64" t="s">
        <v>241</v>
      </c>
      <c r="B55" s="77" t="str">
        <f>VLOOKUP(A55,Participanti!A:B,2,0)</f>
        <v>M</v>
      </c>
      <c r="C55" s="137">
        <v>2</v>
      </c>
      <c r="D55" s="66">
        <v>14.01</v>
      </c>
      <c r="E55" s="67">
        <v>4.2453703703703709E-2</v>
      </c>
      <c r="F55" s="67">
        <v>4.3946759259259255E-2</v>
      </c>
      <c r="G55" s="100">
        <f t="shared" si="20"/>
        <v>4.3200231481481485E-2</v>
      </c>
      <c r="H55" s="68">
        <v>13</v>
      </c>
      <c r="I55" s="14">
        <f t="shared" si="21"/>
        <v>3.0835282998916123E-3</v>
      </c>
      <c r="J55" s="92">
        <f t="shared" si="22"/>
        <v>3.3357142857142854</v>
      </c>
      <c r="K55" s="92">
        <f>IF(J55=0,0,IF(B55="F",VLOOKUP(I55,Barem!$G$2:$H$11,2,1),VLOOKUP(I55,Barem!$G$12:$H$21,2,1)))</f>
        <v>4</v>
      </c>
      <c r="L55" s="65" t="str">
        <f>VLOOKUP(C55,Barem!L:Q,6,0)</f>
        <v>V</v>
      </c>
      <c r="M55" s="11">
        <f t="shared" si="23"/>
        <v>0.25</v>
      </c>
      <c r="N55" s="11">
        <f t="shared" si="24"/>
        <v>0.75</v>
      </c>
      <c r="O55" s="49">
        <f t="shared" si="25"/>
        <v>0</v>
      </c>
      <c r="P55" s="27">
        <f>IF(D55&gt;21,VLOOKUP(D55,Barem!$S$1:$T$141,2,1),0)</f>
        <v>0</v>
      </c>
      <c r="Q55" s="27">
        <f>IF(D55&lt;1.609,0,IF(B55="F",VLOOKUP(I55,Barem!$W$2:$Y$13,2,1),VLOOKUP(I55,Barem!$W$14:$Y$25,2,1)))</f>
        <v>0</v>
      </c>
      <c r="R55" s="27">
        <f>VLOOKUP(A55,Participanti!A:C,3,0)</f>
        <v>0</v>
      </c>
      <c r="S55" s="21">
        <f t="shared" si="26"/>
        <v>3.8339285714285714</v>
      </c>
      <c r="T55" s="82">
        <v>44455</v>
      </c>
      <c r="U55" s="143">
        <f>COUNTIFS(A:A,A55,C:C,C55)</f>
        <v>1</v>
      </c>
      <c r="V55" s="77" t="e">
        <f>VLOOKUP(A55,Data_echipe!A:U,21,0)</f>
        <v>#N/A</v>
      </c>
      <c r="X55" s="154">
        <v>1</v>
      </c>
    </row>
    <row r="56" spans="1:24" x14ac:dyDescent="0.25">
      <c r="A56" s="64" t="s">
        <v>242</v>
      </c>
      <c r="B56" s="77" t="str">
        <f>VLOOKUP(A56,Participanti!A:B,2,0)</f>
        <v>M</v>
      </c>
      <c r="C56" s="137">
        <v>2</v>
      </c>
      <c r="D56" s="66">
        <v>40</v>
      </c>
      <c r="E56" s="67">
        <v>0.12111111111111111</v>
      </c>
      <c r="F56" s="67">
        <v>0.12138888888888888</v>
      </c>
      <c r="G56" s="100">
        <f t="shared" si="20"/>
        <v>0.12125</v>
      </c>
      <c r="H56" s="68">
        <v>456</v>
      </c>
      <c r="I56" s="14">
        <f t="shared" si="21"/>
        <v>3.0312500000000001E-3</v>
      </c>
      <c r="J56" s="92">
        <f t="shared" si="22"/>
        <v>5</v>
      </c>
      <c r="K56" s="92">
        <f>IF(J56=0,0,IF(B56="F",VLOOKUP(I56,Barem!$G$2:$H$11,2,1),VLOOKUP(I56,Barem!$G$12:$H$21,2,1)))</f>
        <v>4</v>
      </c>
      <c r="L56" s="110" t="s">
        <v>109</v>
      </c>
      <c r="M56" s="11">
        <f t="shared" si="23"/>
        <v>0.75</v>
      </c>
      <c r="N56" s="11">
        <f t="shared" si="24"/>
        <v>0.25</v>
      </c>
      <c r="O56" s="49">
        <f t="shared" si="25"/>
        <v>0.30399999999999999</v>
      </c>
      <c r="P56" s="27">
        <f>IF(D56&gt;21,VLOOKUP(D56,Barem!$S$1:$T$141,2,1),0)</f>
        <v>0.9</v>
      </c>
      <c r="Q56" s="27">
        <f>IF(D56&lt;1.609,0,IF(B56="F",VLOOKUP(I56,Barem!$W$2:$Y$13,2,1),VLOOKUP(I56,Barem!$W$14:$Y$25,2,1)))</f>
        <v>0</v>
      </c>
      <c r="R56" s="27">
        <f>VLOOKUP(A56,Participanti!A:C,3,0)</f>
        <v>0</v>
      </c>
      <c r="S56" s="21">
        <f t="shared" si="26"/>
        <v>5.9540000000000006</v>
      </c>
      <c r="T56" s="82">
        <v>44453</v>
      </c>
      <c r="U56" s="143">
        <f>COUNTIFS(A:A,A56,C:C,C56)</f>
        <v>1</v>
      </c>
      <c r="V56" s="77" t="str">
        <f>VLOOKUP(A56,Data_echipe!A:U,21,0)</f>
        <v>All Stars</v>
      </c>
      <c r="X56" s="154">
        <v>1</v>
      </c>
    </row>
    <row r="57" spans="1:24" x14ac:dyDescent="0.25">
      <c r="A57" s="64" t="s">
        <v>203</v>
      </c>
      <c r="B57" s="77" t="str">
        <f>VLOOKUP(A57,Participanti!A:B,2,0)</f>
        <v>M</v>
      </c>
      <c r="C57" s="137">
        <v>2</v>
      </c>
      <c r="D57" s="66">
        <v>28.09</v>
      </c>
      <c r="E57" s="67">
        <v>8.5902777777777772E-2</v>
      </c>
      <c r="F57" s="67">
        <v>8.59375E-2</v>
      </c>
      <c r="G57" s="100">
        <f t="shared" si="20"/>
        <v>8.5920138888888886E-2</v>
      </c>
      <c r="H57" s="68">
        <v>158</v>
      </c>
      <c r="I57" s="14">
        <f t="shared" si="21"/>
        <v>3.0587447094656064E-3</v>
      </c>
      <c r="J57" s="92">
        <f t="shared" si="22"/>
        <v>5</v>
      </c>
      <c r="K57" s="92">
        <f>IF(J57=0,0,IF(B57="F",VLOOKUP(I57,Barem!$G$2:$H$11,2,1),VLOOKUP(I57,Barem!$G$12:$H$21,2,1)))</f>
        <v>4</v>
      </c>
      <c r="L57" s="110" t="s">
        <v>109</v>
      </c>
      <c r="M57" s="11">
        <f t="shared" si="23"/>
        <v>0.75</v>
      </c>
      <c r="N57" s="11">
        <f t="shared" si="24"/>
        <v>0.25</v>
      </c>
      <c r="O57" s="49">
        <f t="shared" si="25"/>
        <v>0.10533333333333333</v>
      </c>
      <c r="P57" s="27">
        <f>IF(D57&gt;21,VLOOKUP(D57,Barem!$S$1:$T$141,2,1),0)</f>
        <v>0.3</v>
      </c>
      <c r="Q57" s="27">
        <f>IF(D57&lt;1.609,0,IF(B57="F",VLOOKUP(I57,Barem!$W$2:$Y$13,2,1),VLOOKUP(I57,Barem!$W$14:$Y$25,2,1)))</f>
        <v>0</v>
      </c>
      <c r="R57" s="27">
        <f>VLOOKUP(A57,Participanti!A:C,3,0)</f>
        <v>0</v>
      </c>
      <c r="S57" s="21">
        <f t="shared" si="26"/>
        <v>5.1553333333333331</v>
      </c>
      <c r="T57" s="82">
        <v>44458</v>
      </c>
      <c r="U57" s="143">
        <f>COUNTIFS(A:A,A57,C:C,C57)</f>
        <v>1</v>
      </c>
      <c r="V57" s="77" t="str">
        <f>VLOOKUP(A57,Data_echipe!A:U,21,0)</f>
        <v>All Stars</v>
      </c>
      <c r="X57" s="154">
        <v>1</v>
      </c>
    </row>
    <row r="58" spans="1:24" x14ac:dyDescent="0.25">
      <c r="A58" s="64" t="s">
        <v>244</v>
      </c>
      <c r="B58" s="77" t="str">
        <f>VLOOKUP(A58,Participanti!A:B,2,0)</f>
        <v>M</v>
      </c>
      <c r="C58" s="137">
        <v>2</v>
      </c>
      <c r="D58" s="66">
        <v>17.059999999999999</v>
      </c>
      <c r="E58" s="67">
        <v>5.5034722222222221E-2</v>
      </c>
      <c r="F58" s="67">
        <v>7.1273148148148155E-2</v>
      </c>
      <c r="G58" s="100">
        <f t="shared" si="20"/>
        <v>6.3153935185185195E-2</v>
      </c>
      <c r="H58" s="68">
        <v>48</v>
      </c>
      <c r="I58" s="14">
        <f t="shared" si="21"/>
        <v>3.7018719334809612E-3</v>
      </c>
      <c r="J58" s="92">
        <f t="shared" si="22"/>
        <v>4.0619047619047617</v>
      </c>
      <c r="K58" s="92">
        <f>IF(J58=0,0,IF(B58="F",VLOOKUP(I58,Barem!$G$2:$H$11,2,1),VLOOKUP(I58,Barem!$G$12:$H$21,2,1)))</f>
        <v>2</v>
      </c>
      <c r="L58" s="65" t="str">
        <f>VLOOKUP(C58,Barem!L:Q,6,0)</f>
        <v>V</v>
      </c>
      <c r="M58" s="11">
        <f t="shared" si="23"/>
        <v>0.25</v>
      </c>
      <c r="N58" s="11">
        <f t="shared" si="24"/>
        <v>0.75</v>
      </c>
      <c r="O58" s="49">
        <f t="shared" si="25"/>
        <v>0</v>
      </c>
      <c r="P58" s="27">
        <f>IF(D58&gt;21,VLOOKUP(D58,Barem!$S$1:$T$141,2,1),0)</f>
        <v>0</v>
      </c>
      <c r="Q58" s="27">
        <f>IF(D58&lt;1.609,0,IF(B58="F",VLOOKUP(I58,Barem!$W$2:$Y$13,2,1),VLOOKUP(I58,Barem!$W$14:$Y$25,2,1)))</f>
        <v>0</v>
      </c>
      <c r="R58" s="27">
        <f>VLOOKUP(A58,Participanti!A:C,3,0)</f>
        <v>0</v>
      </c>
      <c r="S58" s="21">
        <f t="shared" si="26"/>
        <v>2.5154761904761904</v>
      </c>
      <c r="T58" s="82">
        <v>44457</v>
      </c>
      <c r="U58" s="143">
        <f>COUNTIFS(A:A,A58,C:C,C58)</f>
        <v>1</v>
      </c>
      <c r="V58" s="77" t="str">
        <f>VLOOKUP(A58,Data_echipe!A:U,21,0)</f>
        <v>All Stars</v>
      </c>
      <c r="X58" s="154">
        <v>1</v>
      </c>
    </row>
    <row r="59" spans="1:24" x14ac:dyDescent="0.25">
      <c r="A59" s="64" t="s">
        <v>119</v>
      </c>
      <c r="B59" s="77" t="str">
        <f>VLOOKUP(A59,Participanti!A:B,2,0)</f>
        <v>M</v>
      </c>
      <c r="C59" s="137">
        <v>2</v>
      </c>
      <c r="D59" s="66">
        <v>10.07</v>
      </c>
      <c r="E59" s="67">
        <v>2.5787037037037039E-2</v>
      </c>
      <c r="F59" s="67">
        <v>2.5787037037037039E-2</v>
      </c>
      <c r="G59" s="100">
        <f t="shared" si="20"/>
        <v>2.5787037037037039E-2</v>
      </c>
      <c r="H59" s="68">
        <v>9</v>
      </c>
      <c r="I59" s="14">
        <f t="shared" si="21"/>
        <v>2.5607782559123175E-3</v>
      </c>
      <c r="J59" s="92">
        <f t="shared" si="22"/>
        <v>2.3976190476190475</v>
      </c>
      <c r="K59" s="92">
        <f>IF(J59=0,0,IF(B59="F",VLOOKUP(I59,Barem!$G$2:$H$11,2,1),VLOOKUP(I59,Barem!$G$12:$H$21,2,1)))</f>
        <v>5</v>
      </c>
      <c r="L59" s="65" t="str">
        <f>VLOOKUP(C59,Barem!L:Q,6,0)</f>
        <v>V</v>
      </c>
      <c r="M59" s="11">
        <f t="shared" si="23"/>
        <v>0.25</v>
      </c>
      <c r="N59" s="11">
        <f t="shared" si="24"/>
        <v>0.75</v>
      </c>
      <c r="O59" s="49">
        <f t="shared" si="25"/>
        <v>0</v>
      </c>
      <c r="P59" s="27">
        <f>IF(D59&gt;21,VLOOKUP(D59,Barem!$S$1:$T$141,2,1),0)</f>
        <v>0</v>
      </c>
      <c r="Q59" s="27">
        <f>IF(D59&lt;1.609,0,IF(B59="F",VLOOKUP(I59,Barem!$W$2:$Y$13,2,1),VLOOKUP(I59,Barem!$W$14:$Y$25,2,1)))</f>
        <v>1.4999999999999998</v>
      </c>
      <c r="R59" s="27">
        <f>VLOOKUP(A59,Participanti!A:C,3,0)</f>
        <v>0</v>
      </c>
      <c r="S59" s="21">
        <f t="shared" si="26"/>
        <v>5.8494047619047622</v>
      </c>
      <c r="T59" s="82">
        <v>44458</v>
      </c>
      <c r="U59" s="143">
        <f>COUNTIFS(A:A,A59,C:C,C59)</f>
        <v>1</v>
      </c>
      <c r="V59" s="77" t="e">
        <f>VLOOKUP(A59,Data_echipe!A:U,21,0)</f>
        <v>#N/A</v>
      </c>
      <c r="X59" s="154">
        <v>1</v>
      </c>
    </row>
    <row r="60" spans="1:24" x14ac:dyDescent="0.25">
      <c r="A60" s="64" t="s">
        <v>7</v>
      </c>
      <c r="B60" s="77" t="str">
        <f>VLOOKUP(A60,Participanti!A:B,2,0)</f>
        <v>M</v>
      </c>
      <c r="C60" s="137">
        <v>2</v>
      </c>
      <c r="D60" s="66">
        <v>12</v>
      </c>
      <c r="E60" s="67">
        <v>4.7349537037037037E-2</v>
      </c>
      <c r="F60" s="67">
        <v>4.7349537037037037E-2</v>
      </c>
      <c r="G60" s="100">
        <f t="shared" si="20"/>
        <v>4.7349537037037037E-2</v>
      </c>
      <c r="H60" s="68">
        <v>15</v>
      </c>
      <c r="I60" s="14">
        <f t="shared" si="21"/>
        <v>3.9457947530864195E-3</v>
      </c>
      <c r="J60" s="92">
        <f t="shared" si="22"/>
        <v>2.8571428571428572</v>
      </c>
      <c r="K60" s="92">
        <f>IF(J60=0,0,IF(B60="F",VLOOKUP(I60,Barem!$G$2:$H$11,2,1),VLOOKUP(I60,Barem!$G$12:$H$21,2,1)))</f>
        <v>1.5</v>
      </c>
      <c r="L60" s="110" t="s">
        <v>109</v>
      </c>
      <c r="M60" s="11">
        <f t="shared" si="23"/>
        <v>0.75</v>
      </c>
      <c r="N60" s="11">
        <f t="shared" si="24"/>
        <v>0.25</v>
      </c>
      <c r="O60" s="49">
        <f t="shared" si="25"/>
        <v>0</v>
      </c>
      <c r="P60" s="27">
        <f>IF(D60&gt;21,VLOOKUP(D60,Barem!$S$1:$T$141,2,1),0)</f>
        <v>0</v>
      </c>
      <c r="Q60" s="27">
        <f>IF(D60&lt;1.609,0,IF(B60="F",VLOOKUP(I60,Barem!$W$2:$Y$13,2,1),VLOOKUP(I60,Barem!$W$14:$Y$25,2,1)))</f>
        <v>0</v>
      </c>
      <c r="R60" s="27">
        <f>VLOOKUP(A60,Participanti!A:C,3,0)</f>
        <v>0</v>
      </c>
      <c r="S60" s="21">
        <f t="shared" si="26"/>
        <v>2.5178571428571428</v>
      </c>
      <c r="T60" s="82">
        <v>44458</v>
      </c>
      <c r="U60" s="143">
        <f>COUNTIFS(A:A,A60,C:C,C60)</f>
        <v>1</v>
      </c>
      <c r="V60" s="77" t="str">
        <f>VLOOKUP(A60,Data_echipe!A:U,21,0)</f>
        <v>All Stars</v>
      </c>
      <c r="X60" s="154">
        <v>1</v>
      </c>
    </row>
    <row r="61" spans="1:24" x14ac:dyDescent="0.25">
      <c r="A61" s="64" t="s">
        <v>118</v>
      </c>
      <c r="B61" s="77" t="str">
        <f>VLOOKUP(A61,Participanti!A:B,2,0)</f>
        <v>M</v>
      </c>
      <c r="C61" s="137">
        <v>2</v>
      </c>
      <c r="D61" s="66">
        <v>21.42</v>
      </c>
      <c r="E61" s="67">
        <v>6.6331018518518511E-2</v>
      </c>
      <c r="F61" s="67">
        <v>7.3541666666666672E-2</v>
      </c>
      <c r="G61" s="100">
        <f t="shared" si="20"/>
        <v>6.9936342592592599E-2</v>
      </c>
      <c r="H61" s="68">
        <v>44</v>
      </c>
      <c r="I61" s="112">
        <f t="shared" si="21"/>
        <v>3.265001988449701E-3</v>
      </c>
      <c r="J61" s="92">
        <f t="shared" si="22"/>
        <v>5</v>
      </c>
      <c r="K61" s="92">
        <f>IF(J61=0,0,IF(B61="F",VLOOKUP(I61,Barem!$G$2:$H$11,2,1),VLOOKUP(I61,Barem!$G$12:$H$21,2,1)))</f>
        <v>3.5</v>
      </c>
      <c r="L61" s="110" t="s">
        <v>109</v>
      </c>
      <c r="M61" s="11">
        <f t="shared" si="23"/>
        <v>0.75</v>
      </c>
      <c r="N61" s="11">
        <f t="shared" si="24"/>
        <v>0.25</v>
      </c>
      <c r="O61" s="49">
        <f t="shared" si="25"/>
        <v>0</v>
      </c>
      <c r="P61" s="27">
        <f>IF(D61&gt;21,VLOOKUP(D61,Barem!$S$1:$T$141,2,1),0)</f>
        <v>0</v>
      </c>
      <c r="Q61" s="27">
        <f>IF(D61&lt;1.609,0,IF(B61="F",VLOOKUP(I61,Barem!$W$2:$Y$13,2,1),VLOOKUP(I61,Barem!$W$14:$Y$25,2,1)))</f>
        <v>0</v>
      </c>
      <c r="R61" s="27">
        <f>VLOOKUP(A61,Participanti!A:C,3,0)</f>
        <v>0</v>
      </c>
      <c r="S61" s="21">
        <f t="shared" si="26"/>
        <v>4.625</v>
      </c>
      <c r="T61" s="82">
        <v>44458</v>
      </c>
      <c r="U61" s="143">
        <f>COUNTIFS(A:A,A61,C:C,C61)</f>
        <v>1</v>
      </c>
      <c r="V61" s="77" t="str">
        <f>VLOOKUP(A61,Data_echipe!A:U,21,0)</f>
        <v>UltraSYR</v>
      </c>
      <c r="X61" s="154">
        <v>1</v>
      </c>
    </row>
    <row r="62" spans="1:24" x14ac:dyDescent="0.25">
      <c r="A62" s="113" t="s">
        <v>211</v>
      </c>
      <c r="B62" s="114" t="str">
        <f>VLOOKUP(A62,Participanti!A:B,2,0)</f>
        <v>F</v>
      </c>
      <c r="C62" s="138">
        <v>2</v>
      </c>
      <c r="D62" s="116">
        <v>41.85</v>
      </c>
      <c r="E62" s="117">
        <v>0.20951388888888889</v>
      </c>
      <c r="F62" s="117">
        <v>0.21525462962962963</v>
      </c>
      <c r="G62" s="118">
        <f t="shared" si="20"/>
        <v>0.21238425925925924</v>
      </c>
      <c r="H62" s="119">
        <v>2344</v>
      </c>
      <c r="I62" s="120">
        <f t="shared" si="21"/>
        <v>5.0748926943670067E-3</v>
      </c>
      <c r="J62" s="121">
        <f t="shared" si="22"/>
        <v>5</v>
      </c>
      <c r="K62" s="121">
        <f>IF(J62=0,0,IF(B62="F",VLOOKUP(I62,Barem!$G$2:$H$11,2,1),VLOOKUP(I62,Barem!$G$12:$H$21,2,1)))</f>
        <v>1</v>
      </c>
      <c r="L62" s="130" t="s">
        <v>109</v>
      </c>
      <c r="M62" s="122">
        <f t="shared" si="23"/>
        <v>0.75</v>
      </c>
      <c r="N62" s="122">
        <f t="shared" si="24"/>
        <v>0.25</v>
      </c>
      <c r="O62" s="123">
        <f t="shared" si="25"/>
        <v>1.5626666666666666</v>
      </c>
      <c r="P62" s="124">
        <f>IF(D62&gt;21,VLOOKUP(D62,Barem!$S$1:$T$141,2,1),0)</f>
        <v>1</v>
      </c>
      <c r="Q62" s="124">
        <f>IF(D62&lt;1.609,0,IF(B62="F",VLOOKUP(I62,Barem!$W$2:$Y$13,2,1),VLOOKUP(I62,Barem!$W$14:$Y$25,2,1)))</f>
        <v>0</v>
      </c>
      <c r="R62" s="124">
        <f>VLOOKUP(A62,Participanti!A:C,3,0)</f>
        <v>0</v>
      </c>
      <c r="S62" s="125">
        <f t="shared" si="26"/>
        <v>6.5626666666666669</v>
      </c>
      <c r="T62" s="126">
        <v>44458</v>
      </c>
      <c r="U62" s="144">
        <f>COUNTIFS(A:A,A62,C:C,C62)</f>
        <v>1</v>
      </c>
      <c r="V62" s="114" t="str">
        <f>VLOOKUP(A62,Data_echipe!A:U,21,0)</f>
        <v>UltraSYR</v>
      </c>
      <c r="W62" s="127"/>
      <c r="X62" s="154">
        <v>1</v>
      </c>
    </row>
    <row r="63" spans="1:24" x14ac:dyDescent="0.25">
      <c r="A63" s="64" t="s">
        <v>49</v>
      </c>
      <c r="B63" s="77" t="str">
        <f>VLOOKUP(A63,Participanti!A:B,2,0)</f>
        <v>M</v>
      </c>
      <c r="C63" s="137">
        <v>3</v>
      </c>
      <c r="D63" s="66">
        <v>10.23</v>
      </c>
      <c r="E63" s="67">
        <v>3.7523148148148146E-2</v>
      </c>
      <c r="F63" s="67">
        <v>3.7523148148148146E-2</v>
      </c>
      <c r="G63" s="100">
        <f>AVERAGE(E63:F63)</f>
        <v>3.7523148148148146E-2</v>
      </c>
      <c r="H63" s="68">
        <v>11</v>
      </c>
      <c r="I63" s="14">
        <f>G63/D63</f>
        <v>3.6679519206400924E-3</v>
      </c>
      <c r="J63" s="92">
        <f>IF(B63="F",IF(D63&lt;2.5,0,IF(D63&gt;19.99,5,D63/4)),IF(D63&lt;3,0, IF(D63&gt;20.99,5,D63/4.2)))</f>
        <v>2.4357142857142855</v>
      </c>
      <c r="K63" s="92">
        <f>IF(J63=0,0,IF(B63="F",VLOOKUP(I63,Barem!$G$2:$H$11,2,1),VLOOKUP(I63,Barem!$G$12:$H$21,2,1)))</f>
        <v>2</v>
      </c>
      <c r="L63" s="65" t="str">
        <f>VLOOKUP(C63,Barem!L:Q,6,0)</f>
        <v>D</v>
      </c>
      <c r="M63" s="11">
        <f>IF(OR(L63="P1",L63="P2",L63="P3"),"",IF(C63=15,0.5,IF(L63="D",0.75,0.25)))</f>
        <v>0.75</v>
      </c>
      <c r="N63" s="11">
        <f>IF(OR(L63="P1",L63="P2",L63="P3"),"",IF(C63=15,0.5,IF(L63="V",0.75,0.25)))</f>
        <v>0.25</v>
      </c>
      <c r="O63" s="49">
        <f>IF(H63&lt;-49,H63/1500,IF(H63&gt;49,H63/1500,0))</f>
        <v>0</v>
      </c>
      <c r="P63" s="27">
        <f>IF(D63&gt;21,VLOOKUP(D63,Barem!$S$1:$T$141,2,1),0)</f>
        <v>0</v>
      </c>
      <c r="Q63" s="27">
        <f>IF(D63&lt;1.609,0,IF(B63="F",VLOOKUP(I63,Barem!$W$2:$Y$13,2,1),VLOOKUP(I63,Barem!$W$14:$Y$25,2,1)))</f>
        <v>0</v>
      </c>
      <c r="R63" s="27">
        <f>VLOOKUP(A63,Participanti!A:C,3,0)</f>
        <v>0</v>
      </c>
      <c r="S63" s="21">
        <f>J63*M63+K63*N63+O63+P63+Q63+R63</f>
        <v>2.3267857142857142</v>
      </c>
      <c r="T63" s="82">
        <v>44462</v>
      </c>
      <c r="U63" s="143">
        <f>COUNTIFS(A:A,A63,C:C,C63)</f>
        <v>1</v>
      </c>
      <c r="V63" s="77" t="str">
        <f>VLOOKUP(A63,Data_echipe!A:U,21,0)</f>
        <v>All Stars</v>
      </c>
      <c r="W63" s="23" t="s">
        <v>254</v>
      </c>
      <c r="X63" s="154">
        <v>1</v>
      </c>
    </row>
    <row r="64" spans="1:24" x14ac:dyDescent="0.25">
      <c r="A64" s="64" t="s">
        <v>51</v>
      </c>
      <c r="B64" s="77" t="str">
        <f>VLOOKUP(A64,Participanti!A:B,2,0)</f>
        <v>M</v>
      </c>
      <c r="C64" s="137">
        <v>3</v>
      </c>
      <c r="D64" s="66">
        <v>43.41</v>
      </c>
      <c r="E64" s="67">
        <v>0.34591435185185188</v>
      </c>
      <c r="F64" s="67">
        <v>0.4261226851851852</v>
      </c>
      <c r="G64" s="100">
        <f t="shared" ref="G64:G82" si="27">AVERAGE(E64:F64)</f>
        <v>0.38601851851851854</v>
      </c>
      <c r="H64" s="68">
        <v>3435</v>
      </c>
      <c r="I64" s="14">
        <f t="shared" ref="I64:I82" si="28">G64/D64</f>
        <v>8.8923869734742825E-3</v>
      </c>
      <c r="J64" s="92">
        <f t="shared" ref="J64:J82" si="29">IF(B64="F",IF(D64&lt;2.5,0,IF(D64&gt;19.99,5,D64/4)),IF(D64&lt;3,0, IF(D64&gt;20.99,5,D64/4.2)))</f>
        <v>5</v>
      </c>
      <c r="K64" s="92">
        <f>IF(J64=0,0,IF(B64="F",VLOOKUP(I64,Barem!$G$2:$H$11,2,1),VLOOKUP(I64,Barem!$G$12:$H$21,2,1)))</f>
        <v>0</v>
      </c>
      <c r="L64" s="65" t="str">
        <f>VLOOKUP(C64,Barem!L:Q,6,0)</f>
        <v>D</v>
      </c>
      <c r="M64" s="11">
        <f t="shared" ref="M64:M82" si="30">IF(OR(L64="P1",L64="P2",L64="P3"),"",IF(C64=15,0.5,IF(L64="D",0.75,0.25)))</f>
        <v>0.75</v>
      </c>
      <c r="N64" s="11">
        <f t="shared" ref="N64:N82" si="31">IF(OR(L64="P1",L64="P2",L64="P3"),"",IF(C64=15,0.5,IF(L64="V",0.75,0.25)))</f>
        <v>0.25</v>
      </c>
      <c r="O64" s="49">
        <f t="shared" ref="O64:O82" si="32">IF(H64&lt;-49,H64/1500,IF(H64&gt;49,H64/1500,0))</f>
        <v>2.29</v>
      </c>
      <c r="P64" s="27">
        <f>IF(D64&gt;21,VLOOKUP(D64,Barem!$S$1:$T$141,2,1),0)</f>
        <v>1.1000000000000001</v>
      </c>
      <c r="Q64" s="27">
        <f>IF(D64&lt;1.609,0,IF(B64="F",VLOOKUP(I64,Barem!$W$2:$Y$13,2,1),VLOOKUP(I64,Barem!$W$14:$Y$25,2,1)))</f>
        <v>0</v>
      </c>
      <c r="R64" s="27">
        <f>VLOOKUP(A64,Participanti!A:C,3,0)</f>
        <v>0</v>
      </c>
      <c r="S64" s="21">
        <f t="shared" ref="S64:S94" si="33">J64*M64+K64*N64+O64+P64+Q64+R64</f>
        <v>7.1400000000000006</v>
      </c>
      <c r="T64" s="82">
        <v>44464</v>
      </c>
      <c r="U64" s="143">
        <f>COUNTIFS(A:A,A64,C:C,C64)</f>
        <v>1</v>
      </c>
      <c r="V64" s="77" t="str">
        <f>VLOOKUP(A64,Data_echipe!A:U,21,0)</f>
        <v>UltraSYR</v>
      </c>
      <c r="X64" s="154"/>
    </row>
    <row r="65" spans="1:24" x14ac:dyDescent="0.25">
      <c r="A65" s="64" t="s">
        <v>5</v>
      </c>
      <c r="B65" s="77" t="str">
        <f>VLOOKUP(A65,Participanti!A:B,2,0)</f>
        <v>F</v>
      </c>
      <c r="C65" s="137">
        <v>3</v>
      </c>
      <c r="D65" s="66">
        <v>7.05</v>
      </c>
      <c r="E65" s="67">
        <v>2.3958333333333331E-2</v>
      </c>
      <c r="F65" s="67">
        <v>2.3958333333333331E-2</v>
      </c>
      <c r="G65" s="100">
        <f t="shared" si="27"/>
        <v>2.3958333333333331E-2</v>
      </c>
      <c r="H65" s="68">
        <v>11</v>
      </c>
      <c r="I65" s="14">
        <f t="shared" si="28"/>
        <v>3.3983451536643023E-3</v>
      </c>
      <c r="J65" s="92">
        <f t="shared" si="29"/>
        <v>1.7625</v>
      </c>
      <c r="K65" s="92">
        <f>IF(J65=0,0,IF(B65="F",VLOOKUP(I65,Barem!$G$2:$H$11,2,1),VLOOKUP(I65,Barem!$G$12:$H$21,2,1)))</f>
        <v>4</v>
      </c>
      <c r="L65" s="110" t="s">
        <v>110</v>
      </c>
      <c r="M65" s="11">
        <f t="shared" si="30"/>
        <v>0.25</v>
      </c>
      <c r="N65" s="11">
        <f t="shared" si="31"/>
        <v>0.75</v>
      </c>
      <c r="O65" s="49">
        <f t="shared" si="32"/>
        <v>0</v>
      </c>
      <c r="P65" s="27">
        <f>IF(D65&gt;21,VLOOKUP(D65,Barem!$S$1:$T$141,2,1),0)</f>
        <v>0</v>
      </c>
      <c r="Q65" s="27">
        <f>IF(D65&lt;1.609,0,IF(B65="F",VLOOKUP(I65,Barem!$W$2:$Y$13,2,1),VLOOKUP(I65,Barem!$W$14:$Y$25,2,1)))</f>
        <v>0</v>
      </c>
      <c r="R65" s="27">
        <f>VLOOKUP(A65,Participanti!A:C,3,0)</f>
        <v>0</v>
      </c>
      <c r="S65" s="21">
        <f t="shared" si="33"/>
        <v>3.4406249999999998</v>
      </c>
      <c r="T65" s="82">
        <v>44462</v>
      </c>
      <c r="U65" s="143">
        <f>COUNTIFS(A:A,A65,C:C,C65)</f>
        <v>1</v>
      </c>
      <c r="V65" s="77" t="str">
        <f>VLOOKUP(A65,Data_echipe!A:U,21,0)</f>
        <v>All Stars</v>
      </c>
      <c r="X65" s="154">
        <v>1</v>
      </c>
    </row>
    <row r="66" spans="1:24" x14ac:dyDescent="0.25">
      <c r="A66" s="64" t="s">
        <v>80</v>
      </c>
      <c r="B66" s="77" t="str">
        <f>VLOOKUP(A66,Participanti!A:B,2,0)</f>
        <v>M</v>
      </c>
      <c r="C66" s="137">
        <v>3</v>
      </c>
      <c r="D66" s="66">
        <v>43.88</v>
      </c>
      <c r="E66" s="67">
        <v>0.42755787037037035</v>
      </c>
      <c r="F66" s="67">
        <v>0.49229166666666663</v>
      </c>
      <c r="G66" s="100">
        <f t="shared" si="27"/>
        <v>0.45992476851851849</v>
      </c>
      <c r="H66" s="68">
        <v>3246</v>
      </c>
      <c r="I66" s="14">
        <f t="shared" si="28"/>
        <v>1.04814213427192E-2</v>
      </c>
      <c r="J66" s="92">
        <f t="shared" si="29"/>
        <v>5</v>
      </c>
      <c r="K66" s="92">
        <f>IF(J66=0,0,IF(B66="F",VLOOKUP(I66,Barem!$G$2:$H$11,2,1),VLOOKUP(I66,Barem!$G$12:$H$21,2,1)))</f>
        <v>0</v>
      </c>
      <c r="L66" s="65" t="str">
        <f>VLOOKUP(C66,Barem!L:Q,6,0)</f>
        <v>D</v>
      </c>
      <c r="M66" s="11">
        <f t="shared" si="30"/>
        <v>0.75</v>
      </c>
      <c r="N66" s="11">
        <f t="shared" si="31"/>
        <v>0.25</v>
      </c>
      <c r="O66" s="49">
        <f t="shared" si="32"/>
        <v>2.1640000000000001</v>
      </c>
      <c r="P66" s="27">
        <f>IF(D66&gt;21,VLOOKUP(D66,Barem!$S$1:$T$141,2,1),0)</f>
        <v>1.1000000000000001</v>
      </c>
      <c r="Q66" s="27">
        <f>IF(D66&lt;1.609,0,IF(B66="F",VLOOKUP(I66,Barem!$W$2:$Y$13,2,1),VLOOKUP(I66,Barem!$W$14:$Y$25,2,1)))</f>
        <v>0</v>
      </c>
      <c r="R66" s="27">
        <f>VLOOKUP(A66,Participanti!A:C,3,0)</f>
        <v>0.4</v>
      </c>
      <c r="S66" s="21">
        <f t="shared" si="33"/>
        <v>7.4139999999999997</v>
      </c>
      <c r="T66" s="82">
        <v>44464</v>
      </c>
      <c r="U66" s="143">
        <f>COUNTIFS(A:A,A66,C:C,C66)</f>
        <v>1</v>
      </c>
      <c r="V66" s="77" t="str">
        <f>VLOOKUP(A66,Data_echipe!A:U,21,0)</f>
        <v>UltraSYR</v>
      </c>
      <c r="X66" s="154"/>
    </row>
    <row r="67" spans="1:24" x14ac:dyDescent="0.25">
      <c r="A67" s="64" t="s">
        <v>196</v>
      </c>
      <c r="B67" s="77" t="str">
        <f>VLOOKUP(A67,Participanti!A:B,2,0)</f>
        <v>F</v>
      </c>
      <c r="C67" s="137">
        <v>3</v>
      </c>
      <c r="D67" s="66">
        <v>17.829999999999998</v>
      </c>
      <c r="E67" s="67">
        <v>7.677083333333333E-2</v>
      </c>
      <c r="F67" s="67">
        <v>9.7777777777777783E-2</v>
      </c>
      <c r="G67" s="100">
        <f t="shared" si="27"/>
        <v>8.7274305555555556E-2</v>
      </c>
      <c r="H67" s="68">
        <v>57</v>
      </c>
      <c r="I67" s="14">
        <f t="shared" si="28"/>
        <v>4.8948012089487141E-3</v>
      </c>
      <c r="J67" s="92">
        <f t="shared" si="29"/>
        <v>4.4574999999999996</v>
      </c>
      <c r="K67" s="92">
        <f>IF(J67=0,0,IF(B67="F",VLOOKUP(I67,Barem!$G$2:$H$11,2,1),VLOOKUP(I67,Barem!$G$12:$H$21,2,1)))</f>
        <v>1</v>
      </c>
      <c r="L67" s="65" t="str">
        <f>VLOOKUP(C67,Barem!L:Q,6,0)</f>
        <v>D</v>
      </c>
      <c r="M67" s="11">
        <f t="shared" si="30"/>
        <v>0.75</v>
      </c>
      <c r="N67" s="11">
        <f t="shared" si="31"/>
        <v>0.25</v>
      </c>
      <c r="O67" s="49">
        <f t="shared" si="32"/>
        <v>3.7999999999999999E-2</v>
      </c>
      <c r="P67" s="27">
        <f>IF(D67&gt;21,VLOOKUP(D67,Barem!$S$1:$T$141,2,1),0)</f>
        <v>0</v>
      </c>
      <c r="Q67" s="27">
        <f>IF(D67&lt;1.609,0,IF(B67="F",VLOOKUP(I67,Barem!$W$2:$Y$13,2,1),VLOOKUP(I67,Barem!$W$14:$Y$25,2,1)))</f>
        <v>0</v>
      </c>
      <c r="R67" s="27">
        <f>VLOOKUP(A67,Participanti!A:C,3,0)</f>
        <v>0</v>
      </c>
      <c r="S67" s="21">
        <f t="shared" si="33"/>
        <v>3.6311249999999995</v>
      </c>
      <c r="T67" s="82">
        <v>44465</v>
      </c>
      <c r="U67" s="143">
        <f>COUNTIFS(A:A,A67,C:C,C67)</f>
        <v>1</v>
      </c>
      <c r="V67" s="77" t="str">
        <f>VLOOKUP(A67,Data_echipe!A:U,21,0)</f>
        <v>UltraSYR</v>
      </c>
      <c r="X67" s="154">
        <v>1</v>
      </c>
    </row>
    <row r="68" spans="1:24" x14ac:dyDescent="0.25">
      <c r="A68" s="64" t="s">
        <v>102</v>
      </c>
      <c r="B68" s="77" t="str">
        <f>VLOOKUP(A68,Participanti!A:B,2,0)</f>
        <v>M</v>
      </c>
      <c r="C68" s="137">
        <v>3</v>
      </c>
      <c r="D68" s="66">
        <v>9.02</v>
      </c>
      <c r="E68" s="67">
        <v>2.9837962962962965E-2</v>
      </c>
      <c r="F68" s="67">
        <v>2.9837962962962965E-2</v>
      </c>
      <c r="G68" s="100">
        <f t="shared" si="27"/>
        <v>2.9837962962962965E-2</v>
      </c>
      <c r="H68" s="68">
        <v>19</v>
      </c>
      <c r="I68" s="14">
        <f t="shared" si="28"/>
        <v>3.3079781555391315E-3</v>
      </c>
      <c r="J68" s="92">
        <f t="shared" si="29"/>
        <v>2.1476190476190475</v>
      </c>
      <c r="K68" s="92">
        <f>IF(J68=0,0,IF(B68="F",VLOOKUP(I68,Barem!$G$2:$H$11,2,1),VLOOKUP(I68,Barem!$G$12:$H$21,2,1)))</f>
        <v>3.5</v>
      </c>
      <c r="L68" s="110" t="s">
        <v>110</v>
      </c>
      <c r="M68" s="11">
        <f t="shared" si="30"/>
        <v>0.25</v>
      </c>
      <c r="N68" s="11">
        <f t="shared" si="31"/>
        <v>0.75</v>
      </c>
      <c r="O68" s="49">
        <f t="shared" si="32"/>
        <v>0</v>
      </c>
      <c r="P68" s="27">
        <f>IF(D68&gt;21,VLOOKUP(D68,Barem!$S$1:$T$141,2,1),0)</f>
        <v>0</v>
      </c>
      <c r="Q68" s="27">
        <f>IF(D68&lt;1.609,0,IF(B68="F",VLOOKUP(I68,Barem!$W$2:$Y$13,2,1),VLOOKUP(I68,Barem!$W$14:$Y$25,2,1)))</f>
        <v>0</v>
      </c>
      <c r="R68" s="27">
        <f>VLOOKUP(A68,Participanti!A:C,3,0)</f>
        <v>0</v>
      </c>
      <c r="S68" s="21">
        <f t="shared" si="33"/>
        <v>3.1619047619047618</v>
      </c>
      <c r="T68" s="82">
        <v>44460</v>
      </c>
      <c r="U68" s="143">
        <f>COUNTIFS(A:A,A68,C:C,C68)</f>
        <v>1</v>
      </c>
      <c r="V68" s="77" t="str">
        <f>VLOOKUP(A68,Data_echipe!A:U,21,0)</f>
        <v>All Stars</v>
      </c>
      <c r="X68" s="154">
        <v>1</v>
      </c>
    </row>
    <row r="69" spans="1:24" x14ac:dyDescent="0.25">
      <c r="A69" s="64" t="s">
        <v>66</v>
      </c>
      <c r="B69" s="77" t="str">
        <f>VLOOKUP(A69,Participanti!A:B,2,0)</f>
        <v>F</v>
      </c>
      <c r="C69" s="137">
        <v>3</v>
      </c>
      <c r="D69" s="66">
        <v>8.01</v>
      </c>
      <c r="E69" s="67">
        <v>3.9780092592592589E-2</v>
      </c>
      <c r="F69" s="67">
        <v>6.267361111111111E-2</v>
      </c>
      <c r="G69" s="100">
        <f t="shared" si="27"/>
        <v>5.122685185185185E-2</v>
      </c>
      <c r="H69" s="68">
        <v>0</v>
      </c>
      <c r="I69" s="14">
        <f t="shared" si="28"/>
        <v>6.3953622786331902E-3</v>
      </c>
      <c r="J69" s="92">
        <f t="shared" si="29"/>
        <v>2.0024999999999999</v>
      </c>
      <c r="K69" s="92">
        <f>IF(J69=0,0,IF(B69="F",VLOOKUP(I69,Barem!$G$2:$H$11,2,1),VLOOKUP(I69,Barem!$G$12:$H$21,2,1)))</f>
        <v>0</v>
      </c>
      <c r="L69" s="65" t="str">
        <f>VLOOKUP(C69,Barem!L:Q,6,0)</f>
        <v>D</v>
      </c>
      <c r="M69" s="11">
        <f t="shared" si="30"/>
        <v>0.75</v>
      </c>
      <c r="N69" s="11">
        <f t="shared" si="31"/>
        <v>0.25</v>
      </c>
      <c r="O69" s="49">
        <f t="shared" si="32"/>
        <v>0</v>
      </c>
      <c r="P69" s="27">
        <f>IF(D69&gt;21,VLOOKUP(D69,Barem!$S$1:$T$141,2,1),0)</f>
        <v>0</v>
      </c>
      <c r="Q69" s="27">
        <f>IF(D69&lt;1.609,0,IF(B69="F",VLOOKUP(I69,Barem!$W$2:$Y$13,2,1),VLOOKUP(I69,Barem!$W$14:$Y$25,2,1)))</f>
        <v>0</v>
      </c>
      <c r="R69" s="27">
        <f>VLOOKUP(A69,Participanti!A:C,3,0)</f>
        <v>0.7</v>
      </c>
      <c r="S69" s="21">
        <f t="shared" si="33"/>
        <v>2.2018750000000002</v>
      </c>
      <c r="T69" s="82">
        <v>44459</v>
      </c>
      <c r="U69" s="143">
        <f>COUNTIFS(A:A,A69,C:C,C69)</f>
        <v>1</v>
      </c>
      <c r="V69" s="77" t="e">
        <f>VLOOKUP(A69,Data_echipe!A:U,21,0)</f>
        <v>#N/A</v>
      </c>
      <c r="X69" s="154"/>
    </row>
    <row r="70" spans="1:24" x14ac:dyDescent="0.25">
      <c r="A70" s="64" t="s">
        <v>67</v>
      </c>
      <c r="B70" s="77" t="str">
        <f>VLOOKUP(A70,Participanti!A:B,2,0)</f>
        <v>M</v>
      </c>
      <c r="C70" s="137">
        <v>3</v>
      </c>
      <c r="D70" s="66">
        <v>7.02</v>
      </c>
      <c r="E70" s="67">
        <v>2.1608796296296296E-2</v>
      </c>
      <c r="F70" s="67">
        <v>2.1608796296296296E-2</v>
      </c>
      <c r="G70" s="100">
        <f t="shared" si="27"/>
        <v>2.1608796296296296E-2</v>
      </c>
      <c r="H70" s="68">
        <v>13</v>
      </c>
      <c r="I70" s="14">
        <f t="shared" si="28"/>
        <v>3.0781761105835182E-3</v>
      </c>
      <c r="J70" s="92">
        <f t="shared" si="29"/>
        <v>1.6714285714285713</v>
      </c>
      <c r="K70" s="92">
        <f>IF(J70=0,0,IF(B70="F",VLOOKUP(I70,Barem!$G$2:$H$11,2,1),VLOOKUP(I70,Barem!$G$12:$H$21,2,1)))</f>
        <v>4</v>
      </c>
      <c r="L70" s="110" t="s">
        <v>110</v>
      </c>
      <c r="M70" s="11">
        <f t="shared" si="30"/>
        <v>0.25</v>
      </c>
      <c r="N70" s="11">
        <f t="shared" si="31"/>
        <v>0.75</v>
      </c>
      <c r="O70" s="49">
        <f t="shared" si="32"/>
        <v>0</v>
      </c>
      <c r="P70" s="27">
        <f>IF(D70&gt;21,VLOOKUP(D70,Barem!$S$1:$T$141,2,1),0)</f>
        <v>0</v>
      </c>
      <c r="Q70" s="27">
        <f>IF(D70&lt;1.609,0,IF(B70="F",VLOOKUP(I70,Barem!$W$2:$Y$13,2,1),VLOOKUP(I70,Barem!$W$14:$Y$25,2,1)))</f>
        <v>0</v>
      </c>
      <c r="R70" s="27">
        <f>VLOOKUP(A70,Participanti!A:C,3,0)</f>
        <v>0</v>
      </c>
      <c r="S70" s="21">
        <f t="shared" si="33"/>
        <v>3.4178571428571427</v>
      </c>
      <c r="T70" s="82">
        <v>44462</v>
      </c>
      <c r="U70" s="143">
        <f>COUNTIFS(A:A,A70,C:C,C70)</f>
        <v>1</v>
      </c>
      <c r="V70" s="77" t="e">
        <f>VLOOKUP(A70,Data_echipe!A:U,21,0)</f>
        <v>#N/A</v>
      </c>
      <c r="X70" s="154">
        <v>1</v>
      </c>
    </row>
    <row r="71" spans="1:24" x14ac:dyDescent="0.25">
      <c r="A71" s="64" t="s">
        <v>111</v>
      </c>
      <c r="B71" s="77" t="str">
        <f>VLOOKUP(A71,Participanti!A:B,2,0)</f>
        <v>M</v>
      </c>
      <c r="C71" s="137">
        <v>3</v>
      </c>
      <c r="D71" s="66">
        <v>32.32</v>
      </c>
      <c r="E71" s="67">
        <v>0.13693287037037036</v>
      </c>
      <c r="F71" s="67">
        <v>0.14700231481481482</v>
      </c>
      <c r="G71" s="100">
        <f t="shared" si="27"/>
        <v>0.14196759259259259</v>
      </c>
      <c r="H71" s="68">
        <v>760</v>
      </c>
      <c r="I71" s="14">
        <f t="shared" si="28"/>
        <v>4.392561651998533E-3</v>
      </c>
      <c r="J71" s="92">
        <f t="shared" si="29"/>
        <v>5</v>
      </c>
      <c r="K71" s="92">
        <f>IF(J71=0,0,IF(B71="F",VLOOKUP(I71,Barem!$G$2:$H$11,2,1),VLOOKUP(I71,Barem!$G$12:$H$21,2,1)))</f>
        <v>1</v>
      </c>
      <c r="L71" s="65" t="str">
        <f>VLOOKUP(C71,Barem!L:Q,6,0)</f>
        <v>D</v>
      </c>
      <c r="M71" s="11">
        <f t="shared" si="30"/>
        <v>0.75</v>
      </c>
      <c r="N71" s="11">
        <f t="shared" si="31"/>
        <v>0.25</v>
      </c>
      <c r="O71" s="49">
        <f t="shared" si="32"/>
        <v>0.50666666666666671</v>
      </c>
      <c r="P71" s="27">
        <f>IF(D71&gt;21,VLOOKUP(D71,Barem!$S$1:$T$141,2,1),0)</f>
        <v>0.5</v>
      </c>
      <c r="Q71" s="27">
        <f>IF(D71&lt;1.609,0,IF(B71="F",VLOOKUP(I71,Barem!$W$2:$Y$13,2,1),VLOOKUP(I71,Barem!$W$14:$Y$25,2,1)))</f>
        <v>0</v>
      </c>
      <c r="R71" s="27">
        <f>VLOOKUP(A71,Participanti!A:C,3,0)</f>
        <v>0</v>
      </c>
      <c r="S71" s="21">
        <f t="shared" si="33"/>
        <v>5.0066666666666668</v>
      </c>
      <c r="T71" s="82">
        <v>44465</v>
      </c>
      <c r="U71" s="143">
        <f>COUNTIFS(A:A,A71,C:C,C71)</f>
        <v>1</v>
      </c>
      <c r="V71" s="77" t="str">
        <f>VLOOKUP(A71,Data_echipe!A:U,21,0)</f>
        <v>UltraSYR</v>
      </c>
      <c r="X71" s="154">
        <v>1</v>
      </c>
    </row>
    <row r="72" spans="1:24" x14ac:dyDescent="0.25">
      <c r="A72" s="64" t="s">
        <v>65</v>
      </c>
      <c r="B72" s="77" t="str">
        <f>VLOOKUP(A72,Participanti!A:B,2,0)</f>
        <v>M</v>
      </c>
      <c r="C72" s="137">
        <v>3</v>
      </c>
      <c r="D72" s="66">
        <v>43.34</v>
      </c>
      <c r="E72" s="67">
        <v>0.34263888888888888</v>
      </c>
      <c r="F72" s="67">
        <v>0.40672453703703698</v>
      </c>
      <c r="G72" s="100">
        <f>AVERAGE(E72:F72)</f>
        <v>0.37468171296296293</v>
      </c>
      <c r="H72" s="68">
        <v>3373</v>
      </c>
      <c r="I72" s="14">
        <f>G72/D72</f>
        <v>8.6451710420619044E-3</v>
      </c>
      <c r="J72" s="92">
        <f>IF(B72="F",IF(D72&lt;2.5,0,IF(D72&gt;19.99,5,D72/4)),IF(D72&lt;3,0, IF(D72&gt;20.99,5,D72/4.2)))</f>
        <v>5</v>
      </c>
      <c r="K72" s="92">
        <f>IF(J72=0,0,IF(B72="F",VLOOKUP(I72,Barem!$G$2:$H$11,2,1),VLOOKUP(I72,Barem!$G$12:$H$21,2,1)))</f>
        <v>0</v>
      </c>
      <c r="L72" s="65" t="str">
        <f>VLOOKUP(C72,Barem!L:Q,6,0)</f>
        <v>D</v>
      </c>
      <c r="M72" s="11">
        <f>IF(OR(L72="P1",L72="P2",L72="P3"),"",IF(C72=15,0.5,IF(L72="D",0.75,0.25)))</f>
        <v>0.75</v>
      </c>
      <c r="N72" s="11">
        <f>IF(OR(L72="P1",L72="P2",L72="P3"),"",IF(C72=15,0.5,IF(L72="V",0.75,0.25)))</f>
        <v>0.25</v>
      </c>
      <c r="O72" s="49">
        <f>IF(H72&lt;-49,H72/1500,IF(H72&gt;49,H72/1500,0))</f>
        <v>2.2486666666666668</v>
      </c>
      <c r="P72" s="27">
        <f>IF(D72&gt;21,VLOOKUP(D72,Barem!$S$1:$T$141,2,1),0)</f>
        <v>1.1000000000000001</v>
      </c>
      <c r="Q72" s="27">
        <f>IF(D72&lt;1.609,0,IF(B72="F",VLOOKUP(I72,Barem!$W$2:$Y$13,2,1),VLOOKUP(I72,Barem!$W$14:$Y$25,2,1)))</f>
        <v>0</v>
      </c>
      <c r="R72" s="27">
        <f>VLOOKUP(A72,Participanti!A:C,3,0)</f>
        <v>0</v>
      </c>
      <c r="S72" s="21">
        <f>J72*M72+K72*N72+O72+P72+Q72+R72</f>
        <v>7.0986666666666665</v>
      </c>
      <c r="T72" s="82">
        <v>44464</v>
      </c>
      <c r="U72" s="143">
        <f>COUNTIFS(A:A,A72,C:C,C72)</f>
        <v>1</v>
      </c>
      <c r="V72" s="77" t="str">
        <f>VLOOKUP(A72,Data_echipe!A:U,21,0)</f>
        <v>UltraSYR</v>
      </c>
      <c r="X72" s="154"/>
    </row>
    <row r="73" spans="1:24" x14ac:dyDescent="0.25">
      <c r="A73" s="64" t="s">
        <v>55</v>
      </c>
      <c r="B73" s="77" t="str">
        <f>VLOOKUP(A73,Participanti!A:B,2,0)</f>
        <v>M</v>
      </c>
      <c r="C73" s="137">
        <v>3</v>
      </c>
      <c r="D73" s="66">
        <v>20.91</v>
      </c>
      <c r="E73" s="67">
        <v>7.1932870370370369E-2</v>
      </c>
      <c r="F73" s="67">
        <v>7.1932870370370369E-2</v>
      </c>
      <c r="G73" s="100">
        <f>AVERAGE(E73:F73)</f>
        <v>7.1932870370370369E-2</v>
      </c>
      <c r="H73" s="68">
        <v>212</v>
      </c>
      <c r="I73" s="14">
        <f>G73/D73</f>
        <v>3.4401181430114953E-3</v>
      </c>
      <c r="J73" s="92">
        <f>IF(B73="F",IF(D73&lt;2.5,0,IF(D73&gt;19.99,5,D73/4)),IF(D73&lt;3,0, IF(D73&gt;20.99,5,D73/4.2)))</f>
        <v>4.9785714285714286</v>
      </c>
      <c r="K73" s="92">
        <f>IF(J73=0,0,IF(B73="F",VLOOKUP(I73,Barem!$G$2:$H$11,2,1),VLOOKUP(I73,Barem!$G$12:$H$21,2,1)))</f>
        <v>3</v>
      </c>
      <c r="L73" s="65" t="str">
        <f>VLOOKUP(C73,Barem!L:Q,6,0)</f>
        <v>D</v>
      </c>
      <c r="M73" s="11">
        <f>IF(OR(L73="P1",L73="P2",L73="P3"),"",IF(C73=15,0.5,IF(L73="D",0.75,0.25)))</f>
        <v>0.75</v>
      </c>
      <c r="N73" s="11">
        <f>IF(OR(L73="P1",L73="P2",L73="P3"),"",IF(C73=15,0.5,IF(L73="V",0.75,0.25)))</f>
        <v>0.25</v>
      </c>
      <c r="O73" s="49">
        <f>IF(H73&lt;-49,H73/1500,IF(H73&gt;49,H73/1500,0))</f>
        <v>0.14133333333333334</v>
      </c>
      <c r="P73" s="27">
        <f>IF(D73&gt;21,VLOOKUP(D73,Barem!$S$1:$T$141,2,1),0)</f>
        <v>0</v>
      </c>
      <c r="Q73" s="27">
        <f>IF(D73&lt;1.609,0,IF(B73="F",VLOOKUP(I73,Barem!$W$2:$Y$13,2,1),VLOOKUP(I73,Barem!$W$14:$Y$25,2,1)))</f>
        <v>0</v>
      </c>
      <c r="R73" s="27">
        <f>VLOOKUP(A73,Participanti!A:C,3,0)</f>
        <v>0</v>
      </c>
      <c r="S73" s="21">
        <f>J73*M73+K73*N73+O73+P73+Q73+R73</f>
        <v>4.6252619047619055</v>
      </c>
      <c r="T73" s="82">
        <v>44465</v>
      </c>
      <c r="U73" s="143">
        <f>COUNTIFS(A:A,A73,C:C,C73)</f>
        <v>1</v>
      </c>
      <c r="V73" s="77" t="e">
        <f>VLOOKUP(A73,Data_echipe!A:U,21,0)</f>
        <v>#N/A</v>
      </c>
      <c r="X73" s="154">
        <v>1</v>
      </c>
    </row>
    <row r="74" spans="1:24" x14ac:dyDescent="0.25">
      <c r="A74" s="64" t="s">
        <v>100</v>
      </c>
      <c r="B74" s="77" t="str">
        <f>VLOOKUP(A74,Participanti!A:B,2,0)</f>
        <v>F</v>
      </c>
      <c r="C74" s="137">
        <v>3</v>
      </c>
      <c r="D74" s="66">
        <v>10</v>
      </c>
      <c r="E74" s="67">
        <v>6.1273148148148153E-2</v>
      </c>
      <c r="F74" s="67">
        <v>6.3194444444444442E-2</v>
      </c>
      <c r="G74" s="100">
        <f>AVERAGE(E74:F74)</f>
        <v>6.2233796296296301E-2</v>
      </c>
      <c r="H74" s="68">
        <v>52</v>
      </c>
      <c r="I74" s="14">
        <f>G74/D74</f>
        <v>6.2233796296296299E-3</v>
      </c>
      <c r="J74" s="92">
        <f>IF(B74="F",IF(D74&lt;2.5,0,IF(D74&gt;19.99,5,D74/4)),IF(D74&lt;3,0, IF(D74&gt;20.99,5,D74/4.2)))</f>
        <v>2.5</v>
      </c>
      <c r="K74" s="92">
        <f>IF(J74=0,0,IF(B74="F",VLOOKUP(I74,Barem!$G$2:$H$11,2,1),VLOOKUP(I74,Barem!$G$12:$H$21,2,1)))</f>
        <v>1</v>
      </c>
      <c r="L74" s="65" t="str">
        <f>VLOOKUP(C74,Barem!L:Q,6,0)</f>
        <v>D</v>
      </c>
      <c r="M74" s="11">
        <f>IF(OR(L74="P1",L74="P2",L74="P3"),"",IF(C74=15,0.5,IF(L74="D",0.75,0.25)))</f>
        <v>0.75</v>
      </c>
      <c r="N74" s="11">
        <f>IF(OR(L74="P1",L74="P2",L74="P3"),"",IF(C74=15,0.5,IF(L74="V",0.75,0.25)))</f>
        <v>0.25</v>
      </c>
      <c r="O74" s="49">
        <f>IF(H74&lt;-49,H74/1500,IF(H74&gt;49,H74/1500,0))</f>
        <v>3.4666666666666665E-2</v>
      </c>
      <c r="P74" s="27">
        <f>IF(D74&gt;21,VLOOKUP(D74,Barem!$S$1:$T$141,2,1),0)</f>
        <v>0</v>
      </c>
      <c r="Q74" s="27">
        <f>IF(D74&lt;1.609,0,IF(B74="F",VLOOKUP(I74,Barem!$W$2:$Y$13,2,1),VLOOKUP(I74,Barem!$W$14:$Y$25,2,1)))</f>
        <v>0</v>
      </c>
      <c r="R74" s="27">
        <f>VLOOKUP(A74,Participanti!A:C,3,0)</f>
        <v>0.4</v>
      </c>
      <c r="S74" s="21">
        <f>J74*M74+K74*N74+O74+P74+Q74+R74</f>
        <v>2.5596666666666668</v>
      </c>
      <c r="T74" s="82">
        <v>44462</v>
      </c>
      <c r="U74" s="143">
        <f>COUNTIFS(A:A,A74,C:C,C74)</f>
        <v>1</v>
      </c>
      <c r="V74" s="77" t="str">
        <f>VLOOKUP(A74,Data_echipe!A:U,21,0)</f>
        <v>All Stars</v>
      </c>
      <c r="X74" s="154">
        <v>1</v>
      </c>
    </row>
    <row r="75" spans="1:24" x14ac:dyDescent="0.25">
      <c r="A75" s="64" t="s">
        <v>103</v>
      </c>
      <c r="B75" s="77" t="str">
        <f>VLOOKUP(A75,Participanti!A:B,2,0)</f>
        <v>F</v>
      </c>
      <c r="C75" s="137">
        <v>3</v>
      </c>
      <c r="D75" s="66">
        <v>10.02</v>
      </c>
      <c r="E75" s="67">
        <v>3.6064814814814813E-2</v>
      </c>
      <c r="F75" s="67">
        <v>3.9386574074074074E-2</v>
      </c>
      <c r="G75" s="100">
        <f t="shared" si="27"/>
        <v>3.7725694444444444E-2</v>
      </c>
      <c r="H75" s="68">
        <v>0</v>
      </c>
      <c r="I75" s="14">
        <f t="shared" si="28"/>
        <v>3.7650393657130184E-3</v>
      </c>
      <c r="J75" s="92">
        <f t="shared" si="29"/>
        <v>2.5049999999999999</v>
      </c>
      <c r="K75" s="92">
        <f>IF(J75=0,0,IF(B75="F",VLOOKUP(I75,Barem!$G$2:$H$11,2,1),VLOOKUP(I75,Barem!$G$12:$H$21,2,1)))</f>
        <v>3</v>
      </c>
      <c r="L75" s="65" t="str">
        <f>VLOOKUP(C75,Barem!L:Q,6,0)</f>
        <v>D</v>
      </c>
      <c r="M75" s="11">
        <f t="shared" si="30"/>
        <v>0.75</v>
      </c>
      <c r="N75" s="11">
        <f t="shared" si="31"/>
        <v>0.25</v>
      </c>
      <c r="O75" s="49">
        <f t="shared" si="32"/>
        <v>0</v>
      </c>
      <c r="P75" s="27">
        <f>IF(D75&gt;21,VLOOKUP(D75,Barem!$S$1:$T$141,2,1),0)</f>
        <v>0</v>
      </c>
      <c r="Q75" s="27">
        <f>IF(D75&lt;1.609,0,IF(B75="F",VLOOKUP(I75,Barem!$W$2:$Y$13,2,1),VLOOKUP(I75,Barem!$W$14:$Y$25,2,1)))</f>
        <v>0</v>
      </c>
      <c r="R75" s="27">
        <f>VLOOKUP(A75,Participanti!A:C,3,0)</f>
        <v>0</v>
      </c>
      <c r="S75" s="21">
        <f t="shared" si="33"/>
        <v>2.6287500000000001</v>
      </c>
      <c r="T75" s="82">
        <v>44462</v>
      </c>
      <c r="U75" s="143">
        <f>COUNTIFS(A:A,A75,C:C,C75)</f>
        <v>1</v>
      </c>
      <c r="V75" s="77" t="str">
        <f>VLOOKUP(A75,Data_echipe!A:U,21,0)</f>
        <v>UltraSYR</v>
      </c>
      <c r="X75" s="154">
        <v>1</v>
      </c>
    </row>
    <row r="76" spans="1:24" x14ac:dyDescent="0.25">
      <c r="A76" s="64" t="s">
        <v>7</v>
      </c>
      <c r="B76" s="77" t="str">
        <f>VLOOKUP(A76,Participanti!A:B,2,0)</f>
        <v>M</v>
      </c>
      <c r="C76" s="137">
        <v>3</v>
      </c>
      <c r="D76" s="66">
        <v>5.24</v>
      </c>
      <c r="E76" s="67">
        <v>2.1030092592592597E-2</v>
      </c>
      <c r="F76" s="67">
        <v>2.1064814814814814E-2</v>
      </c>
      <c r="G76" s="100">
        <f>AVERAGE(E76:F76)</f>
        <v>2.1047453703703707E-2</v>
      </c>
      <c r="H76" s="68">
        <v>2</v>
      </c>
      <c r="I76" s="14">
        <f>G76/D76</f>
        <v>4.016689638111394E-3</v>
      </c>
      <c r="J76" s="92">
        <f>IF(B76="F",IF(D76&lt;2.5,0,IF(D76&gt;19.99,5,D76/4)),IF(D76&lt;3,0, IF(D76&gt;20.99,5,D76/4.2)))</f>
        <v>1.2476190476190476</v>
      </c>
      <c r="K76" s="92">
        <f>IF(J76=0,0,IF(B76="F",VLOOKUP(I76,Barem!$G$2:$H$11,2,1),VLOOKUP(I76,Barem!$G$12:$H$21,2,1)))</f>
        <v>1.5</v>
      </c>
      <c r="L76" s="110" t="s">
        <v>110</v>
      </c>
      <c r="M76" s="11">
        <f>IF(OR(L76="P1",L76="P2",L76="P3"),"",IF(C76=15,0.5,IF(L76="D",0.75,0.25)))</f>
        <v>0.25</v>
      </c>
      <c r="N76" s="11">
        <f>IF(OR(L76="P1",L76="P2",L76="P3"),"",IF(C76=15,0.5,IF(L76="V",0.75,0.25)))</f>
        <v>0.75</v>
      </c>
      <c r="O76" s="49">
        <f>IF(H76&lt;-49,H76/1500,IF(H76&gt;49,H76/1500,0))</f>
        <v>0</v>
      </c>
      <c r="P76" s="27">
        <f>IF(D76&gt;21,VLOOKUP(D76,Barem!$S$1:$T$141,2,1),0)</f>
        <v>0</v>
      </c>
      <c r="Q76" s="27">
        <f>IF(D76&lt;1.609,0,IF(B76="F",VLOOKUP(I76,Barem!$W$2:$Y$13,2,1),VLOOKUP(I76,Barem!$W$14:$Y$25,2,1)))</f>
        <v>0</v>
      </c>
      <c r="R76" s="27">
        <f>VLOOKUP(A76,Participanti!A:C,3,0)</f>
        <v>0</v>
      </c>
      <c r="S76" s="21">
        <f>J76*M76+K76*N76+O76+P76+Q76+R76</f>
        <v>1.4369047619047619</v>
      </c>
      <c r="T76" s="82">
        <v>44459</v>
      </c>
      <c r="U76" s="143">
        <f>COUNTIFS(A:A,A76,C:C,C76)</f>
        <v>1</v>
      </c>
      <c r="V76" s="77" t="str">
        <f>VLOOKUP(A76,Data_echipe!A:U,21,0)</f>
        <v>All Stars</v>
      </c>
      <c r="X76" s="154">
        <v>1</v>
      </c>
    </row>
    <row r="77" spans="1:24" x14ac:dyDescent="0.25">
      <c r="A77" s="64" t="s">
        <v>61</v>
      </c>
      <c r="B77" s="77" t="str">
        <f>VLOOKUP(A77,Participanti!A:B,2,0)</f>
        <v>M</v>
      </c>
      <c r="C77" s="137">
        <v>3</v>
      </c>
      <c r="D77" s="66">
        <v>13.86</v>
      </c>
      <c r="E77" s="67">
        <v>4.0983796296296296E-2</v>
      </c>
      <c r="F77" s="67">
        <v>4.1574074074074076E-2</v>
      </c>
      <c r="G77" s="100">
        <f t="shared" si="27"/>
        <v>4.1278935185185189E-2</v>
      </c>
      <c r="H77" s="68">
        <v>46</v>
      </c>
      <c r="I77" s="14">
        <f t="shared" si="28"/>
        <v>2.9782781518892633E-3</v>
      </c>
      <c r="J77" s="92">
        <f t="shared" si="29"/>
        <v>3.3</v>
      </c>
      <c r="K77" s="92">
        <f>IF(J77=0,0,IF(B77="F",VLOOKUP(I77,Barem!$G$2:$H$11,2,1),VLOOKUP(I77,Barem!$G$12:$H$21,2,1)))</f>
        <v>4</v>
      </c>
      <c r="L77" s="65" t="str">
        <f>VLOOKUP(C77,Barem!L:Q,6,0)</f>
        <v>D</v>
      </c>
      <c r="M77" s="11">
        <f t="shared" si="30"/>
        <v>0.75</v>
      </c>
      <c r="N77" s="11">
        <f t="shared" si="31"/>
        <v>0.25</v>
      </c>
      <c r="O77" s="49">
        <f t="shared" si="32"/>
        <v>0</v>
      </c>
      <c r="P77" s="27">
        <f>IF(D77&gt;21,VLOOKUP(D77,Barem!$S$1:$T$141,2,1),0)</f>
        <v>0</v>
      </c>
      <c r="Q77" s="27">
        <f>IF(D77&lt;1.609,0,IF(B77="F",VLOOKUP(I77,Barem!$W$2:$Y$13,2,1),VLOOKUP(I77,Barem!$W$14:$Y$25,2,1)))</f>
        <v>0</v>
      </c>
      <c r="R77" s="27">
        <f>VLOOKUP(A77,Participanti!A:C,3,0)</f>
        <v>0</v>
      </c>
      <c r="S77" s="21">
        <f t="shared" si="33"/>
        <v>3.4749999999999996</v>
      </c>
      <c r="T77" s="82">
        <v>44465</v>
      </c>
      <c r="U77" s="143">
        <f>COUNTIFS(A:A,A77,C:C,C77)</f>
        <v>1</v>
      </c>
      <c r="V77" s="77" t="str">
        <f>VLOOKUP(A77,Data_echipe!A:U,21,0)</f>
        <v>UltraSYR</v>
      </c>
      <c r="X77" s="154">
        <v>1</v>
      </c>
    </row>
    <row r="78" spans="1:24" x14ac:dyDescent="0.25">
      <c r="A78" s="64" t="s">
        <v>153</v>
      </c>
      <c r="B78" s="77" t="str">
        <f>VLOOKUP(A78,Participanti!A:B,2,0)</f>
        <v>F</v>
      </c>
      <c r="C78" s="137">
        <v>3</v>
      </c>
      <c r="D78" s="66">
        <v>12.01</v>
      </c>
      <c r="E78" s="67">
        <v>4.4675925925925924E-2</v>
      </c>
      <c r="F78" s="67">
        <v>4.4675925925925924E-2</v>
      </c>
      <c r="G78" s="100">
        <f t="shared" si="27"/>
        <v>4.4675925925925924E-2</v>
      </c>
      <c r="H78" s="68">
        <v>40</v>
      </c>
      <c r="I78" s="14">
        <f t="shared" si="28"/>
        <v>3.7198939155641902E-3</v>
      </c>
      <c r="J78" s="92">
        <f t="shared" si="29"/>
        <v>3.0024999999999999</v>
      </c>
      <c r="K78" s="92">
        <f>IF(J78=0,0,IF(B78="F",VLOOKUP(I78,Barem!$G$2:$H$11,2,1),VLOOKUP(I78,Barem!$G$12:$H$21,2,1)))</f>
        <v>3</v>
      </c>
      <c r="L78" s="65" t="str">
        <f>VLOOKUP(C78,Barem!L:Q,6,0)</f>
        <v>D</v>
      </c>
      <c r="M78" s="11">
        <f t="shared" si="30"/>
        <v>0.75</v>
      </c>
      <c r="N78" s="11">
        <f t="shared" si="31"/>
        <v>0.25</v>
      </c>
      <c r="O78" s="49">
        <f t="shared" si="32"/>
        <v>0</v>
      </c>
      <c r="P78" s="27">
        <f>IF(D78&gt;21,VLOOKUP(D78,Barem!$S$1:$T$141,2,1),0)</f>
        <v>0</v>
      </c>
      <c r="Q78" s="27">
        <f>IF(D78&lt;1.609,0,IF(B78="F",VLOOKUP(I78,Barem!$W$2:$Y$13,2,1),VLOOKUP(I78,Barem!$W$14:$Y$25,2,1)))</f>
        <v>0</v>
      </c>
      <c r="R78" s="27">
        <f>VLOOKUP(A78,Participanti!A:C,3,0)</f>
        <v>0</v>
      </c>
      <c r="S78" s="21">
        <f t="shared" si="33"/>
        <v>3.0018750000000001</v>
      </c>
      <c r="T78" s="82">
        <v>44463</v>
      </c>
      <c r="U78" s="143">
        <f>COUNTIFS(A:A,A78,C:C,C78)</f>
        <v>1</v>
      </c>
      <c r="V78" s="77" t="str">
        <f>VLOOKUP(A78,Data_echipe!A:U,21,0)</f>
        <v>All Stars</v>
      </c>
      <c r="X78" s="154">
        <v>1</v>
      </c>
    </row>
    <row r="79" spans="1:24" x14ac:dyDescent="0.25">
      <c r="A79" s="64" t="s">
        <v>52</v>
      </c>
      <c r="B79" s="77" t="str">
        <f>VLOOKUP(A79,Participanti!A:B,2,0)</f>
        <v>M</v>
      </c>
      <c r="C79" s="137">
        <v>3</v>
      </c>
      <c r="D79" s="66">
        <v>21.11</v>
      </c>
      <c r="E79" s="67">
        <v>8.2141203703703702E-2</v>
      </c>
      <c r="F79" s="67">
        <v>8.2881944444444453E-2</v>
      </c>
      <c r="G79" s="100">
        <f t="shared" si="27"/>
        <v>8.2511574074074084E-2</v>
      </c>
      <c r="H79" s="68">
        <v>58</v>
      </c>
      <c r="I79" s="14">
        <f t="shared" si="28"/>
        <v>3.9086487008088153E-3</v>
      </c>
      <c r="J79" s="92">
        <f t="shared" si="29"/>
        <v>5</v>
      </c>
      <c r="K79" s="92">
        <f>IF(J79=0,0,IF(B79="F",VLOOKUP(I79,Barem!$G$2:$H$11,2,1),VLOOKUP(I79,Barem!$G$12:$H$21,2,1)))</f>
        <v>1.5</v>
      </c>
      <c r="L79" s="65" t="str">
        <f>VLOOKUP(C79,Barem!L:Q,6,0)</f>
        <v>D</v>
      </c>
      <c r="M79" s="11">
        <f t="shared" si="30"/>
        <v>0.75</v>
      </c>
      <c r="N79" s="11">
        <f t="shared" si="31"/>
        <v>0.25</v>
      </c>
      <c r="O79" s="49">
        <f t="shared" si="32"/>
        <v>3.8666666666666669E-2</v>
      </c>
      <c r="P79" s="27">
        <f>IF(D79&gt;21,VLOOKUP(D79,Barem!$S$1:$T$141,2,1),0)</f>
        <v>0</v>
      </c>
      <c r="Q79" s="27">
        <f>IF(D79&lt;1.609,0,IF(B79="F",VLOOKUP(I79,Barem!$W$2:$Y$13,2,1),VLOOKUP(I79,Barem!$W$14:$Y$25,2,1)))</f>
        <v>0</v>
      </c>
      <c r="R79" s="27">
        <f>VLOOKUP(A79,Participanti!A:C,3,0)</f>
        <v>0</v>
      </c>
      <c r="S79" s="21">
        <f t="shared" si="33"/>
        <v>4.1636666666666668</v>
      </c>
      <c r="T79" s="82">
        <v>44465</v>
      </c>
      <c r="U79" s="143">
        <f>COUNTIFS(A:A,A79,C:C,C79)</f>
        <v>1</v>
      </c>
      <c r="V79" s="77" t="e">
        <f>VLOOKUP(A79,Data_echipe!A:U,21,0)</f>
        <v>#N/A</v>
      </c>
      <c r="X79" s="154">
        <v>1</v>
      </c>
    </row>
    <row r="80" spans="1:24" x14ac:dyDescent="0.25">
      <c r="A80" s="64" t="s">
        <v>53</v>
      </c>
      <c r="B80" s="77" t="str">
        <f>VLOOKUP(A80,Participanti!A:B,2,0)</f>
        <v>M</v>
      </c>
      <c r="C80" s="137">
        <v>3</v>
      </c>
      <c r="D80" s="66">
        <v>5.93</v>
      </c>
      <c r="E80" s="67">
        <v>1.5428240740740741E-2</v>
      </c>
      <c r="F80" s="67">
        <v>1.5428240740740741E-2</v>
      </c>
      <c r="G80" s="100">
        <f t="shared" si="27"/>
        <v>1.5428240740740741E-2</v>
      </c>
      <c r="H80" s="68">
        <v>30</v>
      </c>
      <c r="I80" s="14">
        <f t="shared" si="28"/>
        <v>2.6017269377303105E-3</v>
      </c>
      <c r="J80" s="92">
        <f t="shared" si="29"/>
        <v>1.4119047619047618</v>
      </c>
      <c r="K80" s="92">
        <f>IF(J80=0,0,IF(B80="F",VLOOKUP(I80,Barem!$G$2:$H$11,2,1),VLOOKUP(I80,Barem!$G$12:$H$21,2,1)))</f>
        <v>5</v>
      </c>
      <c r="L80" s="110" t="s">
        <v>110</v>
      </c>
      <c r="M80" s="11">
        <f t="shared" si="30"/>
        <v>0.25</v>
      </c>
      <c r="N80" s="11">
        <f t="shared" si="31"/>
        <v>0.75</v>
      </c>
      <c r="O80" s="49">
        <f t="shared" si="32"/>
        <v>0</v>
      </c>
      <c r="P80" s="27">
        <f>IF(D80&gt;21,VLOOKUP(D80,Barem!$S$1:$T$141,2,1),0)</f>
        <v>0</v>
      </c>
      <c r="Q80" s="27">
        <f>IF(D80&lt;1.609,0,IF(B80="F",VLOOKUP(I80,Barem!$W$2:$Y$13,2,1),VLOOKUP(I80,Barem!$W$14:$Y$25,2,1)))</f>
        <v>1.4999999999999998</v>
      </c>
      <c r="R80" s="27">
        <f>VLOOKUP(A80,Participanti!A:C,3,0)</f>
        <v>0</v>
      </c>
      <c r="S80" s="21">
        <f t="shared" si="33"/>
        <v>5.6029761904761903</v>
      </c>
      <c r="T80" s="82">
        <v>44465</v>
      </c>
      <c r="U80" s="143">
        <f>COUNTIFS(A:A,A80,C:C,C80)</f>
        <v>1</v>
      </c>
      <c r="V80" s="77" t="str">
        <f>VLOOKUP(A80,Data_echipe!A:U,21,0)</f>
        <v>UltraSYR</v>
      </c>
      <c r="X80" s="154">
        <v>1</v>
      </c>
    </row>
    <row r="81" spans="1:24" x14ac:dyDescent="0.25">
      <c r="A81" s="64" t="s">
        <v>154</v>
      </c>
      <c r="B81" s="77" t="str">
        <f>VLOOKUP(A81,Participanti!A:B,2,0)</f>
        <v>M</v>
      </c>
      <c r="C81" s="137">
        <v>3</v>
      </c>
      <c r="D81" s="66">
        <v>21.61</v>
      </c>
      <c r="E81" s="67">
        <v>7.5729166666666667E-2</v>
      </c>
      <c r="F81" s="67">
        <v>7.5821759259259255E-2</v>
      </c>
      <c r="G81" s="100">
        <f t="shared" si="27"/>
        <v>7.5775462962962961E-2</v>
      </c>
      <c r="H81" s="68">
        <v>34</v>
      </c>
      <c r="I81" s="14">
        <f t="shared" si="28"/>
        <v>3.5064999057363702E-3</v>
      </c>
      <c r="J81" s="92">
        <f t="shared" si="29"/>
        <v>5</v>
      </c>
      <c r="K81" s="92">
        <f>IF(J81=0,0,IF(B81="F",VLOOKUP(I81,Barem!$G$2:$H$11,2,1),VLOOKUP(I81,Barem!$G$12:$H$21,2,1)))</f>
        <v>2.5</v>
      </c>
      <c r="L81" s="65" t="str">
        <f>VLOOKUP(C81,Barem!L:Q,6,0)</f>
        <v>D</v>
      </c>
      <c r="M81" s="11">
        <f t="shared" si="30"/>
        <v>0.75</v>
      </c>
      <c r="N81" s="11">
        <f t="shared" si="31"/>
        <v>0.25</v>
      </c>
      <c r="O81" s="49">
        <f t="shared" si="32"/>
        <v>0</v>
      </c>
      <c r="P81" s="27">
        <f>IF(D81&gt;21,VLOOKUP(D81,Barem!$S$1:$T$141,2,1),0)</f>
        <v>0</v>
      </c>
      <c r="Q81" s="27">
        <f>IF(D81&lt;1.609,0,IF(B81="F",VLOOKUP(I81,Barem!$W$2:$Y$13,2,1),VLOOKUP(I81,Barem!$W$14:$Y$25,2,1)))</f>
        <v>0</v>
      </c>
      <c r="R81" s="27">
        <f>VLOOKUP(A81,Participanti!A:C,3,0)</f>
        <v>0</v>
      </c>
      <c r="S81" s="21">
        <f t="shared" si="33"/>
        <v>4.375</v>
      </c>
      <c r="T81" s="82">
        <v>44465</v>
      </c>
      <c r="U81" s="143">
        <f>COUNTIFS(A:A,A81,C:C,C81)</f>
        <v>1</v>
      </c>
      <c r="V81" s="77" t="str">
        <f>VLOOKUP(A81,Data_echipe!A:U,21,0)</f>
        <v>All Stars</v>
      </c>
      <c r="X81" s="154">
        <v>1</v>
      </c>
    </row>
    <row r="82" spans="1:24" x14ac:dyDescent="0.25">
      <c r="A82" s="64" t="s">
        <v>152</v>
      </c>
      <c r="B82" s="77" t="str">
        <f>VLOOKUP(A82,Participanti!A:B,2,0)</f>
        <v>F</v>
      </c>
      <c r="C82" s="137">
        <v>3</v>
      </c>
      <c r="D82" s="66">
        <v>2.52</v>
      </c>
      <c r="E82" s="67">
        <v>7.1296296296296307E-3</v>
      </c>
      <c r="F82" s="67">
        <v>7.1296296296296307E-3</v>
      </c>
      <c r="G82" s="100">
        <f t="shared" si="27"/>
        <v>7.1296296296296307E-3</v>
      </c>
      <c r="H82" s="68">
        <v>0</v>
      </c>
      <c r="I82" s="14">
        <f t="shared" si="28"/>
        <v>2.8292181069958853E-3</v>
      </c>
      <c r="J82" s="92">
        <f t="shared" si="29"/>
        <v>0.63</v>
      </c>
      <c r="K82" s="92">
        <f>IF(J82=0,0,IF(B82="F",VLOOKUP(I82,Barem!$G$2:$H$11,2,1),VLOOKUP(I82,Barem!$G$12:$H$21,2,1)))</f>
        <v>5</v>
      </c>
      <c r="L82" s="110" t="s">
        <v>110</v>
      </c>
      <c r="M82" s="11">
        <f t="shared" si="30"/>
        <v>0.25</v>
      </c>
      <c r="N82" s="11">
        <f t="shared" si="31"/>
        <v>0.75</v>
      </c>
      <c r="O82" s="49">
        <f t="shared" si="32"/>
        <v>0</v>
      </c>
      <c r="P82" s="27">
        <f>IF(D82&gt;21,VLOOKUP(D82,Barem!$S$1:$T$141,2,1),0)</f>
        <v>0</v>
      </c>
      <c r="Q82" s="27">
        <f>IF(D82&lt;1.609,0,IF(B82="F",VLOOKUP(I82,Barem!$W$2:$Y$13,2,1),VLOOKUP(I82,Barem!$W$14:$Y$25,2,1)))</f>
        <v>3.1500000000000004</v>
      </c>
      <c r="R82" s="27">
        <f>VLOOKUP(A82,Participanti!A:C,3,0)</f>
        <v>0</v>
      </c>
      <c r="S82" s="21">
        <f t="shared" si="33"/>
        <v>7.057500000000001</v>
      </c>
      <c r="T82" s="82">
        <v>44465</v>
      </c>
      <c r="U82" s="143">
        <f>COUNTIFS(A:A,A82,C:C,C82)</f>
        <v>1</v>
      </c>
      <c r="V82" s="77" t="str">
        <f>VLOOKUP(A82,Data_echipe!A:U,21,0)</f>
        <v>All Stars</v>
      </c>
      <c r="X82" s="154">
        <v>1</v>
      </c>
    </row>
    <row r="83" spans="1:24" x14ac:dyDescent="0.25">
      <c r="A83" s="64" t="s">
        <v>117</v>
      </c>
      <c r="B83" s="77" t="str">
        <f>VLOOKUP(A83,Participanti!A:B,2,0)</f>
        <v>M</v>
      </c>
      <c r="C83" s="137">
        <v>3</v>
      </c>
      <c r="D83" s="66">
        <v>5.01</v>
      </c>
      <c r="E83" s="67">
        <v>1.9293981481481485E-2</v>
      </c>
      <c r="F83" s="67">
        <v>1.9328703703703702E-2</v>
      </c>
      <c r="G83" s="100">
        <f>AVERAGE(E83:F83)</f>
        <v>1.9311342592592595E-2</v>
      </c>
      <c r="H83" s="68">
        <v>3</v>
      </c>
      <c r="I83" s="14">
        <f>G83/D83</f>
        <v>3.8545593997190812E-3</v>
      </c>
      <c r="J83" s="92">
        <f>IF(B83="F",IF(D83&lt;2.5,0,IF(D83&gt;19.99,5,D83/4)),IF(D83&lt;3,0, IF(D83&gt;20.99,5,D83/4.2)))</f>
        <v>1.1928571428571428</v>
      </c>
      <c r="K83" s="92">
        <f>IF(J83=0,0,IF(B83="F",VLOOKUP(I83,Barem!$G$2:$H$11,2,1),VLOOKUP(I83,Barem!$G$12:$H$21,2,1)))</f>
        <v>1.5</v>
      </c>
      <c r="L83" s="110" t="s">
        <v>110</v>
      </c>
      <c r="M83" s="11">
        <f>IF(OR(L83="P1",L83="P2",L83="P3"),"",IF(C83=15,0.5,IF(L83="D",0.75,0.25)))</f>
        <v>0.25</v>
      </c>
      <c r="N83" s="11">
        <f>IF(OR(L83="P1",L83="P2",L83="P3"),"",IF(C83=15,0.5,IF(L83="V",0.75,0.25)))</f>
        <v>0.75</v>
      </c>
      <c r="O83" s="49">
        <f>IF(H83&lt;-49,H83/1500,IF(H83&gt;49,H83/1500,0))</f>
        <v>0</v>
      </c>
      <c r="P83" s="27">
        <f>IF(D83&gt;21,VLOOKUP(D83,Barem!$S$1:$T$141,2,1),0)</f>
        <v>0</v>
      </c>
      <c r="Q83" s="27">
        <f>IF(D83&lt;1.609,0,IF(B83="F",VLOOKUP(I83,Barem!$W$2:$Y$13,2,1),VLOOKUP(I83,Barem!$W$14:$Y$25,2,1)))</f>
        <v>0</v>
      </c>
      <c r="R83" s="27">
        <f>VLOOKUP(A83,Participanti!A:C,3,0)</f>
        <v>0</v>
      </c>
      <c r="S83" s="21">
        <f>J83*M83+K83*N83+O83+P83+Q83+R83</f>
        <v>1.4232142857142858</v>
      </c>
      <c r="T83" s="82">
        <v>44465</v>
      </c>
      <c r="U83" s="143">
        <f>COUNTIFS(A:A,A83,C:C,C83)</f>
        <v>1</v>
      </c>
      <c r="V83" s="77" t="str">
        <f>VLOOKUP(A83,Data_echipe!A:U,21,0)</f>
        <v>UltraSYR</v>
      </c>
      <c r="X83" s="154">
        <v>1</v>
      </c>
    </row>
    <row r="84" spans="1:24" x14ac:dyDescent="0.25">
      <c r="A84" s="64" t="s">
        <v>239</v>
      </c>
      <c r="B84" s="77" t="str">
        <f>VLOOKUP(A84,Participanti!A:B,2,0)</f>
        <v>M</v>
      </c>
      <c r="C84" s="137">
        <v>3</v>
      </c>
      <c r="D84" s="66">
        <v>13.6</v>
      </c>
      <c r="E84" s="67">
        <v>4.7939814814814817E-2</v>
      </c>
      <c r="F84" s="67">
        <v>4.8611111111111112E-2</v>
      </c>
      <c r="G84" s="100">
        <f>AVERAGE(E84:F84)</f>
        <v>4.8275462962962964E-2</v>
      </c>
      <c r="H84" s="68">
        <v>13</v>
      </c>
      <c r="I84" s="14">
        <f>G84/D84</f>
        <v>3.5496663943355121E-3</v>
      </c>
      <c r="J84" s="92">
        <f>IF(B84="F",IF(D84&lt;2.5,0,IF(D84&gt;19.99,5,D84/4)),IF(D84&lt;3,0, IF(D84&gt;20.99,5,D84/4.2)))</f>
        <v>3.2380952380952377</v>
      </c>
      <c r="K84" s="92">
        <f>IF(J84=0,0,IF(B84="F",VLOOKUP(I84,Barem!$G$2:$H$11,2,1),VLOOKUP(I84,Barem!$G$12:$H$21,2,1)))</f>
        <v>2.5</v>
      </c>
      <c r="L84" s="65" t="str">
        <f>VLOOKUP(C84,Barem!L:Q,6,0)</f>
        <v>D</v>
      </c>
      <c r="M84" s="11">
        <f>IF(OR(L84="P1",L84="P2",L84="P3"),"",IF(C84=15,0.5,IF(L84="D",0.75,0.25)))</f>
        <v>0.75</v>
      </c>
      <c r="N84" s="11">
        <f>IF(OR(L84="P1",L84="P2",L84="P3"),"",IF(C84=15,0.5,IF(L84="V",0.75,0.25)))</f>
        <v>0.25</v>
      </c>
      <c r="O84" s="49">
        <f>IF(H84&lt;-49,H84/1500,IF(H84&gt;49,H84/1500,0))</f>
        <v>0</v>
      </c>
      <c r="P84" s="27">
        <f>IF(D84&gt;21,VLOOKUP(D84,Barem!$S$1:$T$141,2,1),0)</f>
        <v>0</v>
      </c>
      <c r="Q84" s="27">
        <f>IF(D84&lt;1.609,0,IF(B84="F",VLOOKUP(I84,Barem!$W$2:$Y$13,2,1),VLOOKUP(I84,Barem!$W$14:$Y$25,2,1)))</f>
        <v>0</v>
      </c>
      <c r="R84" s="27">
        <f>VLOOKUP(A84,Participanti!A:C,3,0)</f>
        <v>0</v>
      </c>
      <c r="S84" s="21">
        <f>J84*M84+K84*N84+O84+P84+Q84+R84</f>
        <v>3.0535714285714284</v>
      </c>
      <c r="T84" s="82">
        <v>44464</v>
      </c>
      <c r="U84" s="143">
        <f>COUNTIFS(A:A,A84,C:C,C84)</f>
        <v>1</v>
      </c>
      <c r="V84" s="77" t="str">
        <f>VLOOKUP(A84,Data_echipe!A:U,21,0)</f>
        <v>All Stars</v>
      </c>
      <c r="X84" s="154">
        <v>1</v>
      </c>
    </row>
    <row r="85" spans="1:24" x14ac:dyDescent="0.25">
      <c r="A85" s="64" t="s">
        <v>60</v>
      </c>
      <c r="B85" s="77" t="str">
        <f>VLOOKUP(A85,Participanti!A:B,2,0)</f>
        <v>M</v>
      </c>
      <c r="C85" s="137">
        <v>3</v>
      </c>
      <c r="D85" s="66">
        <v>10.029999999999999</v>
      </c>
      <c r="E85" s="67">
        <v>4.4525462962962968E-2</v>
      </c>
      <c r="F85" s="67">
        <v>4.5370370370370366E-2</v>
      </c>
      <c r="G85" s="100">
        <f>AVERAGE(E85:F85)</f>
        <v>4.4947916666666671E-2</v>
      </c>
      <c r="H85" s="68">
        <v>0</v>
      </c>
      <c r="I85" s="14">
        <f>G85/D85</f>
        <v>4.4813476237952812E-3</v>
      </c>
      <c r="J85" s="92">
        <f>IF(B85="F",IF(D85&lt;2.5,0,IF(D85&gt;19.99,5,D85/4)),IF(D85&lt;3,0, IF(D85&gt;20.99,5,D85/4.2)))</f>
        <v>2.388095238095238</v>
      </c>
      <c r="K85" s="92">
        <f>IF(J85=0,0,IF(B85="F",VLOOKUP(I85,Barem!$G$2:$H$11,2,1),VLOOKUP(I85,Barem!$G$12:$H$21,2,1)))</f>
        <v>1</v>
      </c>
      <c r="L85" s="65" t="str">
        <f>VLOOKUP(C85,Barem!L:Q,6,0)</f>
        <v>D</v>
      </c>
      <c r="M85" s="11">
        <f>IF(OR(L85="P1",L85="P2",L85="P3"),"",IF(C85=15,0.5,IF(L85="D",0.75,0.25)))</f>
        <v>0.75</v>
      </c>
      <c r="N85" s="11">
        <f>IF(OR(L85="P1",L85="P2",L85="P3"),"",IF(C85=15,0.5,IF(L85="V",0.75,0.25)))</f>
        <v>0.25</v>
      </c>
      <c r="O85" s="49">
        <f>IF(H85&lt;-49,H85/1500,IF(H85&gt;49,H85/1500,0))</f>
        <v>0</v>
      </c>
      <c r="P85" s="27">
        <f>IF(D85&gt;21,VLOOKUP(D85,Barem!$S$1:$T$141,2,1),0)</f>
        <v>0</v>
      </c>
      <c r="Q85" s="27">
        <f>IF(D85&lt;1.609,0,IF(B85="F",VLOOKUP(I85,Barem!$W$2:$Y$13,2,1),VLOOKUP(I85,Barem!$W$14:$Y$25,2,1)))</f>
        <v>0</v>
      </c>
      <c r="R85" s="27">
        <f>VLOOKUP(A85,Participanti!A:C,3,0)</f>
        <v>0</v>
      </c>
      <c r="S85" s="21">
        <f>J85*M85+K85*N85+O85+P85+Q85+R85</f>
        <v>2.0410714285714286</v>
      </c>
      <c r="T85" s="82">
        <v>44459</v>
      </c>
      <c r="U85" s="143">
        <f>COUNTIFS(A:A,A85,C:C,C85)</f>
        <v>1</v>
      </c>
      <c r="V85" s="77" t="e">
        <f>VLOOKUP(A85,Data_echipe!A:U,21,0)</f>
        <v>#N/A</v>
      </c>
      <c r="X85" s="154">
        <v>1</v>
      </c>
    </row>
    <row r="86" spans="1:24" x14ac:dyDescent="0.25">
      <c r="A86" s="64" t="s">
        <v>127</v>
      </c>
      <c r="B86" s="77" t="str">
        <f>VLOOKUP(A86,Participanti!A:B,2,0)</f>
        <v>M</v>
      </c>
      <c r="C86" s="137">
        <v>3</v>
      </c>
      <c r="D86" s="66">
        <v>19.010000000000002</v>
      </c>
      <c r="E86" s="67">
        <v>6.0243055555555557E-2</v>
      </c>
      <c r="F86" s="67">
        <v>6.1932870370370374E-2</v>
      </c>
      <c r="G86" s="100">
        <f>AVERAGE(E86:F86)</f>
        <v>6.1087962962962969E-2</v>
      </c>
      <c r="H86" s="68">
        <v>53</v>
      </c>
      <c r="I86" s="14">
        <f>G86/D86</f>
        <v>3.2134646482358214E-3</v>
      </c>
      <c r="J86" s="92">
        <f>IF(B86="F",IF(D86&lt;2.5,0,IF(D86&gt;19.99,5,D86/4)),IF(D86&lt;3,0, IF(D86&gt;20.99,5,D86/4.2)))</f>
        <v>4.5261904761904761</v>
      </c>
      <c r="K86" s="92">
        <f>IF(J86=0,0,IF(B86="F",VLOOKUP(I86,Barem!$G$2:$H$11,2,1),VLOOKUP(I86,Barem!$G$12:$H$21,2,1)))</f>
        <v>3.5</v>
      </c>
      <c r="L86" s="65" t="str">
        <f>VLOOKUP(C86,Barem!L:Q,6,0)</f>
        <v>D</v>
      </c>
      <c r="M86" s="11">
        <f>IF(OR(L86="P1",L86="P2",L86="P3"),"",IF(C86=15,0.5,IF(L86="D",0.75,0.25)))</f>
        <v>0.75</v>
      </c>
      <c r="N86" s="11">
        <f>IF(OR(L86="P1",L86="P2",L86="P3"),"",IF(C86=15,0.5,IF(L86="V",0.75,0.25)))</f>
        <v>0.25</v>
      </c>
      <c r="O86" s="49">
        <f>IF(H86&lt;-49,H86/1500,IF(H86&gt;49,H86/1500,0))</f>
        <v>3.5333333333333335E-2</v>
      </c>
      <c r="P86" s="27">
        <f>IF(D86&gt;21,VLOOKUP(D86,Barem!$S$1:$T$141,2,1),0)</f>
        <v>0</v>
      </c>
      <c r="Q86" s="27">
        <f>IF(D86&lt;1.609,0,IF(B86="F",VLOOKUP(I86,Barem!$W$2:$Y$13,2,1),VLOOKUP(I86,Barem!$W$14:$Y$25,2,1)))</f>
        <v>0</v>
      </c>
      <c r="R86" s="27">
        <f>VLOOKUP(A86,Participanti!A:C,3,0)</f>
        <v>0</v>
      </c>
      <c r="S86" s="21">
        <f>J86*M86+K86*N86+O86+P86+Q86+R86</f>
        <v>4.3049761904761903</v>
      </c>
      <c r="T86" s="82">
        <v>44465</v>
      </c>
      <c r="U86" s="143">
        <f>COUNTIFS(A:A,A86,C:C,C86)</f>
        <v>1</v>
      </c>
      <c r="V86" s="77" t="e">
        <f>VLOOKUP(A86,Data_echipe!A:U,21,0)</f>
        <v>#N/A</v>
      </c>
      <c r="X86" s="154">
        <v>1</v>
      </c>
    </row>
    <row r="87" spans="1:24" x14ac:dyDescent="0.25">
      <c r="A87" s="64" t="s">
        <v>240</v>
      </c>
      <c r="B87" s="77" t="str">
        <f>VLOOKUP(A87,Participanti!A:B,2,0)</f>
        <v>M</v>
      </c>
      <c r="C87" s="137">
        <v>3</v>
      </c>
      <c r="D87" s="66">
        <v>10.07</v>
      </c>
      <c r="E87" s="67">
        <v>2.9513888888888892E-2</v>
      </c>
      <c r="F87" s="67">
        <v>2.9571759259259259E-2</v>
      </c>
      <c r="G87" s="100">
        <f>AVERAGE(E87:F87)</f>
        <v>2.9542824074074076E-2</v>
      </c>
      <c r="H87" s="68">
        <v>23</v>
      </c>
      <c r="I87" s="14">
        <f>G87/D87</f>
        <v>2.9337461841185773E-3</v>
      </c>
      <c r="J87" s="92">
        <f>IF(B87="F",IF(D87&lt;2.5,0,IF(D87&gt;19.99,5,D87/4)),IF(D87&lt;3,0, IF(D87&gt;20.99,5,D87/4.2)))</f>
        <v>2.3976190476190475</v>
      </c>
      <c r="K87" s="92">
        <f>IF(J87=0,0,IF(B87="F",VLOOKUP(I87,Barem!$G$2:$H$11,2,1),VLOOKUP(I87,Barem!$G$12:$H$21,2,1)))</f>
        <v>4.5</v>
      </c>
      <c r="L87" s="110" t="s">
        <v>110</v>
      </c>
      <c r="M87" s="11">
        <f>IF(OR(L87="P1",L87="P2",L87="P3"),"",IF(C87=15,0.5,IF(L87="D",0.75,0.25)))</f>
        <v>0.25</v>
      </c>
      <c r="N87" s="11">
        <f>IF(OR(L87="P1",L87="P2",L87="P3"),"",IF(C87=15,0.5,IF(L87="V",0.75,0.25)))</f>
        <v>0.75</v>
      </c>
      <c r="O87" s="49">
        <f>IF(H87&lt;-49,H87/1500,IF(H87&gt;49,H87/1500,0))</f>
        <v>0</v>
      </c>
      <c r="P87" s="27">
        <f>IF(D87&gt;21,VLOOKUP(D87,Barem!$S$1:$T$141,2,1),0)</f>
        <v>0</v>
      </c>
      <c r="Q87" s="27">
        <f>IF(D87&lt;1.609,0,IF(B87="F",VLOOKUP(I87,Barem!$W$2:$Y$13,2,1),VLOOKUP(I87,Barem!$W$14:$Y$25,2,1)))</f>
        <v>0</v>
      </c>
      <c r="R87" s="27">
        <f>VLOOKUP(A87,Participanti!A:C,3,0)</f>
        <v>0</v>
      </c>
      <c r="S87" s="21">
        <f>J87*M87+K87*N87+O87+P87+Q87+R87</f>
        <v>3.9744047619047618</v>
      </c>
      <c r="T87" s="82">
        <v>44465</v>
      </c>
      <c r="U87" s="143">
        <f>COUNTIFS(A:A,A87,C:C,C87)</f>
        <v>1</v>
      </c>
      <c r="V87" s="77" t="str">
        <f>VLOOKUP(A87,Data_echipe!A:U,21,0)</f>
        <v>All Stars</v>
      </c>
      <c r="X87" s="154">
        <v>1</v>
      </c>
    </row>
    <row r="88" spans="1:24" x14ac:dyDescent="0.25">
      <c r="A88" s="64" t="s">
        <v>202</v>
      </c>
      <c r="B88" s="77" t="str">
        <f>VLOOKUP(A88,Participanti!A:B,2,0)</f>
        <v>F</v>
      </c>
      <c r="C88" s="137">
        <v>3</v>
      </c>
      <c r="D88" s="66"/>
      <c r="E88" s="67"/>
      <c r="F88" s="67"/>
      <c r="G88" s="100"/>
      <c r="H88" s="68"/>
      <c r="I88" s="14"/>
      <c r="J88" s="92"/>
      <c r="K88" s="92"/>
      <c r="L88" s="65"/>
      <c r="M88" s="11"/>
      <c r="N88" s="11"/>
      <c r="O88" s="49"/>
      <c r="S88" s="128">
        <v>1.5</v>
      </c>
      <c r="T88" s="82"/>
      <c r="U88" s="143">
        <f>COUNTIFS(A:A,A88,C:C,C88)</f>
        <v>1</v>
      </c>
      <c r="V88" s="77" t="e">
        <f>VLOOKUP(A88,Data_echipe!A:U,21,0)</f>
        <v>#N/A</v>
      </c>
      <c r="X88" s="154"/>
    </row>
    <row r="89" spans="1:24" x14ac:dyDescent="0.25">
      <c r="A89" s="64" t="s">
        <v>241</v>
      </c>
      <c r="B89" s="77" t="str">
        <f>VLOOKUP(A89,Participanti!A:B,2,0)</f>
        <v>M</v>
      </c>
      <c r="C89" s="137">
        <v>3</v>
      </c>
      <c r="D89" s="66">
        <v>21.36</v>
      </c>
      <c r="E89" s="67">
        <v>6.6134259259259254E-2</v>
      </c>
      <c r="F89" s="67">
        <v>6.6643518518518519E-2</v>
      </c>
      <c r="G89" s="100">
        <f t="shared" ref="G89:G96" si="34">AVERAGE(E89:F89)</f>
        <v>6.6388888888888886E-2</v>
      </c>
      <c r="H89" s="68">
        <v>43</v>
      </c>
      <c r="I89" s="14">
        <f t="shared" ref="I89:I96" si="35">G89/D89</f>
        <v>3.108094049105285E-3</v>
      </c>
      <c r="J89" s="92">
        <f t="shared" ref="J89:J96" si="36">IF(B89="F",IF(D89&lt;2.5,0,IF(D89&gt;19.99,5,D89/4)),IF(D89&lt;3,0, IF(D89&gt;20.99,5,D89/4.2)))</f>
        <v>5</v>
      </c>
      <c r="K89" s="92">
        <f>IF(J89=0,0,IF(B89="F",VLOOKUP(I89,Barem!$G$2:$H$11,2,1),VLOOKUP(I89,Barem!$G$12:$H$21,2,1)))</f>
        <v>4</v>
      </c>
      <c r="L89" s="65" t="str">
        <f>VLOOKUP(C89,Barem!L:Q,6,0)</f>
        <v>D</v>
      </c>
      <c r="M89" s="11">
        <f t="shared" ref="M89:M96" si="37">IF(OR(L89="P1",L89="P2",L89="P3"),"",IF(C89=15,0.5,IF(L89="D",0.75,0.25)))</f>
        <v>0.75</v>
      </c>
      <c r="N89" s="11">
        <f t="shared" ref="N89:N96" si="38">IF(OR(L89="P1",L89="P2",L89="P3"),"",IF(C89=15,0.5,IF(L89="V",0.75,0.25)))</f>
        <v>0.25</v>
      </c>
      <c r="O89" s="49">
        <f t="shared" ref="O89:O96" si="39">IF(H89&lt;-49,H89/1500,IF(H89&gt;49,H89/1500,0))</f>
        <v>0</v>
      </c>
      <c r="P89" s="27">
        <f>IF(D89&gt;21,VLOOKUP(D89,Barem!$S$1:$T$141,2,1),0)</f>
        <v>0</v>
      </c>
      <c r="Q89" s="27">
        <f>IF(D89&lt;1.609,0,IF(B89="F",VLOOKUP(I89,Barem!$W$2:$Y$13,2,1),VLOOKUP(I89,Barem!$W$14:$Y$25,2,1)))</f>
        <v>0</v>
      </c>
      <c r="R89" s="27">
        <f>VLOOKUP(A89,Participanti!A:C,3,0)</f>
        <v>0</v>
      </c>
      <c r="S89" s="21">
        <f t="shared" si="33"/>
        <v>4.75</v>
      </c>
      <c r="T89" s="82">
        <v>44465</v>
      </c>
      <c r="U89" s="143">
        <f>COUNTIFS(A:A,A89,C:C,C89)</f>
        <v>1</v>
      </c>
      <c r="V89" s="77" t="e">
        <f>VLOOKUP(A89,Data_echipe!A:U,21,0)</f>
        <v>#N/A</v>
      </c>
      <c r="X89" s="154">
        <v>1</v>
      </c>
    </row>
    <row r="90" spans="1:24" x14ac:dyDescent="0.25">
      <c r="A90" s="64" t="s">
        <v>242</v>
      </c>
      <c r="B90" s="77" t="str">
        <f>VLOOKUP(A90,Participanti!A:B,2,0)</f>
        <v>M</v>
      </c>
      <c r="C90" s="137">
        <v>3</v>
      </c>
      <c r="D90" s="66">
        <v>4.82</v>
      </c>
      <c r="E90" s="67">
        <v>1.1412037037037038E-2</v>
      </c>
      <c r="F90" s="67">
        <v>1.1412037037037038E-2</v>
      </c>
      <c r="G90" s="100">
        <f t="shared" si="34"/>
        <v>1.1412037037037038E-2</v>
      </c>
      <c r="H90" s="68">
        <v>27</v>
      </c>
      <c r="I90" s="14">
        <f t="shared" si="35"/>
        <v>2.3676425388043645E-3</v>
      </c>
      <c r="J90" s="92">
        <f t="shared" si="36"/>
        <v>1.1476190476190475</v>
      </c>
      <c r="K90" s="92">
        <f>IF(J90=0,0,IF(B90="F",VLOOKUP(I90,Barem!$G$2:$H$11,2,1),VLOOKUP(I90,Barem!$G$12:$H$21,2,1)))</f>
        <v>5</v>
      </c>
      <c r="L90" s="110" t="s">
        <v>110</v>
      </c>
      <c r="M90" s="11">
        <f t="shared" si="37"/>
        <v>0.25</v>
      </c>
      <c r="N90" s="11">
        <f t="shared" si="38"/>
        <v>0.75</v>
      </c>
      <c r="O90" s="49">
        <f t="shared" si="39"/>
        <v>0</v>
      </c>
      <c r="P90" s="27">
        <f>IF(D90&gt;21,VLOOKUP(D90,Barem!$S$1:$T$141,2,1),0)</f>
        <v>0</v>
      </c>
      <c r="Q90" s="27">
        <f>IF(D90&lt;1.609,0,IF(B90="F",VLOOKUP(I90,Barem!$W$2:$Y$13,2,1),VLOOKUP(I90,Barem!$W$14:$Y$25,2,1)))</f>
        <v>5.4</v>
      </c>
      <c r="R90" s="27">
        <f>VLOOKUP(A90,Participanti!A:C,3,0)</f>
        <v>0</v>
      </c>
      <c r="S90" s="21">
        <f t="shared" si="33"/>
        <v>9.4369047619047635</v>
      </c>
      <c r="T90" s="82">
        <v>44464</v>
      </c>
      <c r="U90" s="143">
        <f>COUNTIFS(A:A,A90,C:C,C90)</f>
        <v>1</v>
      </c>
      <c r="V90" s="77" t="str">
        <f>VLOOKUP(A90,Data_echipe!A:U,21,0)</f>
        <v>All Stars</v>
      </c>
      <c r="X90" s="154">
        <v>1</v>
      </c>
    </row>
    <row r="91" spans="1:24" x14ac:dyDescent="0.25">
      <c r="A91" s="64" t="s">
        <v>203</v>
      </c>
      <c r="B91" s="77" t="str">
        <f>VLOOKUP(A91,Participanti!A:B,2,0)</f>
        <v>M</v>
      </c>
      <c r="C91" s="137">
        <v>3</v>
      </c>
      <c r="D91" s="66">
        <v>40.119999999999997</v>
      </c>
      <c r="E91" s="67">
        <v>0.13295138888888888</v>
      </c>
      <c r="F91" s="67">
        <v>0.13539351851851852</v>
      </c>
      <c r="G91" s="100">
        <f t="shared" si="34"/>
        <v>0.1341724537037037</v>
      </c>
      <c r="H91" s="68">
        <v>291</v>
      </c>
      <c r="I91" s="14">
        <f t="shared" si="35"/>
        <v>3.3442785070713788E-3</v>
      </c>
      <c r="J91" s="92">
        <f t="shared" si="36"/>
        <v>5</v>
      </c>
      <c r="K91" s="92">
        <f>IF(J91=0,0,IF(B91="F",VLOOKUP(I91,Barem!$G$2:$H$11,2,1),VLOOKUP(I91,Barem!$G$12:$H$21,2,1)))</f>
        <v>3</v>
      </c>
      <c r="L91" s="65" t="str">
        <f>VLOOKUP(C91,Barem!L:Q,6,0)</f>
        <v>D</v>
      </c>
      <c r="M91" s="11">
        <f t="shared" si="37"/>
        <v>0.75</v>
      </c>
      <c r="N91" s="11">
        <f t="shared" si="38"/>
        <v>0.25</v>
      </c>
      <c r="O91" s="49">
        <f t="shared" si="39"/>
        <v>0.19400000000000001</v>
      </c>
      <c r="P91" s="27">
        <f>IF(D91&gt;21,VLOOKUP(D91,Barem!$S$1:$T$141,2,1),0)</f>
        <v>0.9</v>
      </c>
      <c r="Q91" s="27">
        <f>IF(D91&lt;1.609,0,IF(B91="F",VLOOKUP(I91,Barem!$W$2:$Y$13,2,1),VLOOKUP(I91,Barem!$W$14:$Y$25,2,1)))</f>
        <v>0</v>
      </c>
      <c r="R91" s="27">
        <f>VLOOKUP(A91,Participanti!A:C,3,0)</f>
        <v>0</v>
      </c>
      <c r="S91" s="21">
        <f t="shared" si="33"/>
        <v>5.5940000000000003</v>
      </c>
      <c r="T91" s="82">
        <v>44464</v>
      </c>
      <c r="U91" s="143">
        <f>COUNTIFS(A:A,A91,C:C,C91)</f>
        <v>1</v>
      </c>
      <c r="V91" s="77" t="str">
        <f>VLOOKUP(A91,Data_echipe!A:U,21,0)</f>
        <v>All Stars</v>
      </c>
      <c r="X91" s="154">
        <v>1</v>
      </c>
    </row>
    <row r="92" spans="1:24" x14ac:dyDescent="0.25">
      <c r="A92" s="64" t="s">
        <v>43</v>
      </c>
      <c r="B92" s="77" t="str">
        <f>VLOOKUP(A92,Participanti!A:B,2,0)</f>
        <v>M</v>
      </c>
      <c r="C92" s="137">
        <v>3</v>
      </c>
      <c r="D92" s="66">
        <v>7.16</v>
      </c>
      <c r="E92" s="67">
        <v>2.3981481481481479E-2</v>
      </c>
      <c r="F92" s="67">
        <v>2.3981481481481479E-2</v>
      </c>
      <c r="G92" s="100">
        <f>AVERAGE(E92:F92)</f>
        <v>2.3981481481481479E-2</v>
      </c>
      <c r="H92" s="68">
        <v>12</v>
      </c>
      <c r="I92" s="14">
        <f>G92/D92</f>
        <v>3.3493689219946197E-3</v>
      </c>
      <c r="J92" s="92">
        <f>IF(B92="F",IF(D92&lt;2.5,0,IF(D92&gt;19.99,5,D92/4)),IF(D92&lt;3,0, IF(D92&gt;20.99,5,D92/4.2)))</f>
        <v>1.7047619047619047</v>
      </c>
      <c r="K92" s="92">
        <f>IF(J92=0,0,IF(B92="F",VLOOKUP(I92,Barem!$G$2:$H$11,2,1),VLOOKUP(I92,Barem!$G$12:$H$21,2,1)))</f>
        <v>3</v>
      </c>
      <c r="L92" s="110" t="s">
        <v>110</v>
      </c>
      <c r="M92" s="11">
        <f>IF(OR(L92="P1",L92="P2",L92="P3"),"",IF(C92=15,0.5,IF(L92="D",0.75,0.25)))</f>
        <v>0.25</v>
      </c>
      <c r="N92" s="11">
        <f>IF(OR(L92="P1",L92="P2",L92="P3"),"",IF(C92=15,0.5,IF(L92="V",0.75,0.25)))</f>
        <v>0.75</v>
      </c>
      <c r="O92" s="49">
        <f>IF(H92&lt;-49,H92/1500,IF(H92&gt;49,H92/1500,0))</f>
        <v>0</v>
      </c>
      <c r="P92" s="27">
        <f>IF(D92&gt;21,VLOOKUP(D92,Barem!$S$1:$T$141,2,1),0)</f>
        <v>0</v>
      </c>
      <c r="Q92" s="27">
        <f>IF(D92&lt;1.609,0,IF(B92="F",VLOOKUP(I92,Barem!$W$2:$Y$13,2,1),VLOOKUP(I92,Barem!$W$14:$Y$25,2,1)))</f>
        <v>0</v>
      </c>
      <c r="R92" s="27">
        <f>VLOOKUP(A92,Participanti!A:C,3,0)</f>
        <v>0</v>
      </c>
      <c r="S92" s="21">
        <f>J92*M92+K92*N92+O92+P92+Q92+R92</f>
        <v>2.676190476190476</v>
      </c>
      <c r="T92" s="82">
        <v>44464</v>
      </c>
      <c r="U92" s="143">
        <f>COUNTIFS(A:A,A92,C:C,C92)</f>
        <v>1</v>
      </c>
      <c r="V92" s="77" t="e">
        <f>VLOOKUP(A92,Data_echipe!A:U,21,0)</f>
        <v>#N/A</v>
      </c>
      <c r="X92" s="154">
        <v>1</v>
      </c>
    </row>
    <row r="93" spans="1:24" x14ac:dyDescent="0.25">
      <c r="A93" s="64" t="s">
        <v>244</v>
      </c>
      <c r="B93" s="77" t="str">
        <f>VLOOKUP(A93,Participanti!A:B,2,0)</f>
        <v>M</v>
      </c>
      <c r="C93" s="137">
        <v>3</v>
      </c>
      <c r="D93" s="66">
        <v>20.45</v>
      </c>
      <c r="E93" s="67">
        <v>7.694444444444444E-2</v>
      </c>
      <c r="F93" s="67">
        <v>7.7048611111111109E-2</v>
      </c>
      <c r="G93" s="100">
        <f t="shared" si="34"/>
        <v>7.6996527777777768E-2</v>
      </c>
      <c r="H93" s="68">
        <v>662</v>
      </c>
      <c r="I93" s="14">
        <f t="shared" si="35"/>
        <v>3.7651113827764193E-3</v>
      </c>
      <c r="J93" s="92">
        <f t="shared" si="36"/>
        <v>4.8690476190476186</v>
      </c>
      <c r="K93" s="92">
        <f>IF(J93=0,0,IF(B93="F",VLOOKUP(I93,Barem!$G$2:$H$11,2,1),VLOOKUP(I93,Barem!$G$12:$H$21,2,1)))</f>
        <v>2</v>
      </c>
      <c r="L93" s="65" t="str">
        <f>VLOOKUP(C93,Barem!L:Q,6,0)</f>
        <v>D</v>
      </c>
      <c r="M93" s="11">
        <f t="shared" si="37"/>
        <v>0.75</v>
      </c>
      <c r="N93" s="11">
        <f t="shared" si="38"/>
        <v>0.25</v>
      </c>
      <c r="O93" s="49">
        <f t="shared" si="39"/>
        <v>0.44133333333333336</v>
      </c>
      <c r="P93" s="27">
        <f>IF(D93&gt;21,VLOOKUP(D93,Barem!$S$1:$T$141,2,1),0)</f>
        <v>0</v>
      </c>
      <c r="Q93" s="27">
        <f>IF(D93&lt;1.609,0,IF(B93="F",VLOOKUP(I93,Barem!$W$2:$Y$13,2,1),VLOOKUP(I93,Barem!$W$14:$Y$25,2,1)))</f>
        <v>0</v>
      </c>
      <c r="R93" s="27">
        <f>VLOOKUP(A93,Participanti!A:C,3,0)</f>
        <v>0</v>
      </c>
      <c r="S93" s="21">
        <f t="shared" si="33"/>
        <v>4.5931190476190471</v>
      </c>
      <c r="T93" s="82">
        <v>44464</v>
      </c>
      <c r="U93" s="143">
        <f>COUNTIFS(A:A,A93,C:C,C93)</f>
        <v>1</v>
      </c>
      <c r="V93" s="77" t="str">
        <f>VLOOKUP(A93,Data_echipe!A:U,21,0)</f>
        <v>All Stars</v>
      </c>
      <c r="X93" s="154">
        <v>1</v>
      </c>
    </row>
    <row r="94" spans="1:24" x14ac:dyDescent="0.25">
      <c r="A94" s="64" t="s">
        <v>119</v>
      </c>
      <c r="B94" s="77" t="str">
        <f>VLOOKUP(A94,Participanti!A:B,2,0)</f>
        <v>M</v>
      </c>
      <c r="C94" s="137">
        <v>3</v>
      </c>
      <c r="D94" s="66">
        <v>24.18</v>
      </c>
      <c r="E94" s="67">
        <v>7.631944444444444E-2</v>
      </c>
      <c r="F94" s="67">
        <v>7.846064814814814E-2</v>
      </c>
      <c r="G94" s="100">
        <f t="shared" si="34"/>
        <v>7.7390046296296283E-2</v>
      </c>
      <c r="H94" s="68">
        <v>16</v>
      </c>
      <c r="I94" s="14">
        <f t="shared" si="35"/>
        <v>3.2005809055540234E-3</v>
      </c>
      <c r="J94" s="92">
        <f t="shared" si="36"/>
        <v>5</v>
      </c>
      <c r="K94" s="92">
        <f>IF(J94=0,0,IF(B94="F",VLOOKUP(I94,Barem!$G$2:$H$11,2,1),VLOOKUP(I94,Barem!$G$12:$H$21,2,1)))</f>
        <v>3.5</v>
      </c>
      <c r="L94" s="65" t="str">
        <f>VLOOKUP(C94,Barem!L:Q,6,0)</f>
        <v>D</v>
      </c>
      <c r="M94" s="11">
        <f t="shared" si="37"/>
        <v>0.75</v>
      </c>
      <c r="N94" s="11">
        <f t="shared" si="38"/>
        <v>0.25</v>
      </c>
      <c r="O94" s="49">
        <f t="shared" si="39"/>
        <v>0</v>
      </c>
      <c r="P94" s="27">
        <f>IF(D94&gt;21,VLOOKUP(D94,Barem!$S$1:$T$141,2,1),0)</f>
        <v>0.1</v>
      </c>
      <c r="Q94" s="27">
        <f>IF(D94&lt;1.609,0,IF(B94="F",VLOOKUP(I94,Barem!$W$2:$Y$13,2,1),VLOOKUP(I94,Barem!$W$14:$Y$25,2,1)))</f>
        <v>0</v>
      </c>
      <c r="R94" s="27">
        <f>VLOOKUP(A94,Participanti!A:C,3,0)</f>
        <v>0</v>
      </c>
      <c r="S94" s="21">
        <f t="shared" si="33"/>
        <v>4.7249999999999996</v>
      </c>
      <c r="T94" s="82">
        <v>44465</v>
      </c>
      <c r="U94" s="143">
        <f>COUNTIFS(A:A,A94,C:C,C94)</f>
        <v>1</v>
      </c>
      <c r="V94" s="77" t="e">
        <f>VLOOKUP(A94,Data_echipe!A:U,21,0)</f>
        <v>#N/A</v>
      </c>
      <c r="X94" s="154">
        <v>1</v>
      </c>
    </row>
    <row r="95" spans="1:24" x14ac:dyDescent="0.25">
      <c r="A95" s="64" t="s">
        <v>118</v>
      </c>
      <c r="B95" s="77" t="str">
        <f>VLOOKUP(A95,Participanti!A:B,2,0)</f>
        <v>M</v>
      </c>
      <c r="C95" s="137">
        <v>3</v>
      </c>
      <c r="D95" s="66">
        <v>3.01</v>
      </c>
      <c r="E95" s="67">
        <v>8.0671296296296307E-3</v>
      </c>
      <c r="F95" s="67">
        <v>8.0671296296296307E-3</v>
      </c>
      <c r="G95" s="100">
        <f t="shared" si="34"/>
        <v>8.0671296296296307E-3</v>
      </c>
      <c r="H95" s="68">
        <v>14</v>
      </c>
      <c r="I95" s="112">
        <f t="shared" si="35"/>
        <v>2.680109511504861E-3</v>
      </c>
      <c r="J95" s="92">
        <f t="shared" si="36"/>
        <v>0.71666666666666656</v>
      </c>
      <c r="K95" s="92">
        <f>IF(J95=0,0,IF(B95="F",VLOOKUP(I95,Barem!$G$2:$H$11,2,1),VLOOKUP(I95,Barem!$G$12:$H$21,2,1)))</f>
        <v>5</v>
      </c>
      <c r="L95" s="110" t="s">
        <v>110</v>
      </c>
      <c r="M95" s="11">
        <f t="shared" si="37"/>
        <v>0.25</v>
      </c>
      <c r="N95" s="11">
        <f t="shared" si="38"/>
        <v>0.75</v>
      </c>
      <c r="O95" s="49">
        <f t="shared" si="39"/>
        <v>0</v>
      </c>
      <c r="P95" s="27">
        <f>IF(D95&gt;21,VLOOKUP(D95,Barem!$S$1:$T$141,2,1),0)</f>
        <v>0</v>
      </c>
      <c r="Q95" s="27">
        <f>IF(D95&lt;1.609,0,IF(B95="F",VLOOKUP(I95,Barem!$W$2:$Y$13,2,1),VLOOKUP(I95,Barem!$W$14:$Y$25,2,1)))</f>
        <v>0.45000000000000007</v>
      </c>
      <c r="R95" s="27">
        <f>VLOOKUP(A95,Participanti!A:C,3,0)</f>
        <v>0</v>
      </c>
      <c r="S95" s="21">
        <f>J95*M95+K95*N95+O95+P95+Q95+R95</f>
        <v>4.3791666666666664</v>
      </c>
      <c r="T95" s="82">
        <v>44464</v>
      </c>
      <c r="U95" s="143">
        <f>COUNTIFS(A:A,A95,C:C,C95)</f>
        <v>1</v>
      </c>
      <c r="V95" s="77" t="str">
        <f>VLOOKUP(A95,Data_echipe!A:U,21,0)</f>
        <v>UltraSYR</v>
      </c>
      <c r="X95" s="154">
        <v>1</v>
      </c>
    </row>
    <row r="96" spans="1:24" x14ac:dyDescent="0.25">
      <c r="A96" s="113" t="s">
        <v>211</v>
      </c>
      <c r="B96" s="114" t="str">
        <f>VLOOKUP(A96,Participanti!A:B,2,0)</f>
        <v>F</v>
      </c>
      <c r="C96" s="138">
        <v>3</v>
      </c>
      <c r="D96" s="116">
        <v>10.18</v>
      </c>
      <c r="E96" s="117">
        <v>3.5092592592592592E-2</v>
      </c>
      <c r="F96" s="117">
        <v>3.6909722222222226E-2</v>
      </c>
      <c r="G96" s="118">
        <f t="shared" si="34"/>
        <v>3.6001157407407405E-2</v>
      </c>
      <c r="H96" s="119">
        <v>51</v>
      </c>
      <c r="I96" s="120">
        <f t="shared" si="35"/>
        <v>3.5364594702757767E-3</v>
      </c>
      <c r="J96" s="121">
        <f t="shared" si="36"/>
        <v>2.5449999999999999</v>
      </c>
      <c r="K96" s="121">
        <f>IF(J96=0,0,IF(B96="F",VLOOKUP(I96,Barem!$G$2:$H$11,2,1),VLOOKUP(I96,Barem!$G$12:$H$21,2,1)))</f>
        <v>3.5</v>
      </c>
      <c r="L96" s="130" t="s">
        <v>110</v>
      </c>
      <c r="M96" s="122">
        <f t="shared" si="37"/>
        <v>0.25</v>
      </c>
      <c r="N96" s="122">
        <f t="shared" si="38"/>
        <v>0.75</v>
      </c>
      <c r="O96" s="123">
        <f t="shared" si="39"/>
        <v>3.4000000000000002E-2</v>
      </c>
      <c r="P96" s="124">
        <f>IF(D96&gt;21,VLOOKUP(D96,Barem!$S$1:$T$141,2,1),0)</f>
        <v>0</v>
      </c>
      <c r="Q96" s="124">
        <f>IF(D96&lt;1.609,0,IF(B96="F",VLOOKUP(I96,Barem!$W$2:$Y$13,2,1),VLOOKUP(I96,Barem!$W$14:$Y$25,2,1)))</f>
        <v>0</v>
      </c>
      <c r="R96" s="124">
        <f>VLOOKUP(A96,Participanti!A:C,3,0)</f>
        <v>0</v>
      </c>
      <c r="S96" s="125">
        <f>J96*M96+K96*N96+O96+P96+Q96+R96</f>
        <v>3.2952499999999998</v>
      </c>
      <c r="T96" s="126">
        <v>44465</v>
      </c>
      <c r="U96" s="144">
        <f>COUNTIFS(A:A,A96,C:C,C96)</f>
        <v>1</v>
      </c>
      <c r="V96" s="114" t="str">
        <f>VLOOKUP(A96,Data_echipe!A:U,21,0)</f>
        <v>UltraSYR</v>
      </c>
      <c r="W96" s="127"/>
      <c r="X96" s="154">
        <v>1</v>
      </c>
    </row>
    <row r="97" spans="1:24" x14ac:dyDescent="0.25">
      <c r="A97" s="64" t="s">
        <v>49</v>
      </c>
      <c r="B97" s="77" t="str">
        <f>VLOOKUP(A97,Participanti!A:B,2,0)</f>
        <v>M</v>
      </c>
      <c r="C97" s="137">
        <v>4</v>
      </c>
      <c r="D97" s="66">
        <v>44.78</v>
      </c>
      <c r="E97" s="67">
        <v>0.18164351851851854</v>
      </c>
      <c r="F97" s="67">
        <v>0.18167824074074077</v>
      </c>
      <c r="G97" s="100">
        <f>AVERAGE(E97:F97)</f>
        <v>0.18166087962962965</v>
      </c>
      <c r="H97" s="68">
        <v>18</v>
      </c>
      <c r="I97" s="14">
        <f>G97/D97</f>
        <v>4.0567413941409031E-3</v>
      </c>
      <c r="J97" s="92">
        <f>IF(B97="F",IF(D97&lt;2.5,0,IF(D97&gt;19.99,5,D97/4)),IF(D97&lt;3,0, IF(D97&gt;20.99,5,D97/4.2)))</f>
        <v>5</v>
      </c>
      <c r="K97" s="92">
        <f>IF(J97=0,0,IF(B97="F",VLOOKUP(I97,Barem!$G$2:$H$11,2,1),VLOOKUP(I97,Barem!$G$12:$H$21,2,1)))</f>
        <v>1.5</v>
      </c>
      <c r="L97" s="110" t="s">
        <v>109</v>
      </c>
      <c r="M97" s="11">
        <f>IF(OR(L97="P1",L97="P2",L97="P3"),"",IF(C97=15,0.5,IF(L97="D",0.75,0.25)))</f>
        <v>0.75</v>
      </c>
      <c r="N97" s="11">
        <f>IF(OR(L97="P1",L97="P2",L97="P3"),"",IF(C97=15,0.5,IF(L97="V",0.75,0.25)))</f>
        <v>0.25</v>
      </c>
      <c r="O97" s="49">
        <f>IF(H97&lt;-49,H97/1500,IF(H97&gt;49,H97/1500,0))</f>
        <v>0</v>
      </c>
      <c r="P97" s="27">
        <f>IF(D97&gt;21,VLOOKUP(D97,Barem!$S$1:$T$141,2,1),0)</f>
        <v>1.1000000000000001</v>
      </c>
      <c r="Q97" s="27">
        <f>IF(D97&lt;1.609,0,IF(B97="F",VLOOKUP(I97,Barem!$W$2:$Y$13,2,1),VLOOKUP(I97,Barem!$W$14:$Y$25,2,1)))</f>
        <v>0</v>
      </c>
      <c r="R97" s="27">
        <f>VLOOKUP(A97,Participanti!A:C,3,0)</f>
        <v>0</v>
      </c>
      <c r="S97" s="21">
        <f>J97*M97+K97*N97+O97+P97+Q97+R97</f>
        <v>5.2249999999999996</v>
      </c>
      <c r="T97" s="82">
        <v>44472</v>
      </c>
      <c r="U97" s="143">
        <f>COUNTIFS(A:A,A97,C:C,C97)</f>
        <v>1</v>
      </c>
      <c r="V97" s="77" t="str">
        <f>VLOOKUP(A97,Data_echipe!A:U,21,0)</f>
        <v>All Stars</v>
      </c>
      <c r="W97" s="23" t="s">
        <v>259</v>
      </c>
      <c r="X97" s="154">
        <v>1</v>
      </c>
    </row>
    <row r="98" spans="1:24" x14ac:dyDescent="0.25">
      <c r="A98" s="64" t="s">
        <v>51</v>
      </c>
      <c r="B98" s="77" t="str">
        <f>VLOOKUP(A98,Participanti!A:B,2,0)</f>
        <v>M</v>
      </c>
      <c r="C98" s="137">
        <v>4</v>
      </c>
      <c r="D98" s="66">
        <v>31.18</v>
      </c>
      <c r="E98" s="67">
        <v>0.11623842592592593</v>
      </c>
      <c r="F98" s="67">
        <v>0.11931712962962963</v>
      </c>
      <c r="G98" s="100">
        <f t="shared" ref="G98:G122" si="40">AVERAGE(E98:F98)</f>
        <v>0.11777777777777779</v>
      </c>
      <c r="H98" s="68">
        <v>49</v>
      </c>
      <c r="I98" s="14">
        <f t="shared" ref="I98:I121" si="41">G98/D98</f>
        <v>3.7773501532321293E-3</v>
      </c>
      <c r="J98" s="92">
        <f t="shared" ref="J98:J121" si="42">IF(B98="F",IF(D98&lt;2.5,0,IF(D98&gt;19.99,5,D98/4)),IF(D98&lt;3,0, IF(D98&gt;20.99,5,D98/4.2)))</f>
        <v>5</v>
      </c>
      <c r="K98" s="92">
        <f>IF(J98=0,0,IF(B98="F",VLOOKUP(I98,Barem!$G$2:$H$11,2,1),VLOOKUP(I98,Barem!$G$12:$H$21,2,1)))</f>
        <v>2</v>
      </c>
      <c r="L98" s="110" t="s">
        <v>109</v>
      </c>
      <c r="M98" s="11">
        <f t="shared" ref="M98:M121" si="43">IF(OR(L98="P1",L98="P2",L98="P3"),"",IF(C98=15,0.5,IF(L98="D",0.75,0.25)))</f>
        <v>0.75</v>
      </c>
      <c r="N98" s="11">
        <f t="shared" ref="N98:N121" si="44">IF(OR(L98="P1",L98="P2",L98="P3"),"",IF(C98=15,0.5,IF(L98="V",0.75,0.25)))</f>
        <v>0.25</v>
      </c>
      <c r="O98" s="49">
        <f t="shared" ref="O98:O121" si="45">IF(H98&lt;-49,H98/1500,IF(H98&gt;49,H98/1500,0))</f>
        <v>0</v>
      </c>
      <c r="P98" s="27">
        <f>IF(D98&gt;21,VLOOKUP(D98,Barem!$S$1:$T$141,2,1),0)</f>
        <v>0.5</v>
      </c>
      <c r="Q98" s="27">
        <f>IF(D98&lt;1.609,0,IF(B98="F",VLOOKUP(I98,Barem!$W$2:$Y$13,2,1),VLOOKUP(I98,Barem!$W$14:$Y$25,2,1)))</f>
        <v>0</v>
      </c>
      <c r="R98" s="27">
        <f>VLOOKUP(A98,Participanti!A:C,3,0)</f>
        <v>0</v>
      </c>
      <c r="S98" s="21">
        <f t="shared" ref="S98:S126" si="46">J98*M98+K98*N98+O98+P98+Q98+R98</f>
        <v>4.75</v>
      </c>
      <c r="T98" s="82">
        <v>44472</v>
      </c>
      <c r="U98" s="143">
        <f>COUNTIFS(A:A,A98,C:C,C98)</f>
        <v>1</v>
      </c>
      <c r="V98" s="77" t="str">
        <f>VLOOKUP(A98,Data_echipe!A:U,21,0)</f>
        <v>UltraSYR</v>
      </c>
      <c r="X98" s="154">
        <v>1</v>
      </c>
    </row>
    <row r="99" spans="1:24" x14ac:dyDescent="0.25">
      <c r="A99" s="64" t="s">
        <v>5</v>
      </c>
      <c r="B99" s="77" t="str">
        <f>VLOOKUP(A99,Participanti!A:B,2,0)</f>
        <v>F</v>
      </c>
      <c r="C99" s="137">
        <v>4</v>
      </c>
      <c r="D99" s="66"/>
      <c r="E99" s="67"/>
      <c r="F99" s="67"/>
      <c r="G99" s="100"/>
      <c r="H99" s="68"/>
      <c r="I99" s="14"/>
      <c r="J99" s="92"/>
      <c r="K99" s="92"/>
      <c r="L99" s="65"/>
      <c r="M99" s="11"/>
      <c r="N99" s="11"/>
      <c r="O99" s="49"/>
      <c r="S99" s="128">
        <v>1.5</v>
      </c>
      <c r="T99" s="82"/>
      <c r="U99" s="143">
        <f>COUNTIFS(A:A,A99,C:C,C99)</f>
        <v>1</v>
      </c>
      <c r="V99" s="77" t="str">
        <f>VLOOKUP(A99,Data_echipe!A:U,21,0)</f>
        <v>All Stars</v>
      </c>
      <c r="X99" s="154"/>
    </row>
    <row r="100" spans="1:24" x14ac:dyDescent="0.25">
      <c r="A100" s="64" t="s">
        <v>80</v>
      </c>
      <c r="B100" s="77" t="str">
        <f>VLOOKUP(A100,Participanti!A:B,2,0)</f>
        <v>M</v>
      </c>
      <c r="C100" s="137">
        <v>4</v>
      </c>
      <c r="D100" s="66">
        <v>22.62</v>
      </c>
      <c r="E100" s="67">
        <v>0.15443287037037037</v>
      </c>
      <c r="F100" s="67">
        <v>0.15447916666666667</v>
      </c>
      <c r="G100" s="100">
        <f t="shared" si="40"/>
        <v>0.15445601851851853</v>
      </c>
      <c r="H100" s="68">
        <v>517</v>
      </c>
      <c r="I100" s="14">
        <f t="shared" si="41"/>
        <v>6.8282943642139051E-3</v>
      </c>
      <c r="J100" s="92">
        <f t="shared" si="42"/>
        <v>5</v>
      </c>
      <c r="K100" s="92">
        <f>IF(J100=0,0,IF(B100="F",VLOOKUP(I100,Barem!$G$2:$H$11,2,1),VLOOKUP(I100,Barem!$G$12:$H$21,2,1)))</f>
        <v>0</v>
      </c>
      <c r="L100" s="65" t="str">
        <f>VLOOKUP(C100,Barem!L:Q,6,0)</f>
        <v>V</v>
      </c>
      <c r="M100" s="11">
        <f t="shared" si="43"/>
        <v>0.25</v>
      </c>
      <c r="N100" s="11">
        <f t="shared" si="44"/>
        <v>0.75</v>
      </c>
      <c r="O100" s="49">
        <f t="shared" si="45"/>
        <v>0.34466666666666668</v>
      </c>
      <c r="P100" s="27">
        <f>IF(D100&gt;21,VLOOKUP(D100,Barem!$S$1:$T$141,2,1),0)</f>
        <v>0</v>
      </c>
      <c r="Q100" s="27">
        <f>IF(D100&lt;1.609,0,IF(B100="F",VLOOKUP(I100,Barem!$W$2:$Y$13,2,1),VLOOKUP(I100,Barem!$W$14:$Y$25,2,1)))</f>
        <v>0</v>
      </c>
      <c r="R100" s="27">
        <f>VLOOKUP(A100,Participanti!A:C,3,0)</f>
        <v>0.4</v>
      </c>
      <c r="S100" s="21">
        <f t="shared" si="46"/>
        <v>1.9946666666666668</v>
      </c>
      <c r="T100" s="82">
        <v>44472</v>
      </c>
      <c r="U100" s="143">
        <f>COUNTIFS(A:A,A100,C:C,C100)</f>
        <v>1</v>
      </c>
      <c r="V100" s="77" t="str">
        <f>VLOOKUP(A100,Data_echipe!A:U,21,0)</f>
        <v>UltraSYR</v>
      </c>
      <c r="X100" s="154"/>
    </row>
    <row r="101" spans="1:24" x14ac:dyDescent="0.25">
      <c r="A101" s="64" t="s">
        <v>196</v>
      </c>
      <c r="B101" s="77" t="str">
        <f>VLOOKUP(A101,Participanti!A:B,2,0)</f>
        <v>F</v>
      </c>
      <c r="C101" s="137">
        <v>4</v>
      </c>
      <c r="D101" s="66">
        <v>17.010000000000002</v>
      </c>
      <c r="E101" s="67">
        <v>7.1006944444444442E-2</v>
      </c>
      <c r="F101" s="67">
        <v>8.6122685185185177E-2</v>
      </c>
      <c r="G101" s="100">
        <f t="shared" si="40"/>
        <v>7.856481481481481E-2</v>
      </c>
      <c r="H101" s="68">
        <v>38</v>
      </c>
      <c r="I101" s="14">
        <f t="shared" si="41"/>
        <v>4.6187427874670667E-3</v>
      </c>
      <c r="J101" s="92">
        <f t="shared" si="42"/>
        <v>4.2525000000000004</v>
      </c>
      <c r="K101" s="92">
        <f>IF(J101=0,0,IF(B101="F",VLOOKUP(I101,Barem!$G$2:$H$11,2,1),VLOOKUP(I101,Barem!$G$12:$H$21,2,1)))</f>
        <v>1</v>
      </c>
      <c r="L101" s="65" t="str">
        <f>VLOOKUP(C101,Barem!L:Q,6,0)</f>
        <v>V</v>
      </c>
      <c r="M101" s="11">
        <f t="shared" si="43"/>
        <v>0.25</v>
      </c>
      <c r="N101" s="11">
        <f t="shared" si="44"/>
        <v>0.75</v>
      </c>
      <c r="O101" s="49">
        <f t="shared" si="45"/>
        <v>0</v>
      </c>
      <c r="P101" s="27">
        <f>IF(D101&gt;21,VLOOKUP(D101,Barem!$S$1:$T$141,2,1),0)</f>
        <v>0</v>
      </c>
      <c r="Q101" s="27">
        <f>IF(D101&lt;1.609,0,IF(B101="F",VLOOKUP(I101,Barem!$W$2:$Y$13,2,1),VLOOKUP(I101,Barem!$W$14:$Y$25,2,1)))</f>
        <v>0</v>
      </c>
      <c r="R101" s="27">
        <f>VLOOKUP(A101,Participanti!A:C,3,0)</f>
        <v>0</v>
      </c>
      <c r="S101" s="21">
        <f t="shared" si="46"/>
        <v>1.8131250000000001</v>
      </c>
      <c r="T101" s="82">
        <v>44472</v>
      </c>
      <c r="U101" s="143">
        <f>COUNTIFS(A:A,A101,C:C,C101)</f>
        <v>1</v>
      </c>
      <c r="V101" s="77" t="str">
        <f>VLOOKUP(A101,Data_echipe!A:U,21,0)</f>
        <v>UltraSYR</v>
      </c>
      <c r="X101" s="154">
        <v>1</v>
      </c>
    </row>
    <row r="102" spans="1:24" x14ac:dyDescent="0.25">
      <c r="A102" s="64" t="s">
        <v>102</v>
      </c>
      <c r="B102" s="77" t="str">
        <f>VLOOKUP(A102,Participanti!A:B,2,0)</f>
        <v>M</v>
      </c>
      <c r="C102" s="137">
        <v>4</v>
      </c>
      <c r="D102" s="66">
        <v>7</v>
      </c>
      <c r="E102" s="67">
        <v>1.982638888888889E-2</v>
      </c>
      <c r="F102" s="67">
        <v>1.982638888888889E-2</v>
      </c>
      <c r="G102" s="100">
        <f t="shared" si="40"/>
        <v>1.982638888888889E-2</v>
      </c>
      <c r="H102" s="68">
        <v>10</v>
      </c>
      <c r="I102" s="14">
        <f t="shared" si="41"/>
        <v>2.8323412698412699E-3</v>
      </c>
      <c r="J102" s="92">
        <f t="shared" si="42"/>
        <v>1.6666666666666665</v>
      </c>
      <c r="K102" s="92">
        <f>IF(J102=0,0,IF(B102="F",VLOOKUP(I102,Barem!$G$2:$H$11,2,1),VLOOKUP(I102,Barem!$G$12:$H$21,2,1)))</f>
        <v>4.5</v>
      </c>
      <c r="L102" s="65" t="str">
        <f>VLOOKUP(C102,Barem!L:Q,6,0)</f>
        <v>V</v>
      </c>
      <c r="M102" s="11">
        <f t="shared" si="43"/>
        <v>0.25</v>
      </c>
      <c r="N102" s="11">
        <f t="shared" si="44"/>
        <v>0.75</v>
      </c>
      <c r="O102" s="49">
        <f t="shared" si="45"/>
        <v>0</v>
      </c>
      <c r="P102" s="27">
        <f>IF(D102&gt;21,VLOOKUP(D102,Barem!$S$1:$T$141,2,1),0)</f>
        <v>0</v>
      </c>
      <c r="Q102" s="27">
        <f>IF(D102&lt;1.609,0,IF(B102="F",VLOOKUP(I102,Barem!$W$2:$Y$13,2,1),VLOOKUP(I102,Barem!$W$14:$Y$25,2,1)))</f>
        <v>0</v>
      </c>
      <c r="R102" s="27">
        <f>VLOOKUP(A102,Participanti!A:C,3,0)</f>
        <v>0</v>
      </c>
      <c r="S102" s="21">
        <f t="shared" si="46"/>
        <v>3.7916666666666665</v>
      </c>
      <c r="T102" s="82">
        <v>44469</v>
      </c>
      <c r="U102" s="143">
        <f>COUNTIFS(A:A,A102,C:C,C102)</f>
        <v>1</v>
      </c>
      <c r="V102" s="77" t="str">
        <f>VLOOKUP(A102,Data_echipe!A:U,21,0)</f>
        <v>All Stars</v>
      </c>
      <c r="X102" s="154">
        <v>1</v>
      </c>
    </row>
    <row r="103" spans="1:24" x14ac:dyDescent="0.25">
      <c r="A103" s="64" t="s">
        <v>66</v>
      </c>
      <c r="B103" s="77" t="str">
        <f>VLOOKUP(A103,Participanti!A:B,2,0)</f>
        <v>F</v>
      </c>
      <c r="C103" s="137">
        <v>4</v>
      </c>
      <c r="D103" s="66">
        <v>8.02</v>
      </c>
      <c r="E103" s="67">
        <v>3.7835648148148153E-2</v>
      </c>
      <c r="F103" s="67">
        <v>6.1377314814814815E-2</v>
      </c>
      <c r="G103" s="100">
        <f t="shared" si="40"/>
        <v>4.9606481481481488E-2</v>
      </c>
      <c r="H103" s="68">
        <v>0</v>
      </c>
      <c r="I103" s="14">
        <f t="shared" si="41"/>
        <v>6.1853468181398367E-3</v>
      </c>
      <c r="J103" s="92">
        <f t="shared" si="42"/>
        <v>2.0049999999999999</v>
      </c>
      <c r="K103" s="92">
        <f>IF(J103=0,0,IF(B103="F",VLOOKUP(I103,Barem!$G$2:$H$11,2,1),VLOOKUP(I103,Barem!$G$12:$H$21,2,1)))</f>
        <v>1</v>
      </c>
      <c r="L103" s="65" t="str">
        <f>VLOOKUP(C103,Barem!L:Q,6,0)</f>
        <v>V</v>
      </c>
      <c r="M103" s="11">
        <f t="shared" si="43"/>
        <v>0.25</v>
      </c>
      <c r="N103" s="11">
        <f t="shared" si="44"/>
        <v>0.75</v>
      </c>
      <c r="O103" s="49">
        <f t="shared" si="45"/>
        <v>0</v>
      </c>
      <c r="P103" s="27">
        <f>IF(D103&gt;21,VLOOKUP(D103,Barem!$S$1:$T$141,2,1),0)</f>
        <v>0</v>
      </c>
      <c r="Q103" s="27">
        <f>IF(D103&lt;1.609,0,IF(B103="F",VLOOKUP(I103,Barem!$W$2:$Y$13,2,1),VLOOKUP(I103,Barem!$W$14:$Y$25,2,1)))</f>
        <v>0</v>
      </c>
      <c r="R103" s="27">
        <f>VLOOKUP(A103,Participanti!A:C,3,0)</f>
        <v>0.7</v>
      </c>
      <c r="S103" s="21">
        <f t="shared" si="46"/>
        <v>1.9512499999999999</v>
      </c>
      <c r="T103" s="82">
        <v>44466</v>
      </c>
      <c r="U103" s="143">
        <f>COUNTIFS(A:A,A103,C:C,C103)</f>
        <v>1</v>
      </c>
      <c r="V103" s="77" t="e">
        <f>VLOOKUP(A103,Data_echipe!A:U,21,0)</f>
        <v>#N/A</v>
      </c>
      <c r="X103" s="154">
        <v>1</v>
      </c>
    </row>
    <row r="104" spans="1:24" x14ac:dyDescent="0.25">
      <c r="A104" s="64" t="s">
        <v>67</v>
      </c>
      <c r="B104" s="77" t="str">
        <f>VLOOKUP(A104,Participanti!A:B,2,0)</f>
        <v>M</v>
      </c>
      <c r="C104" s="137">
        <v>4</v>
      </c>
      <c r="D104" s="66">
        <v>25</v>
      </c>
      <c r="E104" s="67">
        <v>9.6898148148148164E-2</v>
      </c>
      <c r="F104" s="67">
        <v>0.1067361111111111</v>
      </c>
      <c r="G104" s="100">
        <f t="shared" si="40"/>
        <v>0.10181712962962963</v>
      </c>
      <c r="H104" s="68">
        <v>77</v>
      </c>
      <c r="I104" s="14">
        <f t="shared" si="41"/>
        <v>4.0726851851851853E-3</v>
      </c>
      <c r="J104" s="92">
        <f t="shared" si="42"/>
        <v>5</v>
      </c>
      <c r="K104" s="92">
        <f>IF(J104=0,0,IF(B104="F",VLOOKUP(I104,Barem!$G$2:$H$11,2,1),VLOOKUP(I104,Barem!$G$12:$H$21,2,1)))</f>
        <v>1.5</v>
      </c>
      <c r="L104" s="110" t="s">
        <v>109</v>
      </c>
      <c r="M104" s="11">
        <f t="shared" si="43"/>
        <v>0.75</v>
      </c>
      <c r="N104" s="11">
        <f t="shared" si="44"/>
        <v>0.25</v>
      </c>
      <c r="O104" s="49">
        <f t="shared" si="45"/>
        <v>5.1333333333333335E-2</v>
      </c>
      <c r="P104" s="27">
        <f>IF(D104&gt;21,VLOOKUP(D104,Barem!$S$1:$T$141,2,1),0)</f>
        <v>0.2</v>
      </c>
      <c r="Q104" s="27">
        <f>IF(D104&lt;1.609,0,IF(B104="F",VLOOKUP(I104,Barem!$W$2:$Y$13,2,1),VLOOKUP(I104,Barem!$W$14:$Y$25,2,1)))</f>
        <v>0</v>
      </c>
      <c r="R104" s="27">
        <f>VLOOKUP(A104,Participanti!A:C,3,0)</f>
        <v>0</v>
      </c>
      <c r="S104" s="21">
        <f t="shared" si="46"/>
        <v>4.3763333333333332</v>
      </c>
      <c r="T104" s="82">
        <v>44469</v>
      </c>
      <c r="U104" s="143">
        <f>COUNTIFS(A:A,A104,C:C,C104)</f>
        <v>1</v>
      </c>
      <c r="V104" s="77" t="e">
        <f>VLOOKUP(A104,Data_echipe!A:U,21,0)</f>
        <v>#N/A</v>
      </c>
      <c r="X104" s="154">
        <v>1</v>
      </c>
    </row>
    <row r="105" spans="1:24" x14ac:dyDescent="0.25">
      <c r="A105" s="64" t="s">
        <v>111</v>
      </c>
      <c r="B105" s="77" t="str">
        <f>VLOOKUP(A105,Participanti!A:B,2,0)</f>
        <v>M</v>
      </c>
      <c r="C105" s="137">
        <v>4</v>
      </c>
      <c r="D105" s="66">
        <v>92.32</v>
      </c>
      <c r="E105" s="67">
        <v>0.39486111111111111</v>
      </c>
      <c r="F105" s="67">
        <v>0.41432870370370373</v>
      </c>
      <c r="G105" s="100">
        <f t="shared" si="40"/>
        <v>0.40459490740740744</v>
      </c>
      <c r="H105" s="68">
        <v>119</v>
      </c>
      <c r="I105" s="14">
        <f t="shared" si="41"/>
        <v>4.38252715995892E-3</v>
      </c>
      <c r="J105" s="92">
        <f t="shared" si="42"/>
        <v>5</v>
      </c>
      <c r="K105" s="92">
        <f>IF(J105=0,0,IF(B105="F",VLOOKUP(I105,Barem!$G$2:$H$11,2,1),VLOOKUP(I105,Barem!$G$12:$H$21,2,1)))</f>
        <v>1</v>
      </c>
      <c r="L105" s="110" t="s">
        <v>109</v>
      </c>
      <c r="M105" s="11">
        <f t="shared" si="43"/>
        <v>0.75</v>
      </c>
      <c r="N105" s="11">
        <f t="shared" si="44"/>
        <v>0.25</v>
      </c>
      <c r="O105" s="49">
        <f t="shared" si="45"/>
        <v>7.9333333333333339E-2</v>
      </c>
      <c r="P105" s="27">
        <f>IF(D105&gt;21,VLOOKUP(D105,Barem!$S$1:$T$141,2,1),0)</f>
        <v>3.5</v>
      </c>
      <c r="Q105" s="27">
        <f>IF(D105&lt;1.609,0,IF(B105="F",VLOOKUP(I105,Barem!$W$2:$Y$13,2,1),VLOOKUP(I105,Barem!$W$14:$Y$25,2,1)))</f>
        <v>0</v>
      </c>
      <c r="R105" s="27">
        <f>VLOOKUP(A105,Participanti!A:C,3,0)</f>
        <v>0</v>
      </c>
      <c r="S105" s="21">
        <f t="shared" si="46"/>
        <v>7.5793333333333335</v>
      </c>
      <c r="T105" s="82">
        <v>44472</v>
      </c>
      <c r="U105" s="143">
        <f>COUNTIFS(A:A,A105,C:C,C105)</f>
        <v>1</v>
      </c>
      <c r="V105" s="77" t="str">
        <f>VLOOKUP(A105,Data_echipe!A:U,21,0)</f>
        <v>UltraSYR</v>
      </c>
      <c r="X105" s="154">
        <v>1</v>
      </c>
    </row>
    <row r="106" spans="1:24" x14ac:dyDescent="0.25">
      <c r="A106" s="64" t="s">
        <v>65</v>
      </c>
      <c r="B106" s="77" t="str">
        <f>VLOOKUP(A106,Participanti!A:B,2,0)</f>
        <v>M</v>
      </c>
      <c r="C106" s="137">
        <v>4</v>
      </c>
      <c r="D106" s="66">
        <v>7.02</v>
      </c>
      <c r="E106" s="67">
        <v>2.3078703703703702E-2</v>
      </c>
      <c r="F106" s="67">
        <v>2.3078703703703702E-2</v>
      </c>
      <c r="G106" s="100">
        <f t="shared" si="40"/>
        <v>2.3078703703703702E-2</v>
      </c>
      <c r="H106" s="68">
        <v>27</v>
      </c>
      <c r="I106" s="14">
        <f t="shared" si="41"/>
        <v>3.2875646301572226E-3</v>
      </c>
      <c r="J106" s="92">
        <f t="shared" si="42"/>
        <v>1.6714285714285713</v>
      </c>
      <c r="K106" s="92">
        <f>IF(J106=0,0,IF(B106="F",VLOOKUP(I106,Barem!$G$2:$H$11,2,1),VLOOKUP(I106,Barem!$G$12:$H$21,2,1)))</f>
        <v>3.5</v>
      </c>
      <c r="L106" s="65" t="str">
        <f>VLOOKUP(C106,Barem!L:Q,6,0)</f>
        <v>V</v>
      </c>
      <c r="M106" s="11">
        <f t="shared" si="43"/>
        <v>0.25</v>
      </c>
      <c r="N106" s="11">
        <f t="shared" si="44"/>
        <v>0.75</v>
      </c>
      <c r="O106" s="49">
        <f t="shared" si="45"/>
        <v>0</v>
      </c>
      <c r="P106" s="27">
        <f>IF(D106&gt;21,VLOOKUP(D106,Barem!$S$1:$T$141,2,1),0)</f>
        <v>0</v>
      </c>
      <c r="Q106" s="27">
        <f>IF(D106&lt;1.609,0,IF(B106="F",VLOOKUP(I106,Barem!$W$2:$Y$13,2,1),VLOOKUP(I106,Barem!$W$14:$Y$25,2,1)))</f>
        <v>0</v>
      </c>
      <c r="R106" s="27">
        <f>VLOOKUP(A106,Participanti!A:C,3,0)</f>
        <v>0</v>
      </c>
      <c r="S106" s="21">
        <f t="shared" si="46"/>
        <v>3.0428571428571427</v>
      </c>
      <c r="T106" s="82">
        <v>44472</v>
      </c>
      <c r="U106" s="143">
        <f>COUNTIFS(A:A,A106,C:C,C106)</f>
        <v>1</v>
      </c>
      <c r="V106" s="77" t="str">
        <f>VLOOKUP(A106,Data_echipe!A:U,21,0)</f>
        <v>UltraSYR</v>
      </c>
      <c r="X106" s="154">
        <v>1</v>
      </c>
    </row>
    <row r="107" spans="1:24" x14ac:dyDescent="0.25">
      <c r="A107" s="64" t="s">
        <v>55</v>
      </c>
      <c r="B107" s="77" t="str">
        <f>VLOOKUP(A107,Participanti!A:B,2,0)</f>
        <v>M</v>
      </c>
      <c r="C107" s="137">
        <v>4</v>
      </c>
      <c r="D107" s="66">
        <v>21.1</v>
      </c>
      <c r="E107" s="67">
        <v>9.752314814814815E-2</v>
      </c>
      <c r="F107" s="67">
        <v>0.10092592592592592</v>
      </c>
      <c r="G107" s="100">
        <f t="shared" si="40"/>
        <v>9.9224537037037042E-2</v>
      </c>
      <c r="H107" s="68">
        <v>0</v>
      </c>
      <c r="I107" s="14">
        <f t="shared" si="41"/>
        <v>4.7025846936984373E-3</v>
      </c>
      <c r="J107" s="92">
        <f t="shared" si="42"/>
        <v>5</v>
      </c>
      <c r="K107" s="92">
        <f>IF(J107=0,0,IF(B107="F",VLOOKUP(I107,Barem!$G$2:$H$11,2,1),VLOOKUP(I107,Barem!$G$12:$H$21,2,1)))</f>
        <v>1</v>
      </c>
      <c r="L107" s="65" t="str">
        <f>VLOOKUP(C107,Barem!L:Q,6,0)</f>
        <v>V</v>
      </c>
      <c r="M107" s="11">
        <f t="shared" si="43"/>
        <v>0.25</v>
      </c>
      <c r="N107" s="11">
        <f t="shared" si="44"/>
        <v>0.75</v>
      </c>
      <c r="O107" s="49">
        <f t="shared" si="45"/>
        <v>0</v>
      </c>
      <c r="P107" s="27">
        <f>IF(D107&gt;21,VLOOKUP(D107,Barem!$S$1:$T$141,2,1),0)</f>
        <v>0</v>
      </c>
      <c r="Q107" s="27">
        <f>IF(D107&lt;1.609,0,IF(B107="F",VLOOKUP(I107,Barem!$W$2:$Y$13,2,1),VLOOKUP(I107,Barem!$W$14:$Y$25,2,1)))</f>
        <v>0</v>
      </c>
      <c r="R107" s="27">
        <f>VLOOKUP(A107,Participanti!A:C,3,0)</f>
        <v>0</v>
      </c>
      <c r="S107" s="21">
        <f t="shared" si="46"/>
        <v>2</v>
      </c>
      <c r="T107" s="82">
        <v>44472</v>
      </c>
      <c r="U107" s="143">
        <f>COUNTIFS(A:A,A107,C:C,C107)</f>
        <v>1</v>
      </c>
      <c r="V107" s="77" t="e">
        <f>VLOOKUP(A107,Data_echipe!A:U,21,0)</f>
        <v>#N/A</v>
      </c>
      <c r="X107" s="154">
        <v>1</v>
      </c>
    </row>
    <row r="108" spans="1:24" x14ac:dyDescent="0.25">
      <c r="A108" s="64" t="s">
        <v>100</v>
      </c>
      <c r="B108" s="77" t="str">
        <f>VLOOKUP(A108,Participanti!A:B,2,0)</f>
        <v>F</v>
      </c>
      <c r="C108" s="137">
        <v>4</v>
      </c>
      <c r="D108" s="66">
        <v>7.23</v>
      </c>
      <c r="E108" s="67">
        <v>4.0393518518518516E-2</v>
      </c>
      <c r="F108" s="67">
        <v>4.1689814814814818E-2</v>
      </c>
      <c r="G108" s="100">
        <f t="shared" si="40"/>
        <v>4.1041666666666671E-2</v>
      </c>
      <c r="H108" s="68">
        <v>22</v>
      </c>
      <c r="I108" s="14">
        <f t="shared" si="41"/>
        <v>5.6765790686952519E-3</v>
      </c>
      <c r="J108" s="92">
        <f t="shared" si="42"/>
        <v>1.8075000000000001</v>
      </c>
      <c r="K108" s="92">
        <f>IF(J108=0,0,IF(B108="F",VLOOKUP(I108,Barem!$G$2:$H$11,2,1),VLOOKUP(I108,Barem!$G$12:$H$21,2,1)))</f>
        <v>1</v>
      </c>
      <c r="L108" s="65" t="str">
        <f>VLOOKUP(C108,Barem!L:Q,6,0)</f>
        <v>V</v>
      </c>
      <c r="M108" s="11">
        <f t="shared" si="43"/>
        <v>0.25</v>
      </c>
      <c r="N108" s="11">
        <f t="shared" si="44"/>
        <v>0.75</v>
      </c>
      <c r="O108" s="49">
        <f t="shared" si="45"/>
        <v>0</v>
      </c>
      <c r="P108" s="27">
        <f>IF(D108&gt;21,VLOOKUP(D108,Barem!$S$1:$T$141,2,1),0)</f>
        <v>0</v>
      </c>
      <c r="Q108" s="27">
        <f>IF(D108&lt;1.609,0,IF(B108="F",VLOOKUP(I108,Barem!$W$2:$Y$13,2,1),VLOOKUP(I108,Barem!$W$14:$Y$25,2,1)))</f>
        <v>0</v>
      </c>
      <c r="R108" s="27">
        <f>VLOOKUP(A108,Participanti!A:C,3,0)</f>
        <v>0.4</v>
      </c>
      <c r="S108" s="21">
        <f t="shared" si="46"/>
        <v>1.6018750000000002</v>
      </c>
      <c r="T108" s="82">
        <v>44466</v>
      </c>
      <c r="U108" s="143">
        <f>COUNTIFS(A:A,A108,C:C,C108)</f>
        <v>1</v>
      </c>
      <c r="V108" s="77" t="str">
        <f>VLOOKUP(A108,Data_echipe!A:U,21,0)</f>
        <v>All Stars</v>
      </c>
      <c r="X108" s="154">
        <v>1</v>
      </c>
    </row>
    <row r="109" spans="1:24" x14ac:dyDescent="0.25">
      <c r="A109" s="64" t="s">
        <v>103</v>
      </c>
      <c r="B109" s="77" t="str">
        <f>VLOOKUP(A109,Participanti!A:B,2,0)</f>
        <v>F</v>
      </c>
      <c r="C109" s="137">
        <v>4</v>
      </c>
      <c r="D109" s="66">
        <v>5.07</v>
      </c>
      <c r="E109" s="67">
        <v>2.0775462962962964E-2</v>
      </c>
      <c r="F109" s="67">
        <v>2.1701388888888892E-2</v>
      </c>
      <c r="G109" s="100">
        <f t="shared" si="40"/>
        <v>2.1238425925925928E-2</v>
      </c>
      <c r="H109" s="68">
        <v>0</v>
      </c>
      <c r="I109" s="14">
        <f t="shared" si="41"/>
        <v>4.1890386441668492E-3</v>
      </c>
      <c r="J109" s="92">
        <f t="shared" si="42"/>
        <v>1.2675000000000001</v>
      </c>
      <c r="K109" s="92">
        <f>IF(J109=0,0,IF(B109="F",VLOOKUP(I109,Barem!$G$2:$H$11,2,1),VLOOKUP(I109,Barem!$G$12:$H$21,2,1)))</f>
        <v>1.5</v>
      </c>
      <c r="L109" s="65" t="str">
        <f>VLOOKUP(C109,Barem!L:Q,6,0)</f>
        <v>V</v>
      </c>
      <c r="M109" s="11">
        <f t="shared" si="43"/>
        <v>0.25</v>
      </c>
      <c r="N109" s="11">
        <f t="shared" si="44"/>
        <v>0.75</v>
      </c>
      <c r="O109" s="49">
        <f t="shared" si="45"/>
        <v>0</v>
      </c>
      <c r="P109" s="27">
        <f>IF(D109&gt;21,VLOOKUP(D109,Barem!$S$1:$T$141,2,1),0)</f>
        <v>0</v>
      </c>
      <c r="Q109" s="27">
        <f>IF(D109&lt;1.609,0,IF(B109="F",VLOOKUP(I109,Barem!$W$2:$Y$13,2,1),VLOOKUP(I109,Barem!$W$14:$Y$25,2,1)))</f>
        <v>0</v>
      </c>
      <c r="R109" s="27">
        <f>VLOOKUP(A109,Participanti!A:C,3,0)</f>
        <v>0</v>
      </c>
      <c r="S109" s="21">
        <f t="shared" si="46"/>
        <v>1.441875</v>
      </c>
      <c r="T109" s="82">
        <v>44468</v>
      </c>
      <c r="U109" s="143">
        <f>COUNTIFS(A:A,A109,C:C,C109)</f>
        <v>1</v>
      </c>
      <c r="V109" s="77" t="str">
        <f>VLOOKUP(A109,Data_echipe!A:U,21,0)</f>
        <v>UltraSYR</v>
      </c>
      <c r="X109" s="154">
        <v>1</v>
      </c>
    </row>
    <row r="110" spans="1:24" x14ac:dyDescent="0.25">
      <c r="A110" s="64" t="s">
        <v>7</v>
      </c>
      <c r="B110" s="77" t="str">
        <f>VLOOKUP(A110,Participanti!A:B,2,0)</f>
        <v>M</v>
      </c>
      <c r="C110" s="137">
        <v>4</v>
      </c>
      <c r="D110" s="66">
        <v>5.26</v>
      </c>
      <c r="E110" s="67">
        <v>2.1030092592592597E-2</v>
      </c>
      <c r="F110" s="67">
        <v>2.1030092592592597E-2</v>
      </c>
      <c r="G110" s="100">
        <f t="shared" si="40"/>
        <v>2.1030092592592597E-2</v>
      </c>
      <c r="H110" s="68">
        <v>3</v>
      </c>
      <c r="I110" s="14">
        <f t="shared" si="41"/>
        <v>3.9981164624700756E-3</v>
      </c>
      <c r="J110" s="92">
        <f t="shared" si="42"/>
        <v>1.2523809523809524</v>
      </c>
      <c r="K110" s="92">
        <f>IF(J110=0,0,IF(B110="F",VLOOKUP(I110,Barem!$G$2:$H$11,2,1),VLOOKUP(I110,Barem!$G$12:$H$21,2,1)))</f>
        <v>1.5</v>
      </c>
      <c r="L110" s="65" t="str">
        <f>VLOOKUP(C110,Barem!L:Q,6,0)</f>
        <v>V</v>
      </c>
      <c r="M110" s="11">
        <f t="shared" si="43"/>
        <v>0.25</v>
      </c>
      <c r="N110" s="11">
        <f t="shared" si="44"/>
        <v>0.75</v>
      </c>
      <c r="O110" s="49">
        <f t="shared" si="45"/>
        <v>0</v>
      </c>
      <c r="P110" s="27">
        <f>IF(D110&gt;21,VLOOKUP(D110,Barem!$S$1:$T$141,2,1),0)</f>
        <v>0</v>
      </c>
      <c r="Q110" s="27">
        <f>IF(D110&lt;1.609,0,IF(B110="F",VLOOKUP(I110,Barem!$W$2:$Y$13,2,1),VLOOKUP(I110,Barem!$W$14:$Y$25,2,1)))</f>
        <v>0</v>
      </c>
      <c r="R110" s="27">
        <f>VLOOKUP(A110,Participanti!A:C,3,0)</f>
        <v>0</v>
      </c>
      <c r="S110" s="21">
        <f t="shared" si="46"/>
        <v>1.4380952380952381</v>
      </c>
      <c r="T110" s="82">
        <v>44471</v>
      </c>
      <c r="U110" s="143">
        <f>COUNTIFS(A:A,A110,C:C,C110)</f>
        <v>1</v>
      </c>
      <c r="V110" s="77" t="str">
        <f>VLOOKUP(A110,Data_echipe!A:U,21,0)</f>
        <v>All Stars</v>
      </c>
      <c r="X110" s="154">
        <v>1</v>
      </c>
    </row>
    <row r="111" spans="1:24" x14ac:dyDescent="0.25">
      <c r="A111" s="64" t="s">
        <v>61</v>
      </c>
      <c r="B111" s="77" t="str">
        <f>VLOOKUP(A111,Participanti!A:B,2,0)</f>
        <v>M</v>
      </c>
      <c r="C111" s="137">
        <v>4</v>
      </c>
      <c r="D111" s="66">
        <v>11.3</v>
      </c>
      <c r="E111" s="67">
        <v>4.6724537037037044E-2</v>
      </c>
      <c r="F111" s="67">
        <v>5.4733796296296294E-2</v>
      </c>
      <c r="G111" s="100">
        <f t="shared" si="40"/>
        <v>5.0729166666666672E-2</v>
      </c>
      <c r="H111" s="68">
        <v>344</v>
      </c>
      <c r="I111" s="14">
        <f t="shared" si="41"/>
        <v>4.4893067846607671E-3</v>
      </c>
      <c r="J111" s="92">
        <f t="shared" si="42"/>
        <v>2.6904761904761907</v>
      </c>
      <c r="K111" s="92">
        <f>IF(J111=0,0,IF(B111="F",VLOOKUP(I111,Barem!$G$2:$H$11,2,1),VLOOKUP(I111,Barem!$G$12:$H$21,2,1)))</f>
        <v>1</v>
      </c>
      <c r="L111" s="110" t="s">
        <v>109</v>
      </c>
      <c r="M111" s="11">
        <f t="shared" si="43"/>
        <v>0.75</v>
      </c>
      <c r="N111" s="11">
        <f t="shared" si="44"/>
        <v>0.25</v>
      </c>
      <c r="O111" s="49">
        <f t="shared" si="45"/>
        <v>0.22933333333333333</v>
      </c>
      <c r="P111" s="27">
        <f>IF(D111&gt;21,VLOOKUP(D111,Barem!$S$1:$T$141,2,1),0)</f>
        <v>0</v>
      </c>
      <c r="Q111" s="27">
        <f>IF(D111&lt;1.609,0,IF(B111="F",VLOOKUP(I111,Barem!$W$2:$Y$13,2,1),VLOOKUP(I111,Barem!$W$14:$Y$25,2,1)))</f>
        <v>0</v>
      </c>
      <c r="R111" s="27">
        <f>VLOOKUP(A111,Participanti!A:C,3,0)</f>
        <v>0</v>
      </c>
      <c r="S111" s="21">
        <f t="shared" si="46"/>
        <v>2.4971904761904766</v>
      </c>
      <c r="T111" s="82">
        <v>44471</v>
      </c>
      <c r="U111" s="143">
        <f>COUNTIFS(A:A,A111,C:C,C111)</f>
        <v>1</v>
      </c>
      <c r="V111" s="77" t="str">
        <f>VLOOKUP(A111,Data_echipe!A:U,21,0)</f>
        <v>UltraSYR</v>
      </c>
      <c r="X111" s="154">
        <v>1</v>
      </c>
    </row>
    <row r="112" spans="1:24" x14ac:dyDescent="0.25">
      <c r="A112" s="64" t="s">
        <v>153</v>
      </c>
      <c r="B112" s="77" t="str">
        <f>VLOOKUP(A112,Participanti!A:B,2,0)</f>
        <v>F</v>
      </c>
      <c r="C112" s="137">
        <v>4</v>
      </c>
      <c r="D112" s="66">
        <v>20.440000000000001</v>
      </c>
      <c r="E112" s="67">
        <v>7.2615740740740745E-2</v>
      </c>
      <c r="F112" s="67">
        <v>7.2916666666666671E-2</v>
      </c>
      <c r="G112" s="100">
        <f t="shared" si="40"/>
        <v>7.2766203703703708E-2</v>
      </c>
      <c r="H112" s="68">
        <v>144</v>
      </c>
      <c r="I112" s="14">
        <f t="shared" si="41"/>
        <v>3.559990396462999E-3</v>
      </c>
      <c r="J112" s="92">
        <f t="shared" si="42"/>
        <v>5</v>
      </c>
      <c r="K112" s="92">
        <f>IF(J112=0,0,IF(B112="F",VLOOKUP(I112,Barem!$G$2:$H$11,2,1),VLOOKUP(I112,Barem!$G$12:$H$21,2,1)))</f>
        <v>3.5</v>
      </c>
      <c r="L112" s="65" t="str">
        <f>VLOOKUP(C112,Barem!L:Q,6,0)</f>
        <v>V</v>
      </c>
      <c r="M112" s="11">
        <f t="shared" si="43"/>
        <v>0.25</v>
      </c>
      <c r="N112" s="11">
        <f t="shared" si="44"/>
        <v>0.75</v>
      </c>
      <c r="O112" s="49">
        <f t="shared" si="45"/>
        <v>9.6000000000000002E-2</v>
      </c>
      <c r="P112" s="27">
        <f>IF(D112&gt;21,VLOOKUP(D112,Barem!$S$1:$T$141,2,1),0)</f>
        <v>0</v>
      </c>
      <c r="Q112" s="27">
        <f>IF(D112&lt;1.609,0,IF(B112="F",VLOOKUP(I112,Barem!$W$2:$Y$13,2,1),VLOOKUP(I112,Barem!$W$14:$Y$25,2,1)))</f>
        <v>0</v>
      </c>
      <c r="R112" s="27">
        <f>VLOOKUP(A112,Participanti!A:C,3,0)</f>
        <v>0</v>
      </c>
      <c r="S112" s="21">
        <f t="shared" si="46"/>
        <v>3.9710000000000001</v>
      </c>
      <c r="T112" s="82">
        <v>44471</v>
      </c>
      <c r="U112" s="143">
        <f>COUNTIFS(A:A,A112,C:C,C112)</f>
        <v>1</v>
      </c>
      <c r="V112" s="77" t="str">
        <f>VLOOKUP(A112,Data_echipe!A:U,21,0)</f>
        <v>All Stars</v>
      </c>
      <c r="X112" s="154">
        <v>1</v>
      </c>
    </row>
    <row r="113" spans="1:24" x14ac:dyDescent="0.25">
      <c r="A113" s="64" t="s">
        <v>50</v>
      </c>
      <c r="B113" s="77" t="str">
        <f>VLOOKUP(A113,Participanti!A:B,2,0)</f>
        <v>M</v>
      </c>
      <c r="C113" s="137">
        <v>4</v>
      </c>
      <c r="D113" s="66"/>
      <c r="E113" s="67"/>
      <c r="F113" s="67"/>
      <c r="G113" s="100"/>
      <c r="H113" s="68"/>
      <c r="I113" s="14"/>
      <c r="J113" s="92"/>
      <c r="K113" s="92"/>
      <c r="L113" s="65"/>
      <c r="M113" s="11"/>
      <c r="N113" s="11"/>
      <c r="O113" s="49"/>
      <c r="S113" s="128">
        <v>1.5</v>
      </c>
      <c r="T113" s="82"/>
      <c r="U113" s="143">
        <f>COUNTIFS(A:A,A113,C:C,C113)</f>
        <v>1</v>
      </c>
      <c r="V113" s="77" t="str">
        <f>VLOOKUP(A113,Data_echipe!A:U,21,0)</f>
        <v>UltraSYR</v>
      </c>
      <c r="X113" s="154"/>
    </row>
    <row r="114" spans="1:24" x14ac:dyDescent="0.25">
      <c r="A114" s="64" t="s">
        <v>154</v>
      </c>
      <c r="B114" s="77" t="str">
        <f>VLOOKUP(A114,Participanti!A:B,2,0)</f>
        <v>M</v>
      </c>
      <c r="C114" s="137">
        <v>4</v>
      </c>
      <c r="D114" s="66">
        <v>6.27</v>
      </c>
      <c r="E114" s="67">
        <v>1.7233796296296296E-2</v>
      </c>
      <c r="F114" s="67">
        <v>1.8113425925925925E-2</v>
      </c>
      <c r="G114" s="100">
        <f t="shared" si="40"/>
        <v>1.7673611111111112E-2</v>
      </c>
      <c r="H114" s="68">
        <v>22</v>
      </c>
      <c r="I114" s="14">
        <f t="shared" si="41"/>
        <v>2.8187577529682796E-3</v>
      </c>
      <c r="J114" s="92">
        <f t="shared" si="42"/>
        <v>1.4928571428571427</v>
      </c>
      <c r="K114" s="92">
        <f>IF(J114=0,0,IF(B114="F",VLOOKUP(I114,Barem!$G$2:$H$11,2,1),VLOOKUP(I114,Barem!$G$12:$H$21,2,1)))</f>
        <v>4.5</v>
      </c>
      <c r="L114" s="65" t="str">
        <f>VLOOKUP(C114,Barem!L:Q,6,0)</f>
        <v>V</v>
      </c>
      <c r="M114" s="11">
        <f t="shared" si="43"/>
        <v>0.25</v>
      </c>
      <c r="N114" s="11">
        <f t="shared" si="44"/>
        <v>0.75</v>
      </c>
      <c r="O114" s="49">
        <f t="shared" si="45"/>
        <v>0</v>
      </c>
      <c r="P114" s="27">
        <f>IF(D114&gt;21,VLOOKUP(D114,Barem!$S$1:$T$141,2,1),0)</f>
        <v>0</v>
      </c>
      <c r="Q114" s="27">
        <f>IF(D114&lt;1.609,0,IF(B114="F",VLOOKUP(I114,Barem!$W$2:$Y$13,2,1),VLOOKUP(I114,Barem!$W$14:$Y$25,2,1)))</f>
        <v>0</v>
      </c>
      <c r="R114" s="27">
        <f>VLOOKUP(A114,Participanti!A:C,3,0)</f>
        <v>0</v>
      </c>
      <c r="S114" s="21">
        <f t="shared" si="46"/>
        <v>3.7482142857142855</v>
      </c>
      <c r="T114" s="82">
        <v>44472</v>
      </c>
      <c r="U114" s="143">
        <f>COUNTIFS(A:A,A114,C:C,C114)</f>
        <v>1</v>
      </c>
      <c r="V114" s="77" t="str">
        <f>VLOOKUP(A114,Data_echipe!A:U,21,0)</f>
        <v>All Stars</v>
      </c>
      <c r="X114" s="154">
        <v>1</v>
      </c>
    </row>
    <row r="115" spans="1:24" x14ac:dyDescent="0.25">
      <c r="A115" s="64" t="s">
        <v>152</v>
      </c>
      <c r="B115" s="77" t="str">
        <f>VLOOKUP(A115,Participanti!A:B,2,0)</f>
        <v>F</v>
      </c>
      <c r="C115" s="137">
        <v>4</v>
      </c>
      <c r="D115" s="66">
        <v>21.99</v>
      </c>
      <c r="E115" s="67">
        <v>7.5983796296296299E-2</v>
      </c>
      <c r="F115" s="67">
        <v>7.5983796296296299E-2</v>
      </c>
      <c r="G115" s="100">
        <f t="shared" si="40"/>
        <v>7.5983796296296299E-2</v>
      </c>
      <c r="H115" s="68">
        <v>88</v>
      </c>
      <c r="I115" s="14">
        <f t="shared" si="41"/>
        <v>3.4553795496269353E-3</v>
      </c>
      <c r="J115" s="92">
        <f t="shared" si="42"/>
        <v>5</v>
      </c>
      <c r="K115" s="92">
        <f>IF(J115=0,0,IF(B115="F",VLOOKUP(I115,Barem!$G$2:$H$11,2,1),VLOOKUP(I115,Barem!$G$12:$H$21,2,1)))</f>
        <v>4</v>
      </c>
      <c r="L115" s="110" t="s">
        <v>109</v>
      </c>
      <c r="M115" s="11">
        <f t="shared" si="43"/>
        <v>0.75</v>
      </c>
      <c r="N115" s="11">
        <f t="shared" si="44"/>
        <v>0.25</v>
      </c>
      <c r="O115" s="49">
        <f t="shared" si="45"/>
        <v>5.8666666666666666E-2</v>
      </c>
      <c r="P115" s="27">
        <f>IF(D115&gt;21,VLOOKUP(D115,Barem!$S$1:$T$141,2,1),0)</f>
        <v>0</v>
      </c>
      <c r="Q115" s="27">
        <f>IF(D115&lt;1.609,0,IF(B115="F",VLOOKUP(I115,Barem!$W$2:$Y$13,2,1),VLOOKUP(I115,Barem!$W$14:$Y$25,2,1)))</f>
        <v>0</v>
      </c>
      <c r="R115" s="27">
        <f>VLOOKUP(A115,Participanti!A:C,3,0)</f>
        <v>0</v>
      </c>
      <c r="S115" s="21">
        <f t="shared" si="46"/>
        <v>4.8086666666666664</v>
      </c>
      <c r="T115" s="82">
        <v>44472</v>
      </c>
      <c r="U115" s="143">
        <f>COUNTIFS(A:A,A115,C:C,C115)</f>
        <v>1</v>
      </c>
      <c r="V115" s="77" t="str">
        <f>VLOOKUP(A115,Data_echipe!A:U,21,0)</f>
        <v>All Stars</v>
      </c>
      <c r="X115" s="154">
        <v>1</v>
      </c>
    </row>
    <row r="116" spans="1:24" x14ac:dyDescent="0.25">
      <c r="A116" s="64" t="s">
        <v>117</v>
      </c>
      <c r="B116" s="77" t="str">
        <f>VLOOKUP(A116,Participanti!A:B,2,0)</f>
        <v>M</v>
      </c>
      <c r="C116" s="137">
        <v>4</v>
      </c>
      <c r="D116" s="66">
        <v>14.08</v>
      </c>
      <c r="E116" s="67">
        <v>5.6319444444444443E-2</v>
      </c>
      <c r="F116" s="67">
        <v>5.6319444444444443E-2</v>
      </c>
      <c r="G116" s="100">
        <f t="shared" si="40"/>
        <v>5.6319444444444443E-2</v>
      </c>
      <c r="H116" s="68">
        <v>30</v>
      </c>
      <c r="I116" s="14">
        <f t="shared" si="41"/>
        <v>3.999960542929293E-3</v>
      </c>
      <c r="J116" s="92">
        <f t="shared" si="42"/>
        <v>3.3523809523809525</v>
      </c>
      <c r="K116" s="92">
        <f>IF(J116=0,0,IF(B116="F",VLOOKUP(I116,Barem!$G$2:$H$11,2,1),VLOOKUP(I116,Barem!$G$12:$H$21,2,1)))</f>
        <v>1.5</v>
      </c>
      <c r="L116" s="110" t="s">
        <v>109</v>
      </c>
      <c r="M116" s="11">
        <f t="shared" si="43"/>
        <v>0.75</v>
      </c>
      <c r="N116" s="11">
        <f t="shared" si="44"/>
        <v>0.25</v>
      </c>
      <c r="O116" s="49">
        <f t="shared" si="45"/>
        <v>0</v>
      </c>
      <c r="P116" s="27">
        <f>IF(D116&gt;21,VLOOKUP(D116,Barem!$S$1:$T$141,2,1),0)</f>
        <v>0</v>
      </c>
      <c r="Q116" s="27">
        <f>IF(D116&lt;1.609,0,IF(B116="F",VLOOKUP(I116,Barem!$W$2:$Y$13,2,1),VLOOKUP(I116,Barem!$W$14:$Y$25,2,1)))</f>
        <v>0</v>
      </c>
      <c r="R116" s="27">
        <f>VLOOKUP(A116,Participanti!A:C,3,0)</f>
        <v>0</v>
      </c>
      <c r="S116" s="21">
        <f t="shared" si="46"/>
        <v>2.8892857142857142</v>
      </c>
      <c r="T116" s="82">
        <v>44471</v>
      </c>
      <c r="U116" s="143">
        <f>COUNTIFS(A:A,A116,C:C,C116)</f>
        <v>1</v>
      </c>
      <c r="V116" s="77" t="str">
        <f>VLOOKUP(A116,Data_echipe!A:U,21,0)</f>
        <v>UltraSYR</v>
      </c>
      <c r="X116" s="154">
        <v>1</v>
      </c>
    </row>
    <row r="117" spans="1:24" x14ac:dyDescent="0.25">
      <c r="A117" s="64" t="s">
        <v>239</v>
      </c>
      <c r="B117" s="77" t="str">
        <f>VLOOKUP(A117,Participanti!A:B,2,0)</f>
        <v>M</v>
      </c>
      <c r="C117" s="137">
        <v>4</v>
      </c>
      <c r="D117" s="66">
        <v>6.44</v>
      </c>
      <c r="E117" s="67">
        <v>2.0185185185185184E-2</v>
      </c>
      <c r="F117" s="67">
        <v>2.0185185185185184E-2</v>
      </c>
      <c r="G117" s="100">
        <f t="shared" si="40"/>
        <v>2.0185185185185184E-2</v>
      </c>
      <c r="H117" s="68">
        <v>16</v>
      </c>
      <c r="I117" s="14">
        <f t="shared" si="41"/>
        <v>3.1343455256498732E-3</v>
      </c>
      <c r="J117" s="92">
        <f t="shared" si="42"/>
        <v>1.5333333333333334</v>
      </c>
      <c r="K117" s="92">
        <f>IF(J117=0,0,IF(B117="F",VLOOKUP(I117,Barem!$G$2:$H$11,2,1),VLOOKUP(I117,Barem!$G$12:$H$21,2,1)))</f>
        <v>4</v>
      </c>
      <c r="L117" s="65" t="str">
        <f>VLOOKUP(C117,Barem!L:Q,6,0)</f>
        <v>V</v>
      </c>
      <c r="M117" s="11">
        <f t="shared" si="43"/>
        <v>0.25</v>
      </c>
      <c r="N117" s="11">
        <f t="shared" si="44"/>
        <v>0.75</v>
      </c>
      <c r="O117" s="49">
        <f t="shared" si="45"/>
        <v>0</v>
      </c>
      <c r="P117" s="27">
        <f>IF(D117&gt;21,VLOOKUP(D117,Barem!$S$1:$T$141,2,1),0)</f>
        <v>0</v>
      </c>
      <c r="Q117" s="27">
        <f>IF(D117&lt;1.609,0,IF(B117="F",VLOOKUP(I117,Barem!$W$2:$Y$13,2,1),VLOOKUP(I117,Barem!$W$14:$Y$25,2,1)))</f>
        <v>0</v>
      </c>
      <c r="R117" s="27">
        <f>VLOOKUP(A117,Participanti!A:C,3,0)</f>
        <v>0</v>
      </c>
      <c r="S117" s="21">
        <f t="shared" si="46"/>
        <v>3.3833333333333333</v>
      </c>
      <c r="T117" s="82">
        <v>44469</v>
      </c>
      <c r="U117" s="143">
        <f>COUNTIFS(A:A,A117,C:C,C117)</f>
        <v>1</v>
      </c>
      <c r="V117" s="77" t="str">
        <f>VLOOKUP(A117,Data_echipe!A:U,21,0)</f>
        <v>All Stars</v>
      </c>
      <c r="X117" s="154">
        <v>1</v>
      </c>
    </row>
    <row r="118" spans="1:24" x14ac:dyDescent="0.25">
      <c r="A118" s="64" t="s">
        <v>53</v>
      </c>
      <c r="B118" s="77" t="str">
        <f>VLOOKUP(A118,Participanti!A:B,2,0)</f>
        <v>M</v>
      </c>
      <c r="C118" s="137">
        <v>4</v>
      </c>
      <c r="D118" s="66">
        <v>30.79</v>
      </c>
      <c r="E118" s="67">
        <v>0.12443287037037037</v>
      </c>
      <c r="F118" s="67">
        <v>0.13407407407407407</v>
      </c>
      <c r="G118" s="100">
        <f>AVERAGE(E118:F118)</f>
        <v>0.12925347222222222</v>
      </c>
      <c r="H118" s="68">
        <v>867</v>
      </c>
      <c r="I118" s="14">
        <f>G118/D118</f>
        <v>4.1979042618454764E-3</v>
      </c>
      <c r="J118" s="92">
        <f>IF(B118="F",IF(D118&lt;2.5,0,IF(D118&gt;19.99,5,D118/4)),IF(D118&lt;3,0, IF(D118&gt;20.99,5,D118/4.2)))</f>
        <v>5</v>
      </c>
      <c r="K118" s="92">
        <f>IF(J118=0,0,IF(B118="F",VLOOKUP(I118,Barem!$G$2:$H$11,2,1),VLOOKUP(I118,Barem!$G$12:$H$21,2,1)))</f>
        <v>1</v>
      </c>
      <c r="L118" s="110" t="s">
        <v>109</v>
      </c>
      <c r="M118" s="11">
        <f>IF(OR(L118="P1",L118="P2",L118="P3"),"",IF(C118=15,0.5,IF(L118="D",0.75,0.25)))</f>
        <v>0.75</v>
      </c>
      <c r="N118" s="11">
        <f>IF(OR(L118="P1",L118="P2",L118="P3"),"",IF(C118=15,0.5,IF(L118="V",0.75,0.25)))</f>
        <v>0.25</v>
      </c>
      <c r="O118" s="49">
        <f>IF(H118&lt;-49,H118/1500,IF(H118&gt;49,H118/1500,0))</f>
        <v>0.57799999999999996</v>
      </c>
      <c r="P118" s="27">
        <f>IF(D118&gt;21,VLOOKUP(D118,Barem!$S$1:$T$141,2,1),0)</f>
        <v>0.4</v>
      </c>
      <c r="Q118" s="27">
        <f>IF(D118&lt;1.609,0,IF(B118="F",VLOOKUP(I118,Barem!$W$2:$Y$13,2,1),VLOOKUP(I118,Barem!$W$14:$Y$25,2,1)))</f>
        <v>0</v>
      </c>
      <c r="R118" s="27">
        <f>VLOOKUP(A118,Participanti!A:C,3,0)</f>
        <v>0</v>
      </c>
      <c r="S118" s="21">
        <f>J118*M118+K118*N118+O118+P118+Q118+R118</f>
        <v>4.9780000000000006</v>
      </c>
      <c r="T118" s="82">
        <v>44472</v>
      </c>
      <c r="U118" s="143">
        <f>COUNTIFS(A:A,A118,C:C,C118)</f>
        <v>1</v>
      </c>
      <c r="V118" s="77" t="str">
        <f>VLOOKUP(A118,Data_echipe!A:U,21,0)</f>
        <v>UltraSYR</v>
      </c>
      <c r="X118" s="154">
        <v>1</v>
      </c>
    </row>
    <row r="119" spans="1:24" x14ac:dyDescent="0.25">
      <c r="A119" s="64" t="s">
        <v>60</v>
      </c>
      <c r="B119" s="77" t="str">
        <f>VLOOKUP(A119,Participanti!A:B,2,0)</f>
        <v>M</v>
      </c>
      <c r="C119" s="137">
        <v>4</v>
      </c>
      <c r="D119" s="66">
        <v>10.029999999999999</v>
      </c>
      <c r="E119" s="67">
        <v>4.8414351851851854E-2</v>
      </c>
      <c r="F119" s="67">
        <v>4.87037037037037E-2</v>
      </c>
      <c r="G119" s="100">
        <f t="shared" si="40"/>
        <v>4.8559027777777777E-2</v>
      </c>
      <c r="H119" s="68">
        <v>19</v>
      </c>
      <c r="I119" s="14">
        <f t="shared" si="41"/>
        <v>4.841378641852221E-3</v>
      </c>
      <c r="J119" s="92">
        <f t="shared" si="42"/>
        <v>2.388095238095238</v>
      </c>
      <c r="K119" s="92">
        <f>IF(J119=0,0,IF(B119="F",VLOOKUP(I119,Barem!$G$2:$H$11,2,1),VLOOKUP(I119,Barem!$G$12:$H$21,2,1)))</f>
        <v>1</v>
      </c>
      <c r="L119" s="65" t="str">
        <f>VLOOKUP(C119,Barem!L:Q,6,0)</f>
        <v>V</v>
      </c>
      <c r="M119" s="11">
        <f t="shared" si="43"/>
        <v>0.25</v>
      </c>
      <c r="N119" s="11">
        <f t="shared" si="44"/>
        <v>0.75</v>
      </c>
      <c r="O119" s="49">
        <f t="shared" si="45"/>
        <v>0</v>
      </c>
      <c r="P119" s="27">
        <f>IF(D119&gt;21,VLOOKUP(D119,Barem!$S$1:$T$141,2,1),0)</f>
        <v>0</v>
      </c>
      <c r="Q119" s="27">
        <f>IF(D119&lt;1.609,0,IF(B119="F",VLOOKUP(I119,Barem!$W$2:$Y$13,2,1),VLOOKUP(I119,Barem!$W$14:$Y$25,2,1)))</f>
        <v>0</v>
      </c>
      <c r="R119" s="27">
        <f>VLOOKUP(A119,Participanti!A:C,3,0)</f>
        <v>0</v>
      </c>
      <c r="S119" s="21">
        <f t="shared" si="46"/>
        <v>1.3470238095238094</v>
      </c>
      <c r="T119" s="82">
        <v>44472</v>
      </c>
      <c r="U119" s="143">
        <f>COUNTIFS(A:A,A119,C:C,C119)</f>
        <v>1</v>
      </c>
      <c r="V119" s="77" t="e">
        <f>VLOOKUP(A119,Data_echipe!A:U,21,0)</f>
        <v>#N/A</v>
      </c>
      <c r="X119" s="154">
        <v>1</v>
      </c>
    </row>
    <row r="120" spans="1:24" x14ac:dyDescent="0.25">
      <c r="A120" s="64" t="s">
        <v>127</v>
      </c>
      <c r="B120" s="77" t="str">
        <f>VLOOKUP(A120,Participanti!A:B,2,0)</f>
        <v>M</v>
      </c>
      <c r="C120" s="137">
        <v>4</v>
      </c>
      <c r="D120" s="66">
        <v>6.15</v>
      </c>
      <c r="E120" s="67">
        <v>1.818287037037037E-2</v>
      </c>
      <c r="F120" s="67">
        <v>1.8553240740740742E-2</v>
      </c>
      <c r="G120" s="100">
        <f t="shared" si="40"/>
        <v>1.8368055555555554E-2</v>
      </c>
      <c r="H120" s="68">
        <v>0</v>
      </c>
      <c r="I120" s="14">
        <f t="shared" si="41"/>
        <v>2.9866757000903336E-3</v>
      </c>
      <c r="J120" s="92">
        <f t="shared" si="42"/>
        <v>1.4642857142857144</v>
      </c>
      <c r="K120" s="92">
        <f>IF(J120=0,0,IF(B120="F",VLOOKUP(I120,Barem!$G$2:$H$11,2,1),VLOOKUP(I120,Barem!$G$12:$H$21,2,1)))</f>
        <v>4</v>
      </c>
      <c r="L120" s="65" t="str">
        <f>VLOOKUP(C120,Barem!L:Q,6,0)</f>
        <v>V</v>
      </c>
      <c r="M120" s="11">
        <f t="shared" si="43"/>
        <v>0.25</v>
      </c>
      <c r="N120" s="11">
        <f t="shared" si="44"/>
        <v>0.75</v>
      </c>
      <c r="O120" s="49">
        <f t="shared" si="45"/>
        <v>0</v>
      </c>
      <c r="P120" s="27">
        <f>IF(D120&gt;21,VLOOKUP(D120,Barem!$S$1:$T$141,2,1),0)</f>
        <v>0</v>
      </c>
      <c r="Q120" s="27">
        <f>IF(D120&lt;1.609,0,IF(B120="F",VLOOKUP(I120,Barem!$W$2:$Y$13,2,1),VLOOKUP(I120,Barem!$W$14:$Y$25,2,1)))</f>
        <v>0</v>
      </c>
      <c r="R120" s="27">
        <f>VLOOKUP(A120,Participanti!A:C,3,0)</f>
        <v>0</v>
      </c>
      <c r="S120" s="21">
        <f t="shared" si="46"/>
        <v>3.3660714285714288</v>
      </c>
      <c r="T120" s="82">
        <v>44472</v>
      </c>
      <c r="U120" s="143">
        <f>COUNTIFS(A:A,A120,C:C,C120)</f>
        <v>1</v>
      </c>
      <c r="V120" s="77" t="e">
        <f>VLOOKUP(A120,Data_echipe!A:U,21,0)</f>
        <v>#N/A</v>
      </c>
      <c r="X120" s="154">
        <v>1</v>
      </c>
    </row>
    <row r="121" spans="1:24" x14ac:dyDescent="0.25">
      <c r="A121" s="64" t="s">
        <v>240</v>
      </c>
      <c r="B121" s="77" t="str">
        <f>VLOOKUP(A121,Participanti!A:B,2,0)</f>
        <v>M</v>
      </c>
      <c r="C121" s="137">
        <v>4</v>
      </c>
      <c r="D121" s="66">
        <v>21.11</v>
      </c>
      <c r="E121" s="67">
        <v>6.3981481481481486E-2</v>
      </c>
      <c r="F121" s="67">
        <v>6.474537037037037E-2</v>
      </c>
      <c r="G121" s="100">
        <f t="shared" si="40"/>
        <v>6.4363425925925921E-2</v>
      </c>
      <c r="H121" s="68">
        <v>7</v>
      </c>
      <c r="I121" s="14">
        <f t="shared" si="41"/>
        <v>3.0489543309296977E-3</v>
      </c>
      <c r="J121" s="92">
        <f t="shared" si="42"/>
        <v>5</v>
      </c>
      <c r="K121" s="92">
        <f>IF(J121=0,0,IF(B121="F",VLOOKUP(I121,Barem!$G$2:$H$11,2,1),VLOOKUP(I121,Barem!$G$12:$H$21,2,1)))</f>
        <v>4</v>
      </c>
      <c r="L121" s="110" t="s">
        <v>109</v>
      </c>
      <c r="M121" s="11">
        <f t="shared" si="43"/>
        <v>0.75</v>
      </c>
      <c r="N121" s="11">
        <f t="shared" si="44"/>
        <v>0.25</v>
      </c>
      <c r="O121" s="49">
        <f t="shared" si="45"/>
        <v>0</v>
      </c>
      <c r="P121" s="27">
        <f>IF(D121&gt;21,VLOOKUP(D121,Barem!$S$1:$T$141,2,1),0)</f>
        <v>0</v>
      </c>
      <c r="Q121" s="27">
        <f>IF(D121&lt;1.609,0,IF(B121="F",VLOOKUP(I121,Barem!$W$2:$Y$13,2,1),VLOOKUP(I121,Barem!$W$14:$Y$25,2,1)))</f>
        <v>0</v>
      </c>
      <c r="R121" s="27">
        <f>VLOOKUP(A121,Participanti!A:C,3,0)</f>
        <v>0</v>
      </c>
      <c r="S121" s="21">
        <f t="shared" si="46"/>
        <v>4.75</v>
      </c>
      <c r="T121" s="82">
        <v>44471</v>
      </c>
      <c r="U121" s="143">
        <f>COUNTIFS(A:A,A121,C:C,C121)</f>
        <v>1</v>
      </c>
      <c r="V121" s="77" t="str">
        <f>VLOOKUP(A121,Data_echipe!A:U,21,0)</f>
        <v>All Stars</v>
      </c>
      <c r="X121" s="154">
        <v>1</v>
      </c>
    </row>
    <row r="122" spans="1:24" x14ac:dyDescent="0.25">
      <c r="A122" s="64" t="s">
        <v>202</v>
      </c>
      <c r="B122" s="77" t="str">
        <f>VLOOKUP(A122,Participanti!A:B,2,0)</f>
        <v>F</v>
      </c>
      <c r="C122" s="137">
        <v>4</v>
      </c>
      <c r="D122" s="66">
        <v>4.0199999999999996</v>
      </c>
      <c r="E122" s="67">
        <v>1.758101851851852E-2</v>
      </c>
      <c r="F122" s="67">
        <v>3.1458333333333331E-2</v>
      </c>
      <c r="G122" s="100">
        <f t="shared" si="40"/>
        <v>2.4519675925925924E-2</v>
      </c>
      <c r="H122" s="68">
        <v>15</v>
      </c>
      <c r="I122" s="14">
        <f>G122/D122</f>
        <v>6.0994218721208771E-3</v>
      </c>
      <c r="J122" s="92">
        <f>IF(B122="F",IF(D122&lt;2.5,0,IF(D122&gt;19.99,5,D122/4)),IF(D122&lt;3,0, IF(D122&gt;20.99,5,D122/4.2)))</f>
        <v>1.0049999999999999</v>
      </c>
      <c r="K122" s="92">
        <f>IF(J122=0,0,IF(B122="F",VLOOKUP(I122,Barem!$G$2:$H$11,2,1),VLOOKUP(I122,Barem!$G$12:$H$21,2,1)))</f>
        <v>1</v>
      </c>
      <c r="L122" s="65" t="str">
        <f>VLOOKUP(C122,Barem!L:Q,6,0)</f>
        <v>V</v>
      </c>
      <c r="M122" s="11">
        <f>IF(OR(L122="P1",L122="P2",L122="P3"),"",IF(C122=15,0.5,IF(L122="D",0.75,0.25)))</f>
        <v>0.25</v>
      </c>
      <c r="N122" s="11">
        <f>IF(OR(L122="P1",L122="P2",L122="P3"),"",IF(C122=15,0.5,IF(L122="V",0.75,0.25)))</f>
        <v>0.75</v>
      </c>
      <c r="O122" s="49">
        <f>IF(H122&lt;-49,H122/1500,IF(H122&gt;49,H122/1500,0))</f>
        <v>0</v>
      </c>
      <c r="P122" s="27">
        <f>IF(D122&gt;21,VLOOKUP(D122,Barem!$S$1:$T$141,2,1),0)</f>
        <v>0</v>
      </c>
      <c r="Q122" s="27">
        <f>IF(D122&lt;1.609,0,IF(B122="F",VLOOKUP(I122,Barem!$W$2:$Y$13,2,1),VLOOKUP(I122,Barem!$W$14:$Y$25,2,1)))</f>
        <v>0</v>
      </c>
      <c r="R122" s="27">
        <f>VLOOKUP(A122,Participanti!A:C,3,0)</f>
        <v>0</v>
      </c>
      <c r="S122" s="21">
        <f t="shared" si="46"/>
        <v>1.00125</v>
      </c>
      <c r="T122" s="82">
        <v>44472</v>
      </c>
      <c r="U122" s="143">
        <f>COUNTIFS(A:A,A122,C:C,C122)</f>
        <v>1</v>
      </c>
      <c r="V122" s="77" t="e">
        <f>VLOOKUP(A122,Data_echipe!A:U,21,0)</f>
        <v>#N/A</v>
      </c>
      <c r="X122" s="154">
        <v>1</v>
      </c>
    </row>
    <row r="123" spans="1:24" x14ac:dyDescent="0.25">
      <c r="A123" s="64" t="s">
        <v>241</v>
      </c>
      <c r="B123" s="77" t="str">
        <f>VLOOKUP(A123,Participanti!A:B,2,0)</f>
        <v>M</v>
      </c>
      <c r="C123" s="137">
        <v>4</v>
      </c>
      <c r="D123" s="66">
        <v>6.02</v>
      </c>
      <c r="E123" s="67">
        <v>1.7384259259259262E-2</v>
      </c>
      <c r="F123" s="67">
        <v>1.7569444444444447E-2</v>
      </c>
      <c r="G123" s="100">
        <f t="shared" ref="G123:G130" si="47">AVERAGE(E123:F123)</f>
        <v>1.7476851851851855E-2</v>
      </c>
      <c r="H123" s="68">
        <v>0</v>
      </c>
      <c r="I123" s="14">
        <f t="shared" ref="I123:I130" si="48">G123/D123</f>
        <v>2.9031315368524676E-3</v>
      </c>
      <c r="J123" s="92">
        <f t="shared" ref="J123:J130" si="49">IF(B123="F",IF(D123&lt;2.5,0,IF(D123&gt;19.99,5,D123/4)),IF(D123&lt;3,0, IF(D123&gt;20.99,5,D123/4.2)))</f>
        <v>1.4333333333333331</v>
      </c>
      <c r="K123" s="92">
        <f>IF(J123=0,0,IF(B123="F",VLOOKUP(I123,Barem!$G$2:$H$11,2,1),VLOOKUP(I123,Barem!$G$12:$H$21,2,1)))</f>
        <v>4.5</v>
      </c>
      <c r="L123" s="65" t="str">
        <f>VLOOKUP(C123,Barem!L:Q,6,0)</f>
        <v>V</v>
      </c>
      <c r="M123" s="11">
        <f>IF(OR(L123="P1",L123="P2",L123="P3"),"",IF(C123=15,0.5,IF(L123="D",0.75,0.25)))</f>
        <v>0.25</v>
      </c>
      <c r="N123" s="11">
        <f>IF(OR(L123="P1",L123="P2",L123="P3"),"",IF(C123=15,0.5,IF(L123="V",0.75,0.25)))</f>
        <v>0.75</v>
      </c>
      <c r="O123" s="49">
        <f>IF(H123&lt;-49,H123/1500,IF(H123&gt;49,H123/1500,0))</f>
        <v>0</v>
      </c>
      <c r="P123" s="27">
        <f>IF(D123&gt;21,VLOOKUP(D123,Barem!$S$1:$T$141,2,1),0)</f>
        <v>0</v>
      </c>
      <c r="Q123" s="27">
        <f>IF(D123&lt;1.609,0,IF(B123="F",VLOOKUP(I123,Barem!$W$2:$Y$13,2,1),VLOOKUP(I123,Barem!$W$14:$Y$25,2,1)))</f>
        <v>0</v>
      </c>
      <c r="R123" s="27">
        <f>VLOOKUP(A123,Participanti!A:C,3,0)</f>
        <v>0</v>
      </c>
      <c r="S123" s="21">
        <f t="shared" si="46"/>
        <v>3.7333333333333334</v>
      </c>
      <c r="T123" s="82">
        <v>44468</v>
      </c>
      <c r="U123" s="143">
        <f>COUNTIFS(A:A,A123,C:C,C123)</f>
        <v>1</v>
      </c>
      <c r="V123" s="77" t="e">
        <f>VLOOKUP(A123,Data_echipe!A:U,21,0)</f>
        <v>#N/A</v>
      </c>
      <c r="X123" s="154">
        <v>1</v>
      </c>
    </row>
    <row r="124" spans="1:24" x14ac:dyDescent="0.25">
      <c r="A124" s="64" t="s">
        <v>242</v>
      </c>
      <c r="B124" s="77" t="str">
        <f>VLOOKUP(A124,Participanti!A:B,2,0)</f>
        <v>M</v>
      </c>
      <c r="C124" s="137">
        <v>4</v>
      </c>
      <c r="D124" s="66">
        <v>41.62</v>
      </c>
      <c r="E124" s="67">
        <v>0.11347222222222221</v>
      </c>
      <c r="F124" s="67">
        <v>0.11361111111111111</v>
      </c>
      <c r="G124" s="100">
        <f t="shared" si="47"/>
        <v>0.11354166666666665</v>
      </c>
      <c r="H124" s="68">
        <v>378</v>
      </c>
      <c r="I124" s="14">
        <f t="shared" si="48"/>
        <v>2.7280554220727215E-3</v>
      </c>
      <c r="J124" s="92">
        <f t="shared" si="49"/>
        <v>5</v>
      </c>
      <c r="K124" s="92">
        <f>IF(J124=0,0,IF(B124="F",VLOOKUP(I124,Barem!$G$2:$H$11,2,1),VLOOKUP(I124,Barem!$G$12:$H$21,2,1)))</f>
        <v>5</v>
      </c>
      <c r="L124" s="110" t="s">
        <v>109</v>
      </c>
      <c r="M124" s="11">
        <f>IF(OR(L124="P1",L124="P2",L124="P3"),"",IF(C124=15,0.5,IF(L124="D",0.75,0.25)))</f>
        <v>0.75</v>
      </c>
      <c r="N124" s="11">
        <f>IF(OR(L124="P1",L124="P2",L124="P3"),"",IF(C124=15,0.5,IF(L124="V",0.75,0.25)))</f>
        <v>0.25</v>
      </c>
      <c r="O124" s="49">
        <f>IF(H124&lt;-49,H124/1500,IF(H124&gt;49,H124/1500,0))</f>
        <v>0.252</v>
      </c>
      <c r="P124" s="27">
        <f>IF(D124&gt;21,VLOOKUP(D124,Barem!$S$1:$T$141,2,1),0)</f>
        <v>1</v>
      </c>
      <c r="Q124" s="27">
        <f>IF(D124&lt;1.609,0,IF(B124="F",VLOOKUP(I124,Barem!$W$2:$Y$13,2,1),VLOOKUP(I124,Barem!$W$14:$Y$25,2,1)))</f>
        <v>0.45000000000000007</v>
      </c>
      <c r="R124" s="27">
        <f>VLOOKUP(A124,Participanti!A:C,3,0)</f>
        <v>0</v>
      </c>
      <c r="S124" s="21">
        <f t="shared" si="46"/>
        <v>6.702</v>
      </c>
      <c r="T124" s="82">
        <v>44441</v>
      </c>
      <c r="U124" s="143">
        <f>COUNTIFS(A:A,A124,C:C,C124)</f>
        <v>1</v>
      </c>
      <c r="V124" s="77" t="str">
        <f>VLOOKUP(A124,Data_echipe!A:U,21,0)</f>
        <v>All Stars</v>
      </c>
      <c r="X124" s="154">
        <v>1</v>
      </c>
    </row>
    <row r="125" spans="1:24" x14ac:dyDescent="0.25">
      <c r="A125" s="64" t="s">
        <v>203</v>
      </c>
      <c r="B125" s="77" t="str">
        <f>VLOOKUP(A125,Participanti!A:B,2,0)</f>
        <v>M</v>
      </c>
      <c r="C125" s="137">
        <v>4</v>
      </c>
      <c r="D125" s="66">
        <v>40.15</v>
      </c>
      <c r="E125" s="67">
        <v>0.11986111111111113</v>
      </c>
      <c r="F125" s="67">
        <v>0.11989583333333333</v>
      </c>
      <c r="G125" s="100">
        <f t="shared" si="47"/>
        <v>0.11987847222222223</v>
      </c>
      <c r="H125" s="68">
        <v>379</v>
      </c>
      <c r="I125" s="14">
        <f t="shared" si="48"/>
        <v>2.9857651861076519E-3</v>
      </c>
      <c r="J125" s="92">
        <f t="shared" si="49"/>
        <v>5</v>
      </c>
      <c r="K125" s="92">
        <f>IF(J125=0,0,IF(B125="F",VLOOKUP(I125,Barem!$G$2:$H$11,2,1),VLOOKUP(I125,Barem!$G$12:$H$21,2,1)))</f>
        <v>4</v>
      </c>
      <c r="L125" s="65" t="str">
        <f>VLOOKUP(C125,Barem!L:Q,6,0)</f>
        <v>V</v>
      </c>
      <c r="M125" s="11">
        <f t="shared" ref="M125:M130" si="50">IF(OR(L125="P1",L125="P2",L125="P3"),"",IF(C125=15,0.5,IF(L125="D",0.75,0.25)))</f>
        <v>0.25</v>
      </c>
      <c r="N125" s="11">
        <f t="shared" ref="N125:N130" si="51">IF(OR(L125="P1",L125="P2",L125="P3"),"",IF(C125=15,0.5,IF(L125="V",0.75,0.25)))</f>
        <v>0.75</v>
      </c>
      <c r="O125" s="49">
        <f t="shared" ref="O125:O130" si="52">IF(H125&lt;-49,H125/1500,IF(H125&gt;49,H125/1500,0))</f>
        <v>0.25266666666666665</v>
      </c>
      <c r="P125" s="27">
        <f>IF(D125&gt;21,VLOOKUP(D125,Barem!$S$1:$T$141,2,1),0)</f>
        <v>0.9</v>
      </c>
      <c r="Q125" s="27">
        <f>IF(D125&lt;1.609,0,IF(B125="F",VLOOKUP(I125,Barem!$W$2:$Y$13,2,1),VLOOKUP(I125,Barem!$W$14:$Y$25,2,1)))</f>
        <v>0</v>
      </c>
      <c r="R125" s="27">
        <f>VLOOKUP(A125,Participanti!A:C,3,0)</f>
        <v>0</v>
      </c>
      <c r="S125" s="21">
        <f t="shared" si="46"/>
        <v>5.4026666666666667</v>
      </c>
      <c r="T125" s="82">
        <v>44441</v>
      </c>
      <c r="U125" s="143">
        <f>COUNTIFS(A:A,A125,C:C,C125)</f>
        <v>1</v>
      </c>
      <c r="V125" s="77" t="str">
        <f>VLOOKUP(A125,Data_echipe!A:U,21,0)</f>
        <v>All Stars</v>
      </c>
      <c r="X125" s="154">
        <v>1</v>
      </c>
    </row>
    <row r="126" spans="1:24" x14ac:dyDescent="0.25">
      <c r="A126" s="64" t="s">
        <v>43</v>
      </c>
      <c r="B126" s="77" t="str">
        <f>VLOOKUP(A126,Participanti!A:B,2,0)</f>
        <v>M</v>
      </c>
      <c r="C126" s="137">
        <v>4</v>
      </c>
      <c r="D126" s="66">
        <v>7.12</v>
      </c>
      <c r="E126" s="67">
        <v>2.3229166666666665E-2</v>
      </c>
      <c r="F126" s="67">
        <v>2.3229166666666665E-2</v>
      </c>
      <c r="G126" s="100">
        <f t="shared" si="47"/>
        <v>2.3229166666666665E-2</v>
      </c>
      <c r="H126" s="68">
        <v>16</v>
      </c>
      <c r="I126" s="14">
        <f t="shared" si="48"/>
        <v>3.2625234082397001E-3</v>
      </c>
      <c r="J126" s="92">
        <f t="shared" si="49"/>
        <v>1.6952380952380952</v>
      </c>
      <c r="K126" s="92">
        <f>IF(J126=0,0,IF(B126="F",VLOOKUP(I126,Barem!$G$2:$H$11,2,1),VLOOKUP(I126,Barem!$G$12:$H$21,2,1)))</f>
        <v>3.5</v>
      </c>
      <c r="L126" s="65" t="str">
        <f>VLOOKUP(C126,Barem!L:Q,6,0)</f>
        <v>V</v>
      </c>
      <c r="M126" s="11">
        <f t="shared" si="50"/>
        <v>0.25</v>
      </c>
      <c r="N126" s="11">
        <f t="shared" si="51"/>
        <v>0.75</v>
      </c>
      <c r="O126" s="49">
        <f t="shared" si="52"/>
        <v>0</v>
      </c>
      <c r="P126" s="27">
        <f>IF(D126&gt;21,VLOOKUP(D126,Barem!$S$1:$T$141,2,1),0)</f>
        <v>0</v>
      </c>
      <c r="Q126" s="27">
        <f>IF(D126&lt;1.609,0,IF(B126="F",VLOOKUP(I126,Barem!$W$2:$Y$13,2,1),VLOOKUP(I126,Barem!$W$14:$Y$25,2,1)))</f>
        <v>0</v>
      </c>
      <c r="R126" s="27">
        <f>VLOOKUP(A126,Participanti!A:C,3,0)</f>
        <v>0</v>
      </c>
      <c r="S126" s="21">
        <f t="shared" si="46"/>
        <v>3.0488095238095236</v>
      </c>
      <c r="T126" s="82">
        <v>44469</v>
      </c>
      <c r="U126" s="143">
        <f>COUNTIFS(A:A,A126,C:C,C126)</f>
        <v>1</v>
      </c>
      <c r="V126" s="77" t="e">
        <f>VLOOKUP(A126,Data_echipe!A:U,21,0)</f>
        <v>#N/A</v>
      </c>
      <c r="X126" s="154">
        <v>1</v>
      </c>
    </row>
    <row r="127" spans="1:24" x14ac:dyDescent="0.25">
      <c r="A127" s="64" t="s">
        <v>244</v>
      </c>
      <c r="B127" s="77" t="str">
        <f>VLOOKUP(A127,Participanti!A:B,2,0)</f>
        <v>M</v>
      </c>
      <c r="C127" s="137">
        <v>4</v>
      </c>
      <c r="D127" s="66">
        <v>38.85</v>
      </c>
      <c r="E127" s="67">
        <v>0.20841435185185186</v>
      </c>
      <c r="F127" s="67">
        <v>0.36785879629629631</v>
      </c>
      <c r="G127" s="100">
        <f t="shared" si="47"/>
        <v>0.28813657407407411</v>
      </c>
      <c r="H127" s="68">
        <v>1744</v>
      </c>
      <c r="I127" s="14">
        <f t="shared" si="48"/>
        <v>7.4166428333095006E-3</v>
      </c>
      <c r="J127" s="92">
        <f t="shared" si="49"/>
        <v>5</v>
      </c>
      <c r="K127" s="92">
        <f>IF(J127=0,0,IF(B127="F",VLOOKUP(I127,Barem!$G$2:$H$11,2,1),VLOOKUP(I127,Barem!$G$12:$H$21,2,1)))</f>
        <v>0</v>
      </c>
      <c r="L127" s="110" t="s">
        <v>109</v>
      </c>
      <c r="M127" s="11">
        <f t="shared" si="50"/>
        <v>0.75</v>
      </c>
      <c r="N127" s="11">
        <f t="shared" si="51"/>
        <v>0.25</v>
      </c>
      <c r="O127" s="49">
        <f t="shared" si="52"/>
        <v>1.1626666666666667</v>
      </c>
      <c r="P127" s="27">
        <f>IF(D127&gt;21,VLOOKUP(D127,Barem!$S$1:$T$141,2,1),0)</f>
        <v>0.8</v>
      </c>
      <c r="Q127" s="27">
        <f>IF(D127&lt;1.609,0,IF(B127="F",VLOOKUP(I127,Barem!$W$2:$Y$13,2,1),VLOOKUP(I127,Barem!$W$14:$Y$25,2,1)))</f>
        <v>0</v>
      </c>
      <c r="R127" s="27">
        <f>VLOOKUP(A127,Participanti!A:C,3,0)</f>
        <v>0</v>
      </c>
      <c r="S127" s="21">
        <f t="shared" ref="S127:S132" si="53">J127*M127+K127*N127+O127+P127+Q127+R127</f>
        <v>5.7126666666666663</v>
      </c>
      <c r="T127" s="82">
        <v>44472</v>
      </c>
      <c r="U127" s="143">
        <f>COUNTIFS(A:A,A127,C:C,C127)</f>
        <v>1</v>
      </c>
      <c r="V127" s="77" t="str">
        <f>VLOOKUP(A127,Data_echipe!A:U,21,0)</f>
        <v>All Stars</v>
      </c>
      <c r="X127" s="154"/>
    </row>
    <row r="128" spans="1:24" x14ac:dyDescent="0.25">
      <c r="A128" s="64" t="s">
        <v>119</v>
      </c>
      <c r="B128" s="77" t="str">
        <f>VLOOKUP(A128,Participanti!A:B,2,0)</f>
        <v>M</v>
      </c>
      <c r="C128" s="137">
        <v>4</v>
      </c>
      <c r="D128" s="66">
        <v>10.97</v>
      </c>
      <c r="E128" s="67">
        <v>3.1018518518518515E-2</v>
      </c>
      <c r="F128" s="67">
        <v>3.1585648148148147E-2</v>
      </c>
      <c r="G128" s="100">
        <f t="shared" si="47"/>
        <v>3.1302083333333328E-2</v>
      </c>
      <c r="H128" s="68">
        <v>0</v>
      </c>
      <c r="I128" s="14">
        <f t="shared" si="48"/>
        <v>2.8534260103312056E-3</v>
      </c>
      <c r="J128" s="92">
        <f t="shared" si="49"/>
        <v>2.611904761904762</v>
      </c>
      <c r="K128" s="92">
        <f>IF(J128=0,0,IF(B128="F",VLOOKUP(I128,Barem!$G$2:$H$11,2,1),VLOOKUP(I128,Barem!$G$12:$H$21,2,1)))</f>
        <v>4.5</v>
      </c>
      <c r="L128" s="65" t="str">
        <f>VLOOKUP(C128,Barem!L:Q,6,0)</f>
        <v>V</v>
      </c>
      <c r="M128" s="11">
        <f t="shared" si="50"/>
        <v>0.25</v>
      </c>
      <c r="N128" s="11">
        <f t="shared" si="51"/>
        <v>0.75</v>
      </c>
      <c r="O128" s="49">
        <f t="shared" si="52"/>
        <v>0</v>
      </c>
      <c r="P128" s="27">
        <f>IF(D128&gt;21,VLOOKUP(D128,Barem!$S$1:$T$141,2,1),0)</f>
        <v>0</v>
      </c>
      <c r="Q128" s="27">
        <f>IF(D128&lt;1.609,0,IF(B128="F",VLOOKUP(I128,Barem!$W$2:$Y$13,2,1),VLOOKUP(I128,Barem!$W$14:$Y$25,2,1)))</f>
        <v>0</v>
      </c>
      <c r="R128" s="27">
        <f>VLOOKUP(A128,Participanti!A:C,3,0)</f>
        <v>0</v>
      </c>
      <c r="S128" s="21">
        <f t="shared" si="53"/>
        <v>4.0279761904761902</v>
      </c>
      <c r="T128" s="82">
        <v>44472</v>
      </c>
      <c r="U128" s="143">
        <f>COUNTIFS(A:A,A128,C:C,C128)</f>
        <v>1</v>
      </c>
      <c r="V128" s="77" t="e">
        <f>VLOOKUP(A128,Data_echipe!A:U,21,0)</f>
        <v>#N/A</v>
      </c>
      <c r="X128" s="154">
        <v>1</v>
      </c>
    </row>
    <row r="129" spans="1:24" x14ac:dyDescent="0.25">
      <c r="A129" s="64" t="s">
        <v>118</v>
      </c>
      <c r="B129" s="77" t="str">
        <f>VLOOKUP(A129,Participanti!A:B,2,0)</f>
        <v>M</v>
      </c>
      <c r="C129" s="137">
        <v>4</v>
      </c>
      <c r="D129" s="66">
        <v>10.01</v>
      </c>
      <c r="E129" s="67">
        <v>2.9826388888888892E-2</v>
      </c>
      <c r="F129" s="67">
        <v>3.0590277777777775E-2</v>
      </c>
      <c r="G129" s="100">
        <f t="shared" si="47"/>
        <v>3.0208333333333334E-2</v>
      </c>
      <c r="H129" s="68">
        <v>15</v>
      </c>
      <c r="I129" s="112">
        <f t="shared" si="48"/>
        <v>3.017815517815518E-3</v>
      </c>
      <c r="J129" s="92">
        <f t="shared" si="49"/>
        <v>2.3833333333333333</v>
      </c>
      <c r="K129" s="92">
        <f>IF(J129=0,0,IF(B129="F",VLOOKUP(I129,Barem!$G$2:$H$11,2,1),VLOOKUP(I129,Barem!$G$12:$H$21,2,1)))</f>
        <v>4</v>
      </c>
      <c r="L129" s="65" t="str">
        <f>VLOOKUP(C129,Barem!L:Q,6,0)</f>
        <v>V</v>
      </c>
      <c r="M129" s="11">
        <f t="shared" si="50"/>
        <v>0.25</v>
      </c>
      <c r="N129" s="11">
        <f t="shared" si="51"/>
        <v>0.75</v>
      </c>
      <c r="O129" s="49">
        <f t="shared" si="52"/>
        <v>0</v>
      </c>
      <c r="P129" s="27">
        <f>IF(D129&gt;21,VLOOKUP(D129,Barem!$S$1:$T$141,2,1),0)</f>
        <v>0</v>
      </c>
      <c r="Q129" s="27">
        <f>IF(D129&lt;1.609,0,IF(B129="F",VLOOKUP(I129,Barem!$W$2:$Y$13,2,1),VLOOKUP(I129,Barem!$W$14:$Y$25,2,1)))</f>
        <v>0</v>
      </c>
      <c r="R129" s="27">
        <f>VLOOKUP(A129,Participanti!A:C,3,0)</f>
        <v>0</v>
      </c>
      <c r="S129" s="21">
        <f t="shared" si="53"/>
        <v>3.5958333333333332</v>
      </c>
      <c r="T129" s="82">
        <v>44472</v>
      </c>
      <c r="U129" s="143">
        <f>COUNTIFS(A:A,A129,C:C,C129)</f>
        <v>1</v>
      </c>
      <c r="V129" s="77" t="str">
        <f>VLOOKUP(A129,Data_echipe!A:U,21,0)</f>
        <v>UltraSYR</v>
      </c>
      <c r="X129" s="154">
        <v>1</v>
      </c>
    </row>
    <row r="130" spans="1:24" x14ac:dyDescent="0.25">
      <c r="A130" s="113" t="s">
        <v>211</v>
      </c>
      <c r="B130" s="114" t="str">
        <f>VLOOKUP(A130,Participanti!A:B,2,0)</f>
        <v>F</v>
      </c>
      <c r="C130" s="138">
        <v>4</v>
      </c>
      <c r="D130" s="116">
        <v>41.75</v>
      </c>
      <c r="E130" s="117">
        <v>0.13356481481481483</v>
      </c>
      <c r="F130" s="117">
        <v>0.13421296296296295</v>
      </c>
      <c r="G130" s="118">
        <f t="shared" si="47"/>
        <v>0.13388888888888889</v>
      </c>
      <c r="H130" s="119">
        <v>368</v>
      </c>
      <c r="I130" s="120">
        <f t="shared" si="48"/>
        <v>3.2069194943446441E-3</v>
      </c>
      <c r="J130" s="121">
        <f t="shared" si="49"/>
        <v>5</v>
      </c>
      <c r="K130" s="121">
        <f>IF(J130=0,0,IF(B130="F",VLOOKUP(I130,Barem!$G$2:$H$11,2,1),VLOOKUP(I130,Barem!$G$12:$H$21,2,1)))</f>
        <v>4.5</v>
      </c>
      <c r="L130" s="130" t="s">
        <v>109</v>
      </c>
      <c r="M130" s="122">
        <f t="shared" si="50"/>
        <v>0.75</v>
      </c>
      <c r="N130" s="122">
        <f t="shared" si="51"/>
        <v>0.25</v>
      </c>
      <c r="O130" s="123">
        <f t="shared" si="52"/>
        <v>0.24533333333333332</v>
      </c>
      <c r="P130" s="124">
        <f>IF(D130&gt;21,VLOOKUP(D130,Barem!$S$1:$T$141,2,1),0)</f>
        <v>1</v>
      </c>
      <c r="Q130" s="124">
        <f>IF(D130&lt;1.609,0,IF(B130="F",VLOOKUP(I130,Barem!$W$2:$Y$13,2,1),VLOOKUP(I130,Barem!$W$14:$Y$25,2,1)))</f>
        <v>0</v>
      </c>
      <c r="R130" s="124">
        <f>VLOOKUP(A130,Participanti!A:C,3,0)</f>
        <v>0</v>
      </c>
      <c r="S130" s="125">
        <f t="shared" si="53"/>
        <v>6.120333333333333</v>
      </c>
      <c r="T130" s="126">
        <v>44471</v>
      </c>
      <c r="U130" s="144">
        <f>COUNTIFS(A:A,A130,C:C,C130)</f>
        <v>1</v>
      </c>
      <c r="V130" s="114" t="str">
        <f>VLOOKUP(A130,Data_echipe!A:U,21,0)</f>
        <v>UltraSYR</v>
      </c>
      <c r="W130" s="127"/>
      <c r="X130" s="154">
        <v>1</v>
      </c>
    </row>
    <row r="131" spans="1:24" x14ac:dyDescent="0.25">
      <c r="A131" s="64" t="s">
        <v>49</v>
      </c>
      <c r="B131" s="77" t="str">
        <f>VLOOKUP(A131,Participanti!A:B,2,0)</f>
        <v>M</v>
      </c>
      <c r="C131" s="137">
        <v>5</v>
      </c>
      <c r="D131" s="66">
        <v>10.34</v>
      </c>
      <c r="E131" s="67">
        <v>4.1423611111111112E-2</v>
      </c>
      <c r="F131" s="67">
        <v>4.3506944444444445E-2</v>
      </c>
      <c r="G131" s="100">
        <f>AVERAGE(E131:F131)</f>
        <v>4.2465277777777782E-2</v>
      </c>
      <c r="H131" s="68">
        <v>24</v>
      </c>
      <c r="I131" s="14">
        <f>G131/D131</f>
        <v>4.1068934021061682E-3</v>
      </c>
      <c r="J131" s="92">
        <f>IF(B131="F",IF(D131&lt;2.5,0,IF(D131&gt;19.99,5,D131/4)),IF(D131&lt;3,0, IF(D131&gt;20.99,5,D131/4.2)))</f>
        <v>2.4619047619047616</v>
      </c>
      <c r="K131" s="92">
        <f>IF(J131=0,0,IF(B131="F",VLOOKUP(I131,Barem!$G$2:$H$11,2,1),VLOOKUP(I131,Barem!$G$12:$H$21,2,1)))</f>
        <v>1.5</v>
      </c>
      <c r="L131" s="65" t="str">
        <f>VLOOKUP(C131,Barem!L:Q,6,0)</f>
        <v>D</v>
      </c>
      <c r="M131" s="11">
        <f>IF(OR(L131="P1",L131="P2",L131="P3"),"",IF(C131=15,0.5,IF(L131="D",0.75,0.25)))</f>
        <v>0.75</v>
      </c>
      <c r="N131" s="11">
        <f>IF(OR(L131="P1",L131="P2",L131="P3"),"",IF(C131=15,0.5,IF(L131="V",0.75,0.25)))</f>
        <v>0.25</v>
      </c>
      <c r="O131" s="49">
        <f>IF(H131&lt;-49,H131/1500,IF(H131&gt;49,H131/1500,0))</f>
        <v>0</v>
      </c>
      <c r="P131" s="27">
        <f>IF(D131&gt;21,VLOOKUP(D131,Barem!$S$1:$T$141,2,1),0)</f>
        <v>0</v>
      </c>
      <c r="Q131" s="27">
        <f>IF(D131&lt;1.609,0,IF(B131="F",VLOOKUP(I131,Barem!$W$2:$Y$13,2,1),VLOOKUP(I131,Barem!$W$14:$Y$25,2,1)))</f>
        <v>0</v>
      </c>
      <c r="R131" s="27">
        <f>VLOOKUP(A131,Participanti!A:C,3,0)</f>
        <v>0</v>
      </c>
      <c r="S131" s="21">
        <f t="shared" si="53"/>
        <v>2.2214285714285711</v>
      </c>
      <c r="T131" s="82">
        <v>44474</v>
      </c>
      <c r="U131" s="143">
        <f>COUNTIFS(A:A,A131,C:C,C131)</f>
        <v>1</v>
      </c>
      <c r="V131" s="77" t="str">
        <f>VLOOKUP(A131,Data_echipe!A:U,21,0)</f>
        <v>All Stars</v>
      </c>
      <c r="W131" s="23" t="s">
        <v>262</v>
      </c>
      <c r="X131" s="154">
        <v>1</v>
      </c>
    </row>
    <row r="132" spans="1:24" x14ac:dyDescent="0.25">
      <c r="A132" s="64" t="s">
        <v>51</v>
      </c>
      <c r="B132" s="77" t="str">
        <f>VLOOKUP(A132,Participanti!A:B,2,0)</f>
        <v>M</v>
      </c>
      <c r="C132" s="137">
        <v>5</v>
      </c>
      <c r="D132" s="66">
        <v>31</v>
      </c>
      <c r="E132" s="67">
        <v>0.10359953703703705</v>
      </c>
      <c r="F132" s="67">
        <v>0.10623842592592592</v>
      </c>
      <c r="G132" s="100">
        <f t="shared" ref="G132:G149" si="54">AVERAGE(E132:F132)</f>
        <v>0.10491898148148149</v>
      </c>
      <c r="H132" s="68">
        <v>108</v>
      </c>
      <c r="I132" s="14">
        <f>G132/D132</f>
        <v>3.3844832735961772E-3</v>
      </c>
      <c r="J132" s="92">
        <f>IF(B132="F",IF(D132&lt;2.5,0,IF(D132&gt;19.99,5,D132/4)),IF(D132&lt;3,0, IF(D132&gt;20.99,5,D132/4.2)))</f>
        <v>5</v>
      </c>
      <c r="K132" s="92">
        <f>IF(J132=0,0,IF(B132="F",VLOOKUP(I132,Barem!$G$2:$H$11,2,1),VLOOKUP(I132,Barem!$G$12:$H$21,2,1)))</f>
        <v>3</v>
      </c>
      <c r="L132" s="110" t="s">
        <v>110</v>
      </c>
      <c r="M132" s="11">
        <f>IF(OR(L132="P1",L132="P2",L132="P3"),"",IF(C132=15,0.5,IF(L132="D",0.75,0.25)))</f>
        <v>0.25</v>
      </c>
      <c r="N132" s="11">
        <f>IF(OR(L132="P1",L132="P2",L132="P3"),"",IF(C132=15,0.5,IF(L132="V",0.75,0.25)))</f>
        <v>0.75</v>
      </c>
      <c r="O132" s="49">
        <f>IF(H132&lt;-49,H132/1500,IF(H132&gt;49,H132/1500,0))</f>
        <v>7.1999999999999995E-2</v>
      </c>
      <c r="P132" s="27">
        <f>IF(D132&gt;21,VLOOKUP(D132,Barem!$S$1:$T$141,2,1),0)</f>
        <v>0.5</v>
      </c>
      <c r="Q132" s="27">
        <f>IF(D132&lt;1.609,0,IF(B132="F",VLOOKUP(I132,Barem!$W$2:$Y$13,2,1),VLOOKUP(I132,Barem!$W$14:$Y$25,2,1)))</f>
        <v>0</v>
      </c>
      <c r="R132" s="27">
        <f>VLOOKUP(A132,Participanti!A:C,3,0)</f>
        <v>0</v>
      </c>
      <c r="S132" s="21">
        <f t="shared" si="53"/>
        <v>4.0720000000000001</v>
      </c>
      <c r="T132" s="82">
        <v>44479</v>
      </c>
      <c r="U132" s="143">
        <f>COUNTIFS(A:A,A132,C:C,C132)</f>
        <v>1</v>
      </c>
      <c r="V132" s="77" t="str">
        <f>VLOOKUP(A132,Data_echipe!A:U,21,0)</f>
        <v>UltraSYR</v>
      </c>
      <c r="X132" s="154">
        <v>1</v>
      </c>
    </row>
    <row r="133" spans="1:24" x14ac:dyDescent="0.25">
      <c r="A133" s="64" t="s">
        <v>80</v>
      </c>
      <c r="B133" s="77" t="str">
        <f>VLOOKUP(A133,Participanti!A:B,2,0)</f>
        <v>M</v>
      </c>
      <c r="C133" s="137">
        <v>5</v>
      </c>
      <c r="D133" s="66">
        <v>35.01</v>
      </c>
      <c r="E133" s="67">
        <v>0.26795138888888886</v>
      </c>
      <c r="F133" s="67">
        <v>0.28909722222222223</v>
      </c>
      <c r="G133" s="100">
        <f t="shared" si="54"/>
        <v>0.27852430555555552</v>
      </c>
      <c r="H133" s="68">
        <v>1411</v>
      </c>
      <c r="I133" s="14">
        <f t="shared" ref="I133:I150" si="55">G133/D133</f>
        <v>7.9555642832206657E-3</v>
      </c>
      <c r="J133" s="92">
        <f t="shared" ref="J133:J150" si="56">IF(B133="F",IF(D133&lt;2.5,0,IF(D133&gt;19.99,5,D133/4)),IF(D133&lt;3,0, IF(D133&gt;20.99,5,D133/4.2)))</f>
        <v>5</v>
      </c>
      <c r="K133" s="92">
        <f>IF(J133=0,0,IF(B133="F",VLOOKUP(I133,Barem!$G$2:$H$11,2,1),VLOOKUP(I133,Barem!$G$12:$H$21,2,1)))</f>
        <v>0</v>
      </c>
      <c r="L133" s="65" t="str">
        <f>VLOOKUP(C133,Barem!L:Q,6,0)</f>
        <v>D</v>
      </c>
      <c r="M133" s="11">
        <f t="shared" ref="M133:M151" si="57">IF(OR(L133="P1",L133="P2",L133="P3"),"",IF(C133=15,0.5,IF(L133="D",0.75,0.25)))</f>
        <v>0.75</v>
      </c>
      <c r="N133" s="11">
        <f t="shared" ref="N133:N151" si="58">IF(OR(L133="P1",L133="P2",L133="P3"),"",IF(C133=15,0.5,IF(L133="V",0.75,0.25)))</f>
        <v>0.25</v>
      </c>
      <c r="O133" s="49">
        <f t="shared" ref="O133:O151" si="59">IF(H133&lt;-49,H133/1500,IF(H133&gt;49,H133/1500,0))</f>
        <v>0.94066666666666665</v>
      </c>
      <c r="P133" s="27">
        <f>IF(D133&gt;21,VLOOKUP(D133,Barem!$S$1:$T$141,2,1),0)</f>
        <v>0.7</v>
      </c>
      <c r="Q133" s="27">
        <f>IF(D133&lt;1.609,0,IF(B133="F",VLOOKUP(I133,Barem!$W$2:$Y$13,2,1),VLOOKUP(I133,Barem!$W$14:$Y$25,2,1)))</f>
        <v>0</v>
      </c>
      <c r="R133" s="27">
        <f>VLOOKUP(A133,Participanti!A:C,3,0)</f>
        <v>0.4</v>
      </c>
      <c r="S133" s="21">
        <f t="shared" ref="S133:S151" si="60">J133*M133+K133*N133+O133+P133+Q133+R133</f>
        <v>5.7906666666666675</v>
      </c>
      <c r="T133" s="82">
        <v>44479</v>
      </c>
      <c r="U133" s="143">
        <f>COUNTIFS(A:A,A133,C:C,C133)</f>
        <v>1</v>
      </c>
      <c r="V133" s="77" t="str">
        <f>VLOOKUP(A133,Data_echipe!A:U,21,0)</f>
        <v>UltraSYR</v>
      </c>
      <c r="X133" s="154"/>
    </row>
    <row r="134" spans="1:24" x14ac:dyDescent="0.25">
      <c r="A134" s="64" t="s">
        <v>196</v>
      </c>
      <c r="B134" s="77" t="str">
        <f>VLOOKUP(A134,Participanti!A:B,2,0)</f>
        <v>F</v>
      </c>
      <c r="C134" s="137">
        <v>5</v>
      </c>
      <c r="D134" s="66">
        <v>10.25</v>
      </c>
      <c r="E134" s="67">
        <v>4.0787037037037038E-2</v>
      </c>
      <c r="F134" s="67">
        <v>4.971064814814815E-2</v>
      </c>
      <c r="G134" s="100">
        <f t="shared" si="54"/>
        <v>4.5248842592592597E-2</v>
      </c>
      <c r="H134" s="68">
        <v>29</v>
      </c>
      <c r="I134" s="14">
        <f t="shared" si="55"/>
        <v>4.4145212285456193E-3</v>
      </c>
      <c r="J134" s="92">
        <f t="shared" si="56"/>
        <v>2.5625</v>
      </c>
      <c r="K134" s="92">
        <f>IF(J134=0,0,IF(B134="F",VLOOKUP(I134,Barem!$G$2:$H$11,2,1),VLOOKUP(I134,Barem!$G$12:$H$21,2,1)))</f>
        <v>1.5</v>
      </c>
      <c r="L134" s="110" t="s">
        <v>110</v>
      </c>
      <c r="M134" s="11">
        <f t="shared" si="57"/>
        <v>0.25</v>
      </c>
      <c r="N134" s="11">
        <f t="shared" si="58"/>
        <v>0.75</v>
      </c>
      <c r="O134" s="49">
        <f t="shared" si="59"/>
        <v>0</v>
      </c>
      <c r="P134" s="27">
        <f>IF(D134&gt;21,VLOOKUP(D134,Barem!$S$1:$T$141,2,1),0)</f>
        <v>0</v>
      </c>
      <c r="Q134" s="27">
        <f>IF(D134&lt;1.609,0,IF(B134="F",VLOOKUP(I134,Barem!$W$2:$Y$13,2,1),VLOOKUP(I134,Barem!$W$14:$Y$25,2,1)))</f>
        <v>0</v>
      </c>
      <c r="R134" s="27">
        <f>VLOOKUP(A134,Participanti!A:C,3,0)</f>
        <v>0</v>
      </c>
      <c r="S134" s="21">
        <f t="shared" si="60"/>
        <v>1.765625</v>
      </c>
      <c r="T134" s="82">
        <v>44477</v>
      </c>
      <c r="U134" s="143">
        <f>COUNTIFS(A:A,A134,C:C,C134)</f>
        <v>1</v>
      </c>
      <c r="V134" s="77" t="str">
        <f>VLOOKUP(A134,Data_echipe!A:U,21,0)</f>
        <v>UltraSYR</v>
      </c>
      <c r="X134" s="154">
        <v>1</v>
      </c>
    </row>
    <row r="135" spans="1:24" x14ac:dyDescent="0.25">
      <c r="A135" s="64" t="s">
        <v>102</v>
      </c>
      <c r="B135" s="77" t="str">
        <f>VLOOKUP(A135,Participanti!A:B,2,0)</f>
        <v>M</v>
      </c>
      <c r="C135" s="137">
        <v>5</v>
      </c>
      <c r="D135" s="66">
        <v>8.9</v>
      </c>
      <c r="E135" s="67">
        <v>2.6747685185185183E-2</v>
      </c>
      <c r="F135" s="67">
        <v>2.6747685185185183E-2</v>
      </c>
      <c r="G135" s="100">
        <f t="shared" si="54"/>
        <v>2.6747685185185183E-2</v>
      </c>
      <c r="H135" s="68">
        <v>17</v>
      </c>
      <c r="I135" s="14">
        <f t="shared" si="55"/>
        <v>3.0053578859758632E-3</v>
      </c>
      <c r="J135" s="92">
        <f t="shared" si="56"/>
        <v>2.1190476190476191</v>
      </c>
      <c r="K135" s="92">
        <f>IF(J135=0,0,IF(B135="F",VLOOKUP(I135,Barem!$G$2:$H$11,2,1),VLOOKUP(I135,Barem!$G$12:$H$21,2,1)))</f>
        <v>4</v>
      </c>
      <c r="L135" s="110" t="s">
        <v>110</v>
      </c>
      <c r="M135" s="11">
        <f t="shared" si="57"/>
        <v>0.25</v>
      </c>
      <c r="N135" s="11">
        <f t="shared" si="58"/>
        <v>0.75</v>
      </c>
      <c r="O135" s="49">
        <f t="shared" si="59"/>
        <v>0</v>
      </c>
      <c r="P135" s="27">
        <f>IF(D135&gt;21,VLOOKUP(D135,Barem!$S$1:$T$141,2,1),0)</f>
        <v>0</v>
      </c>
      <c r="Q135" s="27">
        <f>IF(D135&lt;1.609,0,IF(B135="F",VLOOKUP(I135,Barem!$W$2:$Y$13,2,1),VLOOKUP(I135,Barem!$W$14:$Y$25,2,1)))</f>
        <v>0</v>
      </c>
      <c r="R135" s="27">
        <f>VLOOKUP(A135,Participanti!A:C,3,0)</f>
        <v>0</v>
      </c>
      <c r="S135" s="21">
        <f t="shared" si="60"/>
        <v>3.5297619047619047</v>
      </c>
      <c r="T135" s="82">
        <v>44476</v>
      </c>
      <c r="U135" s="143">
        <f>COUNTIFS(A:A,A135,C:C,C135)</f>
        <v>1</v>
      </c>
      <c r="V135" s="77" t="str">
        <f>VLOOKUP(A135,Data_echipe!A:U,21,0)</f>
        <v>All Stars</v>
      </c>
      <c r="X135" s="154">
        <v>1</v>
      </c>
    </row>
    <row r="136" spans="1:24" x14ac:dyDescent="0.25">
      <c r="A136" s="64" t="s">
        <v>66</v>
      </c>
      <c r="B136" s="77" t="str">
        <f>VLOOKUP(A136,Participanti!A:B,2,0)</f>
        <v>F</v>
      </c>
      <c r="C136" s="137">
        <v>5</v>
      </c>
      <c r="D136" s="66">
        <v>8.01</v>
      </c>
      <c r="E136" s="67">
        <v>4.2141203703703702E-2</v>
      </c>
      <c r="F136" s="67">
        <v>4.3692129629629629E-2</v>
      </c>
      <c r="G136" s="100">
        <f t="shared" si="54"/>
        <v>4.2916666666666665E-2</v>
      </c>
      <c r="H136" s="68">
        <v>0</v>
      </c>
      <c r="I136" s="14">
        <f t="shared" si="55"/>
        <v>5.3578859758635043E-3</v>
      </c>
      <c r="J136" s="92">
        <f t="shared" si="56"/>
        <v>2.0024999999999999</v>
      </c>
      <c r="K136" s="92">
        <f>IF(J136=0,0,IF(B136="F",VLOOKUP(I136,Barem!$G$2:$H$11,2,1),VLOOKUP(I136,Barem!$G$12:$H$21,2,1)))</f>
        <v>1</v>
      </c>
      <c r="L136" s="65" t="str">
        <f>VLOOKUP(C136,Barem!L:Q,6,0)</f>
        <v>D</v>
      </c>
      <c r="M136" s="11">
        <f t="shared" si="57"/>
        <v>0.75</v>
      </c>
      <c r="N136" s="11">
        <f t="shared" si="58"/>
        <v>0.25</v>
      </c>
      <c r="O136" s="49">
        <f t="shared" si="59"/>
        <v>0</v>
      </c>
      <c r="P136" s="27">
        <f>IF(D136&gt;21,VLOOKUP(D136,Barem!$S$1:$T$141,2,1),0)</f>
        <v>0</v>
      </c>
      <c r="Q136" s="27">
        <f>IF(D136&lt;1.609,0,IF(B136="F",VLOOKUP(I136,Barem!$W$2:$Y$13,2,1),VLOOKUP(I136,Barem!$W$14:$Y$25,2,1)))</f>
        <v>0</v>
      </c>
      <c r="R136" s="27">
        <f>VLOOKUP(A136,Participanti!A:C,3,0)</f>
        <v>0.7</v>
      </c>
      <c r="S136" s="21">
        <f t="shared" si="60"/>
        <v>2.4518750000000002</v>
      </c>
      <c r="T136" s="82">
        <v>44475</v>
      </c>
      <c r="U136" s="143">
        <f>COUNTIFS(A:A,A136,C:C,C136)</f>
        <v>1</v>
      </c>
      <c r="V136" s="77" t="e">
        <f>VLOOKUP(A136,Data_echipe!A:U,21,0)</f>
        <v>#N/A</v>
      </c>
      <c r="X136" s="154">
        <v>1</v>
      </c>
    </row>
    <row r="137" spans="1:24" x14ac:dyDescent="0.25">
      <c r="A137" s="64" t="s">
        <v>67</v>
      </c>
      <c r="B137" s="77" t="str">
        <f>VLOOKUP(A137,Participanti!A:B,2,0)</f>
        <v>M</v>
      </c>
      <c r="C137" s="137">
        <v>5</v>
      </c>
      <c r="D137" s="66">
        <v>22.44</v>
      </c>
      <c r="E137" s="67">
        <v>8.3344907407407409E-2</v>
      </c>
      <c r="F137" s="67">
        <v>8.3344907407407409E-2</v>
      </c>
      <c r="G137" s="100">
        <f t="shared" si="54"/>
        <v>8.3344907407407409E-2</v>
      </c>
      <c r="H137" s="68">
        <v>70</v>
      </c>
      <c r="I137" s="14">
        <f t="shared" si="55"/>
        <v>3.7141224334851786E-3</v>
      </c>
      <c r="J137" s="92">
        <f t="shared" si="56"/>
        <v>5</v>
      </c>
      <c r="K137" s="92">
        <f>IF(J137=0,0,IF(B137="F",VLOOKUP(I137,Barem!$G$2:$H$11,2,1),VLOOKUP(I137,Barem!$G$12:$H$21,2,1)))</f>
        <v>2</v>
      </c>
      <c r="L137" s="65" t="str">
        <f>VLOOKUP(C137,Barem!L:Q,6,0)</f>
        <v>D</v>
      </c>
      <c r="M137" s="11">
        <f t="shared" si="57"/>
        <v>0.75</v>
      </c>
      <c r="N137" s="11">
        <f t="shared" si="58"/>
        <v>0.25</v>
      </c>
      <c r="O137" s="49">
        <f t="shared" si="59"/>
        <v>4.6666666666666669E-2</v>
      </c>
      <c r="P137" s="27">
        <f>IF(D137&gt;21,VLOOKUP(D137,Barem!$S$1:$T$141,2,1),0)</f>
        <v>0</v>
      </c>
      <c r="Q137" s="27">
        <f>IF(D137&lt;1.609,0,IF(B137="F",VLOOKUP(I137,Barem!$W$2:$Y$13,2,1),VLOOKUP(I137,Barem!$W$14:$Y$25,2,1)))</f>
        <v>0</v>
      </c>
      <c r="R137" s="27">
        <f>VLOOKUP(A137,Participanti!A:C,3,0)</f>
        <v>0</v>
      </c>
      <c r="S137" s="21">
        <f t="shared" si="60"/>
        <v>4.2966666666666669</v>
      </c>
      <c r="T137" s="82">
        <v>44478</v>
      </c>
      <c r="U137" s="143">
        <f>COUNTIFS(A:A,A137,C:C,C137)</f>
        <v>1</v>
      </c>
      <c r="V137" s="77" t="e">
        <f>VLOOKUP(A137,Data_echipe!A:U,21,0)</f>
        <v>#N/A</v>
      </c>
      <c r="X137" s="154">
        <v>1</v>
      </c>
    </row>
    <row r="138" spans="1:24" x14ac:dyDescent="0.25">
      <c r="A138" s="64" t="s">
        <v>111</v>
      </c>
      <c r="B138" s="77" t="str">
        <f>VLOOKUP(A138,Participanti!A:B,2,0)</f>
        <v>M</v>
      </c>
      <c r="C138" s="137">
        <v>5</v>
      </c>
      <c r="D138" s="66">
        <v>11.11</v>
      </c>
      <c r="E138" s="67">
        <v>3.6030092592592593E-2</v>
      </c>
      <c r="F138" s="67">
        <v>3.6064814814814813E-2</v>
      </c>
      <c r="G138" s="100">
        <f t="shared" si="54"/>
        <v>3.60474537037037E-2</v>
      </c>
      <c r="H138" s="68">
        <v>17</v>
      </c>
      <c r="I138" s="14">
        <f t="shared" si="55"/>
        <v>3.2445952928626194E-3</v>
      </c>
      <c r="J138" s="92">
        <f t="shared" si="56"/>
        <v>2.6452380952380952</v>
      </c>
      <c r="K138" s="92">
        <f>IF(J138=0,0,IF(B138="F",VLOOKUP(I138,Barem!$G$2:$H$11,2,1),VLOOKUP(I138,Barem!$G$12:$H$21,2,1)))</f>
        <v>3.5</v>
      </c>
      <c r="L138" s="110" t="s">
        <v>110</v>
      </c>
      <c r="M138" s="11">
        <f t="shared" si="57"/>
        <v>0.25</v>
      </c>
      <c r="N138" s="11">
        <f t="shared" si="58"/>
        <v>0.75</v>
      </c>
      <c r="O138" s="49">
        <f t="shared" si="59"/>
        <v>0</v>
      </c>
      <c r="P138" s="27">
        <f>IF(D138&gt;21,VLOOKUP(D138,Barem!$S$1:$T$141,2,1),0)</f>
        <v>0</v>
      </c>
      <c r="Q138" s="27">
        <f>IF(D138&lt;1.609,0,IF(B138="F",VLOOKUP(I138,Barem!$W$2:$Y$13,2,1),VLOOKUP(I138,Barem!$W$14:$Y$25,2,1)))</f>
        <v>0</v>
      </c>
      <c r="R138" s="27">
        <f>VLOOKUP(A138,Participanti!A:C,3,0)</f>
        <v>0</v>
      </c>
      <c r="S138" s="21">
        <f t="shared" si="60"/>
        <v>3.2863095238095239</v>
      </c>
      <c r="T138" s="82">
        <v>44476</v>
      </c>
      <c r="U138" s="143">
        <f>COUNTIFS(A:A,A138,C:C,C138)</f>
        <v>1</v>
      </c>
      <c r="V138" s="77" t="str">
        <f>VLOOKUP(A138,Data_echipe!A:U,21,0)</f>
        <v>UltraSYR</v>
      </c>
      <c r="X138" s="154">
        <v>1</v>
      </c>
    </row>
    <row r="139" spans="1:24" x14ac:dyDescent="0.25">
      <c r="A139" s="64" t="s">
        <v>65</v>
      </c>
      <c r="B139" s="77" t="str">
        <f>VLOOKUP(A139,Participanti!A:B,2,0)</f>
        <v>M</v>
      </c>
      <c r="C139" s="137">
        <v>5</v>
      </c>
      <c r="D139" s="66"/>
      <c r="E139" s="67"/>
      <c r="F139" s="67"/>
      <c r="G139" s="100"/>
      <c r="H139" s="68"/>
      <c r="I139" s="14"/>
      <c r="J139" s="92"/>
      <c r="K139" s="92"/>
      <c r="L139" s="65"/>
      <c r="M139" s="11"/>
      <c r="N139" s="11"/>
      <c r="O139" s="49"/>
      <c r="S139" s="128">
        <v>1.5</v>
      </c>
      <c r="T139" s="82"/>
      <c r="U139" s="143">
        <f>COUNTIFS(A:A,A139,C:C,C139)</f>
        <v>1</v>
      </c>
      <c r="V139" s="77" t="str">
        <f>VLOOKUP(A139,Data_echipe!A:U,21,0)</f>
        <v>UltraSYR</v>
      </c>
      <c r="X139" s="154"/>
    </row>
    <row r="140" spans="1:24" x14ac:dyDescent="0.25">
      <c r="A140" s="64" t="s">
        <v>55</v>
      </c>
      <c r="B140" s="77" t="str">
        <f>VLOOKUP(A140,Participanti!A:B,2,0)</f>
        <v>M</v>
      </c>
      <c r="C140" s="137">
        <v>5</v>
      </c>
      <c r="D140" s="66">
        <v>22.32</v>
      </c>
      <c r="E140" s="67">
        <v>9.8946759259259262E-2</v>
      </c>
      <c r="F140" s="67">
        <v>0.1135300925925926</v>
      </c>
      <c r="G140" s="100">
        <f t="shared" si="54"/>
        <v>0.10623842592592593</v>
      </c>
      <c r="H140" s="68">
        <v>88</v>
      </c>
      <c r="I140" s="14">
        <f t="shared" si="55"/>
        <v>4.7597861077923803E-3</v>
      </c>
      <c r="J140" s="92">
        <f t="shared" si="56"/>
        <v>5</v>
      </c>
      <c r="K140" s="92">
        <f>IF(J140=0,0,IF(B140="F",VLOOKUP(I140,Barem!$G$2:$H$11,2,1),VLOOKUP(I140,Barem!$G$12:$H$21,2,1)))</f>
        <v>1</v>
      </c>
      <c r="L140" s="65" t="str">
        <f>VLOOKUP(C140,Barem!L:Q,6,0)</f>
        <v>D</v>
      </c>
      <c r="M140" s="11">
        <f t="shared" si="57"/>
        <v>0.75</v>
      </c>
      <c r="N140" s="11">
        <f t="shared" si="58"/>
        <v>0.25</v>
      </c>
      <c r="O140" s="49">
        <f t="shared" si="59"/>
        <v>5.8666666666666666E-2</v>
      </c>
      <c r="P140" s="27">
        <f>IF(D140&gt;21,VLOOKUP(D140,Barem!$S$1:$T$141,2,1),0)</f>
        <v>0</v>
      </c>
      <c r="Q140" s="27">
        <f>IF(D140&lt;1.609,0,IF(B140="F",VLOOKUP(I140,Barem!$W$2:$Y$13,2,1),VLOOKUP(I140,Barem!$W$14:$Y$25,2,1)))</f>
        <v>0</v>
      </c>
      <c r="R140" s="27">
        <f>VLOOKUP(A140,Participanti!A:C,3,0)</f>
        <v>0</v>
      </c>
      <c r="S140" s="21">
        <f t="shared" si="60"/>
        <v>4.0586666666666664</v>
      </c>
      <c r="T140" s="82">
        <v>44479</v>
      </c>
      <c r="U140" s="143">
        <f>COUNTIFS(A:A,A140,C:C,C140)</f>
        <v>1</v>
      </c>
      <c r="V140" s="77" t="e">
        <f>VLOOKUP(A140,Data_echipe!A:U,21,0)</f>
        <v>#N/A</v>
      </c>
      <c r="X140" s="154">
        <v>1</v>
      </c>
    </row>
    <row r="141" spans="1:24" x14ac:dyDescent="0.25">
      <c r="A141" s="64" t="s">
        <v>100</v>
      </c>
      <c r="B141" s="77" t="str">
        <f>VLOOKUP(A141,Participanti!A:B,2,0)</f>
        <v>F</v>
      </c>
      <c r="C141" s="137">
        <v>5</v>
      </c>
      <c r="D141" s="66">
        <v>5.72</v>
      </c>
      <c r="E141" s="67">
        <v>4.0138888888888884E-2</v>
      </c>
      <c r="F141" s="67">
        <v>4.1689814814814818E-2</v>
      </c>
      <c r="G141" s="100">
        <f t="shared" si="54"/>
        <v>4.0914351851851855E-2</v>
      </c>
      <c r="H141" s="68">
        <v>25</v>
      </c>
      <c r="I141" s="14">
        <f t="shared" si="55"/>
        <v>7.1528587153587165E-3</v>
      </c>
      <c r="J141" s="92">
        <f t="shared" si="56"/>
        <v>1.43</v>
      </c>
      <c r="K141" s="92">
        <f>IF(J141=0,0,IF(B141="F",VLOOKUP(I141,Barem!$G$2:$H$11,2,1),VLOOKUP(I141,Barem!$G$12:$H$21,2,1)))</f>
        <v>0</v>
      </c>
      <c r="L141" s="65" t="str">
        <f>VLOOKUP(C141,Barem!L:Q,6,0)</f>
        <v>D</v>
      </c>
      <c r="M141" s="11">
        <f t="shared" si="57"/>
        <v>0.75</v>
      </c>
      <c r="N141" s="11">
        <f t="shared" si="58"/>
        <v>0.25</v>
      </c>
      <c r="O141" s="49">
        <f t="shared" si="59"/>
        <v>0</v>
      </c>
      <c r="P141" s="27">
        <f>IF(D141&gt;21,VLOOKUP(D141,Barem!$S$1:$T$141,2,1),0)</f>
        <v>0</v>
      </c>
      <c r="Q141" s="27">
        <f>IF(D141&lt;1.609,0,IF(B141="F",VLOOKUP(I141,Barem!$W$2:$Y$13,2,1),VLOOKUP(I141,Barem!$W$14:$Y$25,2,1)))</f>
        <v>0</v>
      </c>
      <c r="R141" s="27">
        <f>VLOOKUP(A141,Participanti!A:C,3,0)</f>
        <v>0.4</v>
      </c>
      <c r="S141" s="21">
        <f t="shared" si="60"/>
        <v>1.4725000000000001</v>
      </c>
      <c r="T141" s="82">
        <v>44477</v>
      </c>
      <c r="U141" s="143">
        <f>COUNTIFS(A:A,A141,C:C,C141)</f>
        <v>1</v>
      </c>
      <c r="V141" s="77" t="str">
        <f>VLOOKUP(A141,Data_echipe!A:U,21,0)</f>
        <v>All Stars</v>
      </c>
      <c r="X141" s="154"/>
    </row>
    <row r="142" spans="1:24" x14ac:dyDescent="0.25">
      <c r="A142" s="64" t="s">
        <v>103</v>
      </c>
      <c r="B142" s="77" t="str">
        <f>VLOOKUP(A142,Participanti!A:B,2,0)</f>
        <v>F</v>
      </c>
      <c r="C142" s="137">
        <v>5</v>
      </c>
      <c r="D142" s="66">
        <v>10.01</v>
      </c>
      <c r="E142" s="67">
        <v>3.7175925925925925E-2</v>
      </c>
      <c r="F142" s="67">
        <v>3.7731481481481484E-2</v>
      </c>
      <c r="G142" s="100">
        <f t="shared" si="54"/>
        <v>3.7453703703703704E-2</v>
      </c>
      <c r="H142" s="68">
        <v>38</v>
      </c>
      <c r="I142" s="14">
        <f t="shared" si="55"/>
        <v>3.7416287416287418E-3</v>
      </c>
      <c r="J142" s="92">
        <f t="shared" si="56"/>
        <v>2.5024999999999999</v>
      </c>
      <c r="K142" s="92">
        <f>IF(J142=0,0,IF(B142="F",VLOOKUP(I142,Barem!$G$2:$H$11,2,1),VLOOKUP(I142,Barem!$G$12:$H$21,2,1)))</f>
        <v>3</v>
      </c>
      <c r="L142" s="110" t="s">
        <v>110</v>
      </c>
      <c r="M142" s="11">
        <f t="shared" si="57"/>
        <v>0.25</v>
      </c>
      <c r="N142" s="11">
        <f t="shared" si="58"/>
        <v>0.75</v>
      </c>
      <c r="O142" s="49">
        <f t="shared" si="59"/>
        <v>0</v>
      </c>
      <c r="P142" s="27">
        <f>IF(D142&gt;21,VLOOKUP(D142,Barem!$S$1:$T$141,2,1),0)</f>
        <v>0</v>
      </c>
      <c r="Q142" s="27">
        <f>IF(D142&lt;1.609,0,IF(B142="F",VLOOKUP(I142,Barem!$W$2:$Y$13,2,1),VLOOKUP(I142,Barem!$W$14:$Y$25,2,1)))</f>
        <v>0</v>
      </c>
      <c r="R142" s="27">
        <f>VLOOKUP(A142,Participanti!A:C,3,0)</f>
        <v>0</v>
      </c>
      <c r="S142" s="21">
        <f t="shared" si="60"/>
        <v>2.8756249999999999</v>
      </c>
      <c r="T142" s="82">
        <v>44473</v>
      </c>
      <c r="U142" s="143">
        <f>COUNTIFS(A:A,A142,C:C,C142)</f>
        <v>1</v>
      </c>
      <c r="V142" s="77" t="str">
        <f>VLOOKUP(A142,Data_echipe!A:U,21,0)</f>
        <v>UltraSYR</v>
      </c>
      <c r="X142" s="154">
        <v>1</v>
      </c>
    </row>
    <row r="143" spans="1:24" x14ac:dyDescent="0.25">
      <c r="A143" s="64" t="s">
        <v>7</v>
      </c>
      <c r="B143" s="77" t="str">
        <f>VLOOKUP(A143,Participanti!A:B,2,0)</f>
        <v>M</v>
      </c>
      <c r="C143" s="137">
        <v>5</v>
      </c>
      <c r="D143" s="66">
        <v>10.27</v>
      </c>
      <c r="E143" s="67">
        <v>3.8819444444444441E-2</v>
      </c>
      <c r="F143" s="67">
        <v>3.8900462962962963E-2</v>
      </c>
      <c r="G143" s="100">
        <f t="shared" si="54"/>
        <v>3.8859953703703702E-2</v>
      </c>
      <c r="H143" s="68">
        <v>10</v>
      </c>
      <c r="I143" s="14">
        <f t="shared" si="55"/>
        <v>3.7838319088319087E-3</v>
      </c>
      <c r="J143" s="92">
        <f t="shared" si="56"/>
        <v>2.445238095238095</v>
      </c>
      <c r="K143" s="92">
        <f>IF(J143=0,0,IF(B143="F",VLOOKUP(I143,Barem!$G$2:$H$11,2,1),VLOOKUP(I143,Barem!$G$12:$H$21,2,1)))</f>
        <v>2</v>
      </c>
      <c r="L143" s="110" t="s">
        <v>110</v>
      </c>
      <c r="M143" s="11">
        <f t="shared" si="57"/>
        <v>0.25</v>
      </c>
      <c r="N143" s="11">
        <f t="shared" si="58"/>
        <v>0.75</v>
      </c>
      <c r="O143" s="49">
        <f t="shared" si="59"/>
        <v>0</v>
      </c>
      <c r="P143" s="27">
        <f>IF(D143&gt;21,VLOOKUP(D143,Barem!$S$1:$T$141,2,1),0)</f>
        <v>0</v>
      </c>
      <c r="Q143" s="27">
        <f>IF(D143&lt;1.609,0,IF(B143="F",VLOOKUP(I143,Barem!$W$2:$Y$13,2,1),VLOOKUP(I143,Barem!$W$14:$Y$25,2,1)))</f>
        <v>0</v>
      </c>
      <c r="R143" s="27">
        <f>VLOOKUP(A143,Participanti!A:C,3,0)</f>
        <v>0</v>
      </c>
      <c r="S143" s="21">
        <f t="shared" si="60"/>
        <v>2.1113095238095236</v>
      </c>
      <c r="T143" s="82">
        <v>44478</v>
      </c>
      <c r="U143" s="143">
        <f>COUNTIFS(A:A,A143,C:C,C143)</f>
        <v>1</v>
      </c>
      <c r="V143" s="77" t="str">
        <f>VLOOKUP(A143,Data_echipe!A:U,21,0)</f>
        <v>All Stars</v>
      </c>
      <c r="X143" s="154">
        <v>1</v>
      </c>
    </row>
    <row r="144" spans="1:24" x14ac:dyDescent="0.25">
      <c r="A144" s="64" t="s">
        <v>61</v>
      </c>
      <c r="B144" s="77" t="str">
        <f>VLOOKUP(A144,Participanti!A:B,2,0)</f>
        <v>M</v>
      </c>
      <c r="C144" s="137">
        <v>5</v>
      </c>
      <c r="D144" s="66">
        <v>10.31</v>
      </c>
      <c r="E144" s="67">
        <v>3.3645833333333333E-2</v>
      </c>
      <c r="F144" s="67">
        <v>3.4212962962962966E-2</v>
      </c>
      <c r="G144" s="100">
        <f t="shared" si="54"/>
        <v>3.3929398148148146E-2</v>
      </c>
      <c r="H144" s="68">
        <v>100</v>
      </c>
      <c r="I144" s="14">
        <f t="shared" si="55"/>
        <v>3.2909212558824581E-3</v>
      </c>
      <c r="J144" s="92">
        <f t="shared" si="56"/>
        <v>2.4547619047619049</v>
      </c>
      <c r="K144" s="92">
        <f>IF(J144=0,0,IF(B144="F",VLOOKUP(I144,Barem!$G$2:$H$11,2,1),VLOOKUP(I144,Barem!$G$12:$H$21,2,1)))</f>
        <v>3.5</v>
      </c>
      <c r="L144" s="110" t="s">
        <v>110</v>
      </c>
      <c r="M144" s="11">
        <f t="shared" si="57"/>
        <v>0.25</v>
      </c>
      <c r="N144" s="11">
        <f t="shared" si="58"/>
        <v>0.75</v>
      </c>
      <c r="O144" s="49">
        <f t="shared" si="59"/>
        <v>6.6666666666666666E-2</v>
      </c>
      <c r="P144" s="27">
        <f>IF(D144&gt;21,VLOOKUP(D144,Barem!$S$1:$T$141,2,1),0)</f>
        <v>0</v>
      </c>
      <c r="Q144" s="27">
        <f>IF(D144&lt;1.609,0,IF(B144="F",VLOOKUP(I144,Barem!$W$2:$Y$13,2,1),VLOOKUP(I144,Barem!$W$14:$Y$25,2,1)))</f>
        <v>0</v>
      </c>
      <c r="R144" s="27">
        <f>VLOOKUP(A144,Participanti!A:C,3,0)</f>
        <v>0</v>
      </c>
      <c r="S144" s="21">
        <f t="shared" si="60"/>
        <v>3.3053571428571433</v>
      </c>
      <c r="T144" s="82">
        <v>44476</v>
      </c>
      <c r="U144" s="143">
        <f>COUNTIFS(A:A,A144,C:C,C144)</f>
        <v>1</v>
      </c>
      <c r="V144" s="77" t="str">
        <f>VLOOKUP(A144,Data_echipe!A:U,21,0)</f>
        <v>UltraSYR</v>
      </c>
      <c r="X144" s="154">
        <v>1</v>
      </c>
    </row>
    <row r="145" spans="1:24" x14ac:dyDescent="0.25">
      <c r="A145" s="64" t="s">
        <v>153</v>
      </c>
      <c r="B145" s="77" t="str">
        <f>VLOOKUP(A145,Participanti!A:B,2,0)</f>
        <v>F</v>
      </c>
      <c r="C145" s="137">
        <v>5</v>
      </c>
      <c r="D145" s="66">
        <v>8.01</v>
      </c>
      <c r="E145" s="67">
        <v>2.837962962962963E-2</v>
      </c>
      <c r="F145" s="67">
        <v>2.837962962962963E-2</v>
      </c>
      <c r="G145" s="100">
        <f t="shared" si="54"/>
        <v>2.837962962962963E-2</v>
      </c>
      <c r="H145" s="68">
        <v>11</v>
      </c>
      <c r="I145" s="14">
        <f t="shared" si="55"/>
        <v>3.5430249225505157E-3</v>
      </c>
      <c r="J145" s="92">
        <f t="shared" si="56"/>
        <v>2.0024999999999999</v>
      </c>
      <c r="K145" s="92">
        <f>IF(J145=0,0,IF(B145="F",VLOOKUP(I145,Barem!$G$2:$H$11,2,1),VLOOKUP(I145,Barem!$G$12:$H$21,2,1)))</f>
        <v>3.5</v>
      </c>
      <c r="L145" s="110" t="s">
        <v>110</v>
      </c>
      <c r="M145" s="11">
        <f t="shared" si="57"/>
        <v>0.25</v>
      </c>
      <c r="N145" s="11">
        <f t="shared" si="58"/>
        <v>0.75</v>
      </c>
      <c r="O145" s="49">
        <f t="shared" si="59"/>
        <v>0</v>
      </c>
      <c r="P145" s="27">
        <f>IF(D145&gt;21,VLOOKUP(D145,Barem!$S$1:$T$141,2,1),0)</f>
        <v>0</v>
      </c>
      <c r="Q145" s="27">
        <f>IF(D145&lt;1.609,0,IF(B145="F",VLOOKUP(I145,Barem!$W$2:$Y$13,2,1),VLOOKUP(I145,Barem!$W$14:$Y$25,2,1)))</f>
        <v>0</v>
      </c>
      <c r="R145" s="27">
        <f>VLOOKUP(A145,Participanti!A:C,3,0)</f>
        <v>0</v>
      </c>
      <c r="S145" s="21">
        <f t="shared" si="60"/>
        <v>3.1256249999999999</v>
      </c>
      <c r="T145" s="82">
        <v>44479</v>
      </c>
      <c r="U145" s="143">
        <f>COUNTIFS(A:A,A145,C:C,C145)</f>
        <v>1</v>
      </c>
      <c r="V145" s="77" t="str">
        <f>VLOOKUP(A145,Data_echipe!A:U,21,0)</f>
        <v>All Stars</v>
      </c>
      <c r="X145" s="154">
        <v>1</v>
      </c>
    </row>
    <row r="146" spans="1:24" x14ac:dyDescent="0.25">
      <c r="A146" s="64" t="s">
        <v>154</v>
      </c>
      <c r="B146" s="77" t="str">
        <f>VLOOKUP(A146,Participanti!A:B,2,0)</f>
        <v>M</v>
      </c>
      <c r="C146" s="137">
        <v>5</v>
      </c>
      <c r="D146" s="66">
        <v>16.100000000000001</v>
      </c>
      <c r="E146" s="67">
        <v>5.935185185185185E-2</v>
      </c>
      <c r="F146" s="67">
        <v>5.935185185185185E-2</v>
      </c>
      <c r="G146" s="100">
        <f t="shared" si="54"/>
        <v>5.935185185185185E-2</v>
      </c>
      <c r="H146" s="68">
        <v>29</v>
      </c>
      <c r="I146" s="14">
        <f t="shared" si="55"/>
        <v>3.68645042558086E-3</v>
      </c>
      <c r="J146" s="92">
        <f t="shared" si="56"/>
        <v>3.8333333333333335</v>
      </c>
      <c r="K146" s="92">
        <f>IF(J146=0,0,IF(B146="F",VLOOKUP(I146,Barem!$G$2:$H$11,2,1),VLOOKUP(I146,Barem!$G$12:$H$21,2,1)))</f>
        <v>2</v>
      </c>
      <c r="L146" s="65" t="str">
        <f>VLOOKUP(C146,Barem!L:Q,6,0)</f>
        <v>D</v>
      </c>
      <c r="M146" s="11">
        <f t="shared" si="57"/>
        <v>0.75</v>
      </c>
      <c r="N146" s="11">
        <f t="shared" si="58"/>
        <v>0.25</v>
      </c>
      <c r="O146" s="49">
        <f t="shared" si="59"/>
        <v>0</v>
      </c>
      <c r="P146" s="27">
        <f>IF(D146&gt;21,VLOOKUP(D146,Barem!$S$1:$T$141,2,1),0)</f>
        <v>0</v>
      </c>
      <c r="Q146" s="27">
        <f>IF(D146&lt;1.609,0,IF(B146="F",VLOOKUP(I146,Barem!$W$2:$Y$13,2,1),VLOOKUP(I146,Barem!$W$14:$Y$25,2,1)))</f>
        <v>0</v>
      </c>
      <c r="R146" s="27">
        <f>VLOOKUP(A146,Participanti!A:C,3,0)</f>
        <v>0</v>
      </c>
      <c r="S146" s="21">
        <f t="shared" si="60"/>
        <v>3.375</v>
      </c>
      <c r="T146" s="82">
        <v>44479</v>
      </c>
      <c r="U146" s="143">
        <f>COUNTIFS(A:A,A146,C:C,C146)</f>
        <v>1</v>
      </c>
      <c r="V146" s="77" t="str">
        <f>VLOOKUP(A146,Data_echipe!A:U,21,0)</f>
        <v>All Stars</v>
      </c>
      <c r="X146" s="154">
        <v>1</v>
      </c>
    </row>
    <row r="147" spans="1:24" x14ac:dyDescent="0.25">
      <c r="A147" s="64" t="s">
        <v>152</v>
      </c>
      <c r="B147" s="77" t="str">
        <f>VLOOKUP(A147,Participanti!A:B,2,0)</f>
        <v>F</v>
      </c>
      <c r="C147" s="137">
        <v>5</v>
      </c>
      <c r="D147" s="66">
        <v>20</v>
      </c>
      <c r="E147" s="67">
        <v>7.0115740740740742E-2</v>
      </c>
      <c r="F147" s="67">
        <v>7.0439814814814816E-2</v>
      </c>
      <c r="G147" s="100">
        <f t="shared" si="54"/>
        <v>7.0277777777777772E-2</v>
      </c>
      <c r="H147" s="68">
        <v>41</v>
      </c>
      <c r="I147" s="14">
        <f t="shared" si="55"/>
        <v>3.5138888888888884E-3</v>
      </c>
      <c r="J147" s="92">
        <f t="shared" si="56"/>
        <v>5</v>
      </c>
      <c r="K147" s="92">
        <f>IF(J147=0,0,IF(B147="F",VLOOKUP(I147,Barem!$G$2:$H$11,2,1),VLOOKUP(I147,Barem!$G$12:$H$21,2,1)))</f>
        <v>3.5</v>
      </c>
      <c r="L147" s="65" t="str">
        <f>VLOOKUP(C147,Barem!L:Q,6,0)</f>
        <v>D</v>
      </c>
      <c r="M147" s="11">
        <f t="shared" si="57"/>
        <v>0.75</v>
      </c>
      <c r="N147" s="11">
        <f t="shared" si="58"/>
        <v>0.25</v>
      </c>
      <c r="O147" s="49">
        <f t="shared" si="59"/>
        <v>0</v>
      </c>
      <c r="P147" s="27">
        <f>IF(D147&gt;21,VLOOKUP(D147,Barem!$S$1:$T$141,2,1),0)</f>
        <v>0</v>
      </c>
      <c r="Q147" s="27">
        <f>IF(D147&lt;1.609,0,IF(B147="F",VLOOKUP(I147,Barem!$W$2:$Y$13,2,1),VLOOKUP(I147,Barem!$W$14:$Y$25,2,1)))</f>
        <v>0</v>
      </c>
      <c r="R147" s="27">
        <f>VLOOKUP(A147,Participanti!A:C,3,0)</f>
        <v>0</v>
      </c>
      <c r="S147" s="21">
        <f t="shared" si="60"/>
        <v>4.625</v>
      </c>
      <c r="T147" s="82">
        <v>44479</v>
      </c>
      <c r="U147" s="143">
        <f>COUNTIFS(A:A,A147,C:C,C147)</f>
        <v>1</v>
      </c>
      <c r="V147" s="77" t="str">
        <f>VLOOKUP(A147,Data_echipe!A:U,21,0)</f>
        <v>All Stars</v>
      </c>
      <c r="X147" s="154">
        <v>1</v>
      </c>
    </row>
    <row r="148" spans="1:24" x14ac:dyDescent="0.25">
      <c r="A148" s="64" t="s">
        <v>239</v>
      </c>
      <c r="B148" s="77" t="str">
        <f>VLOOKUP(A148,Participanti!A:B,2,0)</f>
        <v>M</v>
      </c>
      <c r="C148" s="137">
        <v>5</v>
      </c>
      <c r="D148" s="66">
        <v>12.68</v>
      </c>
      <c r="E148" s="67">
        <v>4.1284722222222223E-2</v>
      </c>
      <c r="F148" s="67">
        <v>4.1666666666666664E-2</v>
      </c>
      <c r="G148" s="100">
        <f t="shared" si="54"/>
        <v>4.1475694444444447E-2</v>
      </c>
      <c r="H148" s="68">
        <v>37</v>
      </c>
      <c r="I148" s="14">
        <f t="shared" si="55"/>
        <v>3.2709538205397829E-3</v>
      </c>
      <c r="J148" s="92">
        <f t="shared" si="56"/>
        <v>3.019047619047619</v>
      </c>
      <c r="K148" s="92">
        <f>IF(J148=0,0,IF(B148="F",VLOOKUP(I148,Barem!$G$2:$H$11,2,1),VLOOKUP(I148,Barem!$G$12:$H$21,2,1)))</f>
        <v>3.5</v>
      </c>
      <c r="L148" s="65" t="str">
        <f>VLOOKUP(C148,Barem!L:Q,6,0)</f>
        <v>D</v>
      </c>
      <c r="M148" s="11">
        <f t="shared" si="57"/>
        <v>0.75</v>
      </c>
      <c r="N148" s="11">
        <f t="shared" si="58"/>
        <v>0.25</v>
      </c>
      <c r="O148" s="49">
        <f t="shared" si="59"/>
        <v>0</v>
      </c>
      <c r="P148" s="27">
        <f>IF(D148&gt;21,VLOOKUP(D148,Barem!$S$1:$T$141,2,1),0)</f>
        <v>0</v>
      </c>
      <c r="Q148" s="27">
        <f>IF(D148&lt;1.609,0,IF(B148="F",VLOOKUP(I148,Barem!$W$2:$Y$13,2,1),VLOOKUP(I148,Barem!$W$14:$Y$25,2,1)))</f>
        <v>0</v>
      </c>
      <c r="R148" s="27">
        <f>VLOOKUP(A148,Participanti!A:C,3,0)</f>
        <v>0</v>
      </c>
      <c r="S148" s="21">
        <f t="shared" si="60"/>
        <v>3.1392857142857142</v>
      </c>
      <c r="T148" s="82">
        <v>44478</v>
      </c>
      <c r="U148" s="143">
        <f>COUNTIFS(A:A,A148,C:C,C148)</f>
        <v>1</v>
      </c>
      <c r="V148" s="77" t="str">
        <f>VLOOKUP(A148,Data_echipe!A:U,21,0)</f>
        <v>All Stars</v>
      </c>
      <c r="X148" s="154">
        <v>1</v>
      </c>
    </row>
    <row r="149" spans="1:24" x14ac:dyDescent="0.25">
      <c r="A149" s="64" t="s">
        <v>53</v>
      </c>
      <c r="B149" s="77" t="str">
        <f>VLOOKUP(A149,Participanti!A:B,2,0)</f>
        <v>M</v>
      </c>
      <c r="C149" s="137">
        <v>5</v>
      </c>
      <c r="D149" s="66">
        <v>44.12</v>
      </c>
      <c r="E149" s="67">
        <v>0.17967592592592593</v>
      </c>
      <c r="F149" s="67">
        <v>0.18072916666666669</v>
      </c>
      <c r="G149" s="100">
        <f t="shared" si="54"/>
        <v>0.18020254629629631</v>
      </c>
      <c r="H149" s="68">
        <v>1297</v>
      </c>
      <c r="I149" s="14">
        <f t="shared" si="55"/>
        <v>4.0843732161445221E-3</v>
      </c>
      <c r="J149" s="92">
        <f t="shared" si="56"/>
        <v>5</v>
      </c>
      <c r="K149" s="92">
        <f>IF(J149=0,0,IF(B149="F",VLOOKUP(I149,Barem!$G$2:$H$11,2,1),VLOOKUP(I149,Barem!$G$12:$H$21,2,1)))</f>
        <v>1.5</v>
      </c>
      <c r="L149" s="65" t="str">
        <f>VLOOKUP(C149,Barem!L:Q,6,0)</f>
        <v>D</v>
      </c>
      <c r="M149" s="11">
        <f t="shared" si="57"/>
        <v>0.75</v>
      </c>
      <c r="N149" s="11">
        <f t="shared" si="58"/>
        <v>0.25</v>
      </c>
      <c r="O149" s="49">
        <f t="shared" si="59"/>
        <v>0.86466666666666669</v>
      </c>
      <c r="P149" s="27">
        <f>IF(D149&gt;21,VLOOKUP(D149,Barem!$S$1:$T$141,2,1),0)</f>
        <v>1.1000000000000001</v>
      </c>
      <c r="Q149" s="27">
        <f>IF(D149&lt;1.609,0,IF(B149="F",VLOOKUP(I149,Barem!$W$2:$Y$13,2,1),VLOOKUP(I149,Barem!$W$14:$Y$25,2,1)))</f>
        <v>0</v>
      </c>
      <c r="R149" s="27">
        <f>VLOOKUP(A149,Participanti!A:C,3,0)</f>
        <v>0</v>
      </c>
      <c r="S149" s="21">
        <f t="shared" si="60"/>
        <v>6.0896666666666661</v>
      </c>
      <c r="T149" s="82">
        <v>44479</v>
      </c>
      <c r="U149" s="143">
        <f>COUNTIFS(A:A,A149,C:C,C149)</f>
        <v>1</v>
      </c>
      <c r="V149" s="77" t="str">
        <f>VLOOKUP(A149,Data_echipe!A:U,21,0)</f>
        <v>UltraSYR</v>
      </c>
      <c r="X149" s="154">
        <v>1</v>
      </c>
    </row>
    <row r="150" spans="1:24" x14ac:dyDescent="0.25">
      <c r="A150" s="64" t="s">
        <v>60</v>
      </c>
      <c r="B150" s="77" t="str">
        <f>VLOOKUP(A150,Participanti!A:B,2,0)</f>
        <v>M</v>
      </c>
      <c r="C150" s="137">
        <v>5</v>
      </c>
      <c r="D150" s="66">
        <v>10.02</v>
      </c>
      <c r="E150" s="67">
        <v>4.2557870370370371E-2</v>
      </c>
      <c r="F150" s="67">
        <v>4.2557870370370371E-2</v>
      </c>
      <c r="G150" s="100">
        <f t="shared" ref="G150:G160" si="61">AVERAGE(E150:F150)</f>
        <v>4.2557870370370371E-2</v>
      </c>
      <c r="H150" s="68">
        <v>2</v>
      </c>
      <c r="I150" s="14">
        <f t="shared" si="55"/>
        <v>4.2472924521327719E-3</v>
      </c>
      <c r="J150" s="92">
        <f t="shared" si="56"/>
        <v>2.3857142857142857</v>
      </c>
      <c r="K150" s="92">
        <f>IF(J150=0,0,IF(B150="F",VLOOKUP(I150,Barem!$G$2:$H$11,2,1),VLOOKUP(I150,Barem!$G$12:$H$21,2,1)))</f>
        <v>1</v>
      </c>
      <c r="L150" s="65" t="str">
        <f>VLOOKUP(C150,Barem!L:Q,6,0)</f>
        <v>D</v>
      </c>
      <c r="M150" s="11">
        <f t="shared" si="57"/>
        <v>0.75</v>
      </c>
      <c r="N150" s="11">
        <f t="shared" si="58"/>
        <v>0.25</v>
      </c>
      <c r="O150" s="49">
        <f t="shared" si="59"/>
        <v>0</v>
      </c>
      <c r="P150" s="27">
        <f>IF(D150&gt;21,VLOOKUP(D150,Barem!$S$1:$T$141,2,1),0)</f>
        <v>0</v>
      </c>
      <c r="Q150" s="27">
        <f>IF(D150&lt;1.609,0,IF(B150="F",VLOOKUP(I150,Barem!$W$2:$Y$13,2,1),VLOOKUP(I150,Barem!$W$14:$Y$25,2,1)))</f>
        <v>0</v>
      </c>
      <c r="R150" s="27">
        <f>VLOOKUP(A150,Participanti!A:C,3,0)</f>
        <v>0</v>
      </c>
      <c r="S150" s="21">
        <f t="shared" si="60"/>
        <v>2.0392857142857141</v>
      </c>
      <c r="T150" s="82">
        <v>44474</v>
      </c>
      <c r="U150" s="143">
        <f>COUNTIFS(A:A,A150,C:C,C150)</f>
        <v>1</v>
      </c>
      <c r="V150" s="77" t="e">
        <f>VLOOKUP(A150,Data_echipe!A:U,21,0)</f>
        <v>#N/A</v>
      </c>
      <c r="X150" s="154">
        <v>1</v>
      </c>
    </row>
    <row r="151" spans="1:24" x14ac:dyDescent="0.25">
      <c r="A151" s="64" t="s">
        <v>240</v>
      </c>
      <c r="B151" s="77" t="str">
        <f>VLOOKUP(A151,Participanti!A:B,2,0)</f>
        <v>M</v>
      </c>
      <c r="C151" s="137">
        <v>5</v>
      </c>
      <c r="D151" s="66">
        <v>11</v>
      </c>
      <c r="E151" s="67">
        <v>3.3854166666666664E-2</v>
      </c>
      <c r="F151" s="67">
        <v>3.4039351851851855E-2</v>
      </c>
      <c r="G151" s="100">
        <f t="shared" si="61"/>
        <v>3.394675925925926E-2</v>
      </c>
      <c r="H151" s="68">
        <v>34</v>
      </c>
      <c r="I151" s="14">
        <f t="shared" ref="I151:I160" si="62">G151/D151</f>
        <v>3.0860690235690238E-3</v>
      </c>
      <c r="J151" s="92">
        <f t="shared" ref="J151:J160" si="63">IF(B151="F",IF(D151&lt;2.5,0,IF(D151&gt;19.99,5,D151/4)),IF(D151&lt;3,0, IF(D151&gt;20.99,5,D151/4.2)))</f>
        <v>2.6190476190476191</v>
      </c>
      <c r="K151" s="92">
        <f>IF(J151=0,0,IF(B151="F",VLOOKUP(I151,Barem!$G$2:$H$11,2,1),VLOOKUP(I151,Barem!$G$12:$H$21,2,1)))</f>
        <v>4</v>
      </c>
      <c r="L151" s="110" t="s">
        <v>110</v>
      </c>
      <c r="M151" s="11">
        <f t="shared" si="57"/>
        <v>0.25</v>
      </c>
      <c r="N151" s="11">
        <f t="shared" si="58"/>
        <v>0.75</v>
      </c>
      <c r="O151" s="49">
        <f t="shared" si="59"/>
        <v>0</v>
      </c>
      <c r="P151" s="27">
        <f>IF(D151&gt;21,VLOOKUP(D151,Barem!$S$1:$T$141,2,1),0)</f>
        <v>0</v>
      </c>
      <c r="Q151" s="27">
        <f>IF(D151&lt;1.609,0,IF(B151="F",VLOOKUP(I151,Barem!$W$2:$Y$13,2,1),VLOOKUP(I151,Barem!$W$14:$Y$25,2,1)))</f>
        <v>0</v>
      </c>
      <c r="R151" s="27">
        <f>VLOOKUP(A151,Participanti!A:C,3,0)</f>
        <v>0</v>
      </c>
      <c r="S151" s="21">
        <f t="shared" si="60"/>
        <v>3.6547619047619047</v>
      </c>
      <c r="T151" s="82">
        <v>44476</v>
      </c>
      <c r="U151" s="143">
        <f>COUNTIFS(A:A,A151,C:C,C151)</f>
        <v>1</v>
      </c>
      <c r="V151" s="77" t="str">
        <f>VLOOKUP(A151,Data_echipe!A:U,21,0)</f>
        <v>All Stars</v>
      </c>
      <c r="X151" s="154">
        <v>1</v>
      </c>
    </row>
    <row r="152" spans="1:24" x14ac:dyDescent="0.25">
      <c r="A152" s="64" t="s">
        <v>202</v>
      </c>
      <c r="B152" s="77" t="str">
        <f>VLOOKUP(A152,Participanti!A:B,2,0)</f>
        <v>F</v>
      </c>
      <c r="C152" s="137">
        <v>5</v>
      </c>
      <c r="D152" s="66">
        <v>12.71</v>
      </c>
      <c r="E152" s="67">
        <v>5.5601851851851847E-2</v>
      </c>
      <c r="F152" s="67">
        <v>6.2997685185185184E-2</v>
      </c>
      <c r="G152" s="100">
        <f t="shared" si="61"/>
        <v>5.9299768518518516E-2</v>
      </c>
      <c r="H152" s="68">
        <v>28</v>
      </c>
      <c r="I152" s="14">
        <f t="shared" si="62"/>
        <v>4.6655994113704571E-3</v>
      </c>
      <c r="J152" s="92">
        <f t="shared" si="63"/>
        <v>3.1775000000000002</v>
      </c>
      <c r="K152" s="92">
        <f>IF(J152=0,0,IF(B152="F",VLOOKUP(I152,Barem!$G$2:$H$11,2,1),VLOOKUP(I152,Barem!$G$12:$H$21,2,1)))</f>
        <v>1</v>
      </c>
      <c r="L152" s="65" t="str">
        <f>VLOOKUP(C152,Barem!L:Q,6,0)</f>
        <v>D</v>
      </c>
      <c r="M152" s="11">
        <f t="shared" ref="M152:M160" si="64">IF(OR(L152="P1",L152="P2",L152="P3"),"",IF(C152=15,0.5,IF(L152="D",0.75,0.25)))</f>
        <v>0.75</v>
      </c>
      <c r="N152" s="11">
        <f t="shared" ref="N152:N160" si="65">IF(OR(L152="P1",L152="P2",L152="P3"),"",IF(C152=15,0.5,IF(L152="V",0.75,0.25)))</f>
        <v>0.25</v>
      </c>
      <c r="O152" s="49">
        <f t="shared" ref="O152:O160" si="66">IF(H152&lt;-49,H152/1500,IF(H152&gt;49,H152/1500,0))</f>
        <v>0</v>
      </c>
      <c r="P152" s="27">
        <f>IF(D152&gt;21,VLOOKUP(D152,Barem!$S$1:$T$141,2,1),0)</f>
        <v>0</v>
      </c>
      <c r="Q152" s="27">
        <f>IF(D152&lt;1.609,0,IF(B152="F",VLOOKUP(I152,Barem!$W$2:$Y$13,2,1),VLOOKUP(I152,Barem!$W$14:$Y$25,2,1)))</f>
        <v>0</v>
      </c>
      <c r="R152" s="27">
        <f>VLOOKUP(A152,Participanti!A:C,3,0)</f>
        <v>0</v>
      </c>
      <c r="S152" s="21">
        <f t="shared" ref="S152:S160" si="67">J152*M152+K152*N152+O152+P152+Q152+R152</f>
        <v>2.6331250000000002</v>
      </c>
      <c r="T152" s="82">
        <v>44479</v>
      </c>
      <c r="U152" s="143">
        <f>COUNTIFS(A:A,A152,C:C,C152)</f>
        <v>1</v>
      </c>
      <c r="V152" s="77" t="e">
        <f>VLOOKUP(A152,Data_echipe!A:U,21,0)</f>
        <v>#N/A</v>
      </c>
      <c r="X152" s="154">
        <v>1</v>
      </c>
    </row>
    <row r="153" spans="1:24" x14ac:dyDescent="0.25">
      <c r="A153" s="64" t="s">
        <v>241</v>
      </c>
      <c r="B153" s="77" t="str">
        <f>VLOOKUP(A153,Participanti!A:B,2,0)</f>
        <v>M</v>
      </c>
      <c r="C153" s="137">
        <v>5</v>
      </c>
      <c r="D153" s="66">
        <v>10.01</v>
      </c>
      <c r="E153" s="67">
        <v>3.2314814814814817E-2</v>
      </c>
      <c r="F153" s="67">
        <v>3.4374999999999996E-2</v>
      </c>
      <c r="G153" s="100">
        <f t="shared" si="61"/>
        <v>3.3344907407407406E-2</v>
      </c>
      <c r="H153" s="68">
        <v>24</v>
      </c>
      <c r="I153" s="14">
        <f t="shared" si="62"/>
        <v>3.3311595811595812E-3</v>
      </c>
      <c r="J153" s="92">
        <f t="shared" si="63"/>
        <v>2.3833333333333333</v>
      </c>
      <c r="K153" s="92">
        <f>IF(J153=0,0,IF(B153="F",VLOOKUP(I153,Barem!$G$2:$H$11,2,1),VLOOKUP(I153,Barem!$G$12:$H$21,2,1)))</f>
        <v>3</v>
      </c>
      <c r="L153" s="65" t="str">
        <f>VLOOKUP(C153,Barem!L:Q,6,0)</f>
        <v>D</v>
      </c>
      <c r="M153" s="11">
        <f t="shared" si="64"/>
        <v>0.75</v>
      </c>
      <c r="N153" s="11">
        <f t="shared" si="65"/>
        <v>0.25</v>
      </c>
      <c r="O153" s="49">
        <f t="shared" si="66"/>
        <v>0</v>
      </c>
      <c r="P153" s="27">
        <f>IF(D153&gt;21,VLOOKUP(D153,Barem!$S$1:$T$141,2,1),0)</f>
        <v>0</v>
      </c>
      <c r="Q153" s="27">
        <f>IF(D153&lt;1.609,0,IF(B153="F",VLOOKUP(I153,Barem!$W$2:$Y$13,2,1),VLOOKUP(I153,Barem!$W$14:$Y$25,2,1)))</f>
        <v>0</v>
      </c>
      <c r="R153" s="27">
        <f>VLOOKUP(A153,Participanti!A:C,3,0)</f>
        <v>0</v>
      </c>
      <c r="S153" s="21">
        <f t="shared" si="67"/>
        <v>2.5375000000000001</v>
      </c>
      <c r="T153" s="82">
        <v>44474</v>
      </c>
      <c r="U153" s="143">
        <f>COUNTIFS(A:A,A153,C:C,C153)</f>
        <v>1</v>
      </c>
      <c r="V153" s="77" t="e">
        <f>VLOOKUP(A153,Data_echipe!A:U,21,0)</f>
        <v>#N/A</v>
      </c>
      <c r="X153" s="154">
        <v>1</v>
      </c>
    </row>
    <row r="154" spans="1:24" x14ac:dyDescent="0.25">
      <c r="A154" s="64" t="s">
        <v>242</v>
      </c>
      <c r="B154" s="77" t="str">
        <f>VLOOKUP(A154,Participanti!A:B,2,0)</f>
        <v>M</v>
      </c>
      <c r="C154" s="137">
        <v>5</v>
      </c>
      <c r="D154" s="66">
        <v>10.01</v>
      </c>
      <c r="E154" s="67">
        <v>2.480324074074074E-2</v>
      </c>
      <c r="F154" s="67">
        <v>2.480324074074074E-2</v>
      </c>
      <c r="G154" s="100">
        <f t="shared" si="61"/>
        <v>2.480324074074074E-2</v>
      </c>
      <c r="H154" s="68">
        <v>54</v>
      </c>
      <c r="I154" s="14">
        <f t="shared" si="62"/>
        <v>2.4778462278462277E-3</v>
      </c>
      <c r="J154" s="92">
        <f t="shared" si="63"/>
        <v>2.3833333333333333</v>
      </c>
      <c r="K154" s="92">
        <f>IF(J154=0,0,IF(B154="F",VLOOKUP(I154,Barem!$G$2:$H$11,2,1),VLOOKUP(I154,Barem!$G$12:$H$21,2,1)))</f>
        <v>5</v>
      </c>
      <c r="L154" s="110" t="s">
        <v>110</v>
      </c>
      <c r="M154" s="11">
        <f t="shared" si="64"/>
        <v>0.25</v>
      </c>
      <c r="N154" s="11">
        <f t="shared" si="65"/>
        <v>0.75</v>
      </c>
      <c r="O154" s="49">
        <f t="shared" si="66"/>
        <v>3.5999999999999997E-2</v>
      </c>
      <c r="P154" s="27">
        <f>IF(D154&gt;21,VLOOKUP(D154,Barem!$S$1:$T$141,2,1),0)</f>
        <v>0</v>
      </c>
      <c r="Q154" s="27">
        <f>IF(D154&lt;1.609,0,IF(B154="F",VLOOKUP(I154,Barem!$W$2:$Y$13,2,1),VLOOKUP(I154,Barem!$W$14:$Y$25,2,1)))</f>
        <v>3.1500000000000004</v>
      </c>
      <c r="R154" s="27">
        <f>VLOOKUP(A154,Participanti!A:C,3,0)</f>
        <v>0</v>
      </c>
      <c r="S154" s="21">
        <f t="shared" si="67"/>
        <v>7.5318333333333332</v>
      </c>
      <c r="T154" s="82">
        <v>44476</v>
      </c>
      <c r="U154" s="143">
        <f>COUNTIFS(A:A,A154,C:C,C154)</f>
        <v>1</v>
      </c>
      <c r="V154" s="77" t="str">
        <f>VLOOKUP(A154,Data_echipe!A:U,21,0)</f>
        <v>All Stars</v>
      </c>
      <c r="X154" s="154">
        <v>1</v>
      </c>
    </row>
    <row r="155" spans="1:24" x14ac:dyDescent="0.25">
      <c r="A155" s="64" t="s">
        <v>203</v>
      </c>
      <c r="B155" s="77" t="str">
        <f>VLOOKUP(A155,Participanti!A:B,2,0)</f>
        <v>M</v>
      </c>
      <c r="C155" s="137">
        <v>5</v>
      </c>
      <c r="D155" s="66">
        <v>11.03</v>
      </c>
      <c r="E155" s="67">
        <v>3.0613425925925929E-2</v>
      </c>
      <c r="F155" s="67">
        <v>3.0613425925925929E-2</v>
      </c>
      <c r="G155" s="100">
        <f t="shared" si="61"/>
        <v>3.0613425925925929E-2</v>
      </c>
      <c r="H155" s="68">
        <v>73</v>
      </c>
      <c r="I155" s="14">
        <f t="shared" si="62"/>
        <v>2.7754692589234751E-3</v>
      </c>
      <c r="J155" s="92">
        <f t="shared" si="63"/>
        <v>2.6261904761904757</v>
      </c>
      <c r="K155" s="92">
        <f>IF(J155=0,0,IF(B155="F",VLOOKUP(I155,Barem!$G$2:$H$11,2,1),VLOOKUP(I155,Barem!$G$12:$H$21,2,1)))</f>
        <v>5</v>
      </c>
      <c r="L155" s="110" t="s">
        <v>110</v>
      </c>
      <c r="M155" s="11">
        <f t="shared" si="64"/>
        <v>0.25</v>
      </c>
      <c r="N155" s="11">
        <f t="shared" si="65"/>
        <v>0.75</v>
      </c>
      <c r="O155" s="49">
        <f t="shared" si="66"/>
        <v>4.8666666666666664E-2</v>
      </c>
      <c r="P155" s="27">
        <f>IF(D155&gt;21,VLOOKUP(D155,Barem!$S$1:$T$141,2,1),0)</f>
        <v>0</v>
      </c>
      <c r="Q155" s="27">
        <f>IF(D155&lt;1.609,0,IF(B155="F",VLOOKUP(I155,Barem!$W$2:$Y$13,2,1),VLOOKUP(I155,Barem!$W$14:$Y$25,2,1)))</f>
        <v>0.15000000000000002</v>
      </c>
      <c r="R155" s="27">
        <f>VLOOKUP(A155,Participanti!A:C,3,0)</f>
        <v>0</v>
      </c>
      <c r="S155" s="21">
        <f t="shared" si="67"/>
        <v>4.6052142857142861</v>
      </c>
      <c r="T155" s="82">
        <v>44479</v>
      </c>
      <c r="U155" s="143">
        <f>COUNTIFS(A:A,A155,C:C,C155)</f>
        <v>1</v>
      </c>
      <c r="V155" s="77" t="str">
        <f>VLOOKUP(A155,Data_echipe!A:U,21,0)</f>
        <v>All Stars</v>
      </c>
      <c r="X155" s="154">
        <v>1</v>
      </c>
    </row>
    <row r="156" spans="1:24" x14ac:dyDescent="0.25">
      <c r="A156" s="64" t="s">
        <v>43</v>
      </c>
      <c r="B156" s="77" t="str">
        <f>VLOOKUP(A156,Participanti!A:B,2,0)</f>
        <v>M</v>
      </c>
      <c r="C156" s="137">
        <v>5</v>
      </c>
      <c r="D156" s="66">
        <v>7.12</v>
      </c>
      <c r="E156" s="67">
        <v>2.2812499999999999E-2</v>
      </c>
      <c r="F156" s="67">
        <v>2.2812499999999999E-2</v>
      </c>
      <c r="G156" s="100">
        <f t="shared" si="61"/>
        <v>2.2812499999999999E-2</v>
      </c>
      <c r="H156" s="68">
        <v>17</v>
      </c>
      <c r="I156" s="14">
        <f t="shared" si="62"/>
        <v>3.2040028089887641E-3</v>
      </c>
      <c r="J156" s="92">
        <f t="shared" si="63"/>
        <v>1.6952380952380952</v>
      </c>
      <c r="K156" s="92">
        <f>IF(J156=0,0,IF(B156="F",VLOOKUP(I156,Barem!$G$2:$H$11,2,1),VLOOKUP(I156,Barem!$G$12:$H$21,2,1)))</f>
        <v>3.5</v>
      </c>
      <c r="L156" s="65" t="str">
        <f>VLOOKUP(C156,Barem!L:Q,6,0)</f>
        <v>D</v>
      </c>
      <c r="M156" s="11">
        <f t="shared" si="64"/>
        <v>0.75</v>
      </c>
      <c r="N156" s="11">
        <f t="shared" si="65"/>
        <v>0.25</v>
      </c>
      <c r="O156" s="49">
        <f t="shared" si="66"/>
        <v>0</v>
      </c>
      <c r="P156" s="27">
        <f>IF(D156&gt;21,VLOOKUP(D156,Barem!$S$1:$T$141,2,1),0)</f>
        <v>0</v>
      </c>
      <c r="Q156" s="27">
        <f>IF(D156&lt;1.609,0,IF(B156="F",VLOOKUP(I156,Barem!$W$2:$Y$13,2,1),VLOOKUP(I156,Barem!$W$14:$Y$25,2,1)))</f>
        <v>0</v>
      </c>
      <c r="R156" s="27">
        <f>VLOOKUP(A156,Participanti!A:C,3,0)</f>
        <v>0</v>
      </c>
      <c r="S156" s="21">
        <f t="shared" si="67"/>
        <v>2.1464285714285714</v>
      </c>
      <c r="T156" s="82">
        <v>44476</v>
      </c>
      <c r="U156" s="143">
        <f>COUNTIFS(A:A,A156,C:C,C156)</f>
        <v>1</v>
      </c>
      <c r="V156" s="77" t="e">
        <f>VLOOKUP(A156,Data_echipe!A:U,21,0)</f>
        <v>#N/A</v>
      </c>
      <c r="X156" s="154">
        <v>1</v>
      </c>
    </row>
    <row r="157" spans="1:24" x14ac:dyDescent="0.25">
      <c r="A157" s="64" t="s">
        <v>244</v>
      </c>
      <c r="B157" s="77" t="str">
        <f>VLOOKUP(A157,Participanti!A:B,2,0)</f>
        <v>M</v>
      </c>
      <c r="C157" s="137">
        <v>5</v>
      </c>
      <c r="D157" s="66">
        <v>17.47</v>
      </c>
      <c r="E157" s="67">
        <v>6.732638888888888E-2</v>
      </c>
      <c r="F157" s="67">
        <v>6.7395833333333335E-2</v>
      </c>
      <c r="G157" s="100">
        <f t="shared" si="61"/>
        <v>6.7361111111111108E-2</v>
      </c>
      <c r="H157" s="68">
        <v>661</v>
      </c>
      <c r="I157" s="14">
        <f t="shared" si="62"/>
        <v>3.8558163200407046E-3</v>
      </c>
      <c r="J157" s="92">
        <f t="shared" si="63"/>
        <v>4.159523809523809</v>
      </c>
      <c r="K157" s="92">
        <f>IF(J157=0,0,IF(B157="F",VLOOKUP(I157,Barem!$G$2:$H$11,2,1),VLOOKUP(I157,Barem!$G$12:$H$21,2,1)))</f>
        <v>1.5</v>
      </c>
      <c r="L157" s="110" t="s">
        <v>110</v>
      </c>
      <c r="M157" s="11">
        <f t="shared" si="64"/>
        <v>0.25</v>
      </c>
      <c r="N157" s="11">
        <f t="shared" si="65"/>
        <v>0.75</v>
      </c>
      <c r="O157" s="49">
        <f t="shared" si="66"/>
        <v>0.44066666666666665</v>
      </c>
      <c r="P157" s="27">
        <f>IF(D157&gt;21,VLOOKUP(D157,Barem!$S$1:$T$141,2,1),0)</f>
        <v>0</v>
      </c>
      <c r="Q157" s="27">
        <f>IF(D157&lt;1.609,0,IF(B157="F",VLOOKUP(I157,Barem!$W$2:$Y$13,2,1),VLOOKUP(I157,Barem!$W$14:$Y$25,2,1)))</f>
        <v>0</v>
      </c>
      <c r="R157" s="27">
        <f>VLOOKUP(A157,Participanti!A:C,3,0)</f>
        <v>0</v>
      </c>
      <c r="S157" s="21">
        <f t="shared" si="67"/>
        <v>2.6055476190476186</v>
      </c>
      <c r="T157" s="82">
        <v>44478</v>
      </c>
      <c r="U157" s="143">
        <f>COUNTIFS(A:A,A157,C:C,C157)</f>
        <v>1</v>
      </c>
      <c r="V157" s="77" t="str">
        <f>VLOOKUP(A157,Data_echipe!A:U,21,0)</f>
        <v>All Stars</v>
      </c>
      <c r="X157" s="154">
        <v>1</v>
      </c>
    </row>
    <row r="158" spans="1:24" x14ac:dyDescent="0.25">
      <c r="A158" s="64" t="s">
        <v>119</v>
      </c>
      <c r="B158" s="77" t="str">
        <f>VLOOKUP(A158,Participanti!A:B,2,0)</f>
        <v>M</v>
      </c>
      <c r="C158" s="137">
        <v>5</v>
      </c>
      <c r="D158" s="66">
        <v>10.11</v>
      </c>
      <c r="E158" s="67">
        <v>2.6770833333333331E-2</v>
      </c>
      <c r="F158" s="67">
        <v>2.6770833333333331E-2</v>
      </c>
      <c r="G158" s="100">
        <f t="shared" si="61"/>
        <v>2.6770833333333331E-2</v>
      </c>
      <c r="H158" s="68">
        <v>0</v>
      </c>
      <c r="I158" s="14">
        <f t="shared" si="62"/>
        <v>2.6479558193208044E-3</v>
      </c>
      <c r="J158" s="92">
        <f t="shared" si="63"/>
        <v>2.407142857142857</v>
      </c>
      <c r="K158" s="92">
        <f>IF(J158=0,0,IF(B158="F",VLOOKUP(I158,Barem!$G$2:$H$11,2,1),VLOOKUP(I158,Barem!$G$12:$H$21,2,1)))</f>
        <v>5</v>
      </c>
      <c r="L158" s="110" t="s">
        <v>110</v>
      </c>
      <c r="M158" s="11">
        <f t="shared" si="64"/>
        <v>0.25</v>
      </c>
      <c r="N158" s="11">
        <f t="shared" si="65"/>
        <v>0.75</v>
      </c>
      <c r="O158" s="49">
        <f t="shared" si="66"/>
        <v>0</v>
      </c>
      <c r="P158" s="27">
        <f>IF(D158&gt;21,VLOOKUP(D158,Barem!$S$1:$T$141,2,1),0)</f>
        <v>0</v>
      </c>
      <c r="Q158" s="27">
        <f>IF(D158&lt;1.609,0,IF(B158="F",VLOOKUP(I158,Barem!$W$2:$Y$13,2,1),VLOOKUP(I158,Barem!$W$14:$Y$25,2,1)))</f>
        <v>0.89999999999999991</v>
      </c>
      <c r="R158" s="27">
        <f>VLOOKUP(A158,Participanti!A:C,3,0)</f>
        <v>0</v>
      </c>
      <c r="S158" s="21">
        <f t="shared" si="67"/>
        <v>5.2517857142857149</v>
      </c>
      <c r="T158" s="82">
        <v>44475</v>
      </c>
      <c r="U158" s="143">
        <f>COUNTIFS(A:A,A158,C:C,C158)</f>
        <v>1</v>
      </c>
      <c r="V158" s="77" t="e">
        <f>VLOOKUP(A158,Data_echipe!A:U,21,0)</f>
        <v>#N/A</v>
      </c>
      <c r="X158" s="154">
        <v>1</v>
      </c>
    </row>
    <row r="159" spans="1:24" x14ac:dyDescent="0.25">
      <c r="A159" s="64" t="s">
        <v>118</v>
      </c>
      <c r="B159" s="77" t="str">
        <f>VLOOKUP(A159,Participanti!A:B,2,0)</f>
        <v>M</v>
      </c>
      <c r="C159" s="137">
        <v>5</v>
      </c>
      <c r="D159" s="66">
        <v>70.41</v>
      </c>
      <c r="E159" s="67">
        <v>0.27263888888888888</v>
      </c>
      <c r="F159" s="67">
        <v>0.31071759259259263</v>
      </c>
      <c r="G159" s="100">
        <f t="shared" si="61"/>
        <v>0.29167824074074078</v>
      </c>
      <c r="H159" s="68">
        <v>374</v>
      </c>
      <c r="I159" s="112">
        <f t="shared" si="62"/>
        <v>4.1425683956929525E-3</v>
      </c>
      <c r="J159" s="92">
        <f t="shared" si="63"/>
        <v>5</v>
      </c>
      <c r="K159" s="92">
        <f>IF(J159=0,0,IF(B159="F",VLOOKUP(I159,Barem!$G$2:$H$11,2,1),VLOOKUP(I159,Barem!$G$12:$H$21,2,1)))</f>
        <v>1.5</v>
      </c>
      <c r="L159" s="65" t="str">
        <f>VLOOKUP(C159,Barem!L:Q,6,0)</f>
        <v>D</v>
      </c>
      <c r="M159" s="11">
        <f t="shared" si="64"/>
        <v>0.75</v>
      </c>
      <c r="N159" s="11">
        <f t="shared" si="65"/>
        <v>0.25</v>
      </c>
      <c r="O159" s="49">
        <f t="shared" si="66"/>
        <v>0.24933333333333332</v>
      </c>
      <c r="P159" s="27">
        <f>IF(D159&gt;21,VLOOKUP(D159,Barem!$S$1:$T$141,2,1),0)</f>
        <v>2.4</v>
      </c>
      <c r="Q159" s="27">
        <f>IF(D159&lt;1.609,0,IF(B159="F",VLOOKUP(I159,Barem!$W$2:$Y$13,2,1),VLOOKUP(I159,Barem!$W$14:$Y$25,2,1)))</f>
        <v>0</v>
      </c>
      <c r="R159" s="27">
        <f>VLOOKUP(A159,Participanti!A:C,3,0)</f>
        <v>0</v>
      </c>
      <c r="S159" s="21">
        <f t="shared" si="67"/>
        <v>6.7743333333333329</v>
      </c>
      <c r="T159" s="82">
        <v>44477</v>
      </c>
      <c r="U159" s="143">
        <f>COUNTIFS(A:A,A159,C:C,C159)</f>
        <v>1</v>
      </c>
      <c r="V159" s="77" t="str">
        <f>VLOOKUP(A159,Data_echipe!A:U,21,0)</f>
        <v>UltraSYR</v>
      </c>
      <c r="X159" s="154">
        <v>1</v>
      </c>
    </row>
    <row r="160" spans="1:24" x14ac:dyDescent="0.25">
      <c r="A160" s="113" t="s">
        <v>211</v>
      </c>
      <c r="B160" s="114" t="str">
        <f>VLOOKUP(A160,Participanti!A:B,2,0)</f>
        <v>F</v>
      </c>
      <c r="C160" s="138">
        <v>5</v>
      </c>
      <c r="D160" s="116">
        <v>3.01</v>
      </c>
      <c r="E160" s="117">
        <v>8.8888888888888889E-3</v>
      </c>
      <c r="F160" s="117">
        <v>8.9351851851851866E-3</v>
      </c>
      <c r="G160" s="118">
        <f t="shared" si="61"/>
        <v>8.9120370370370378E-3</v>
      </c>
      <c r="H160" s="119">
        <v>20</v>
      </c>
      <c r="I160" s="120">
        <f t="shared" si="62"/>
        <v>2.9608096468561589E-3</v>
      </c>
      <c r="J160" s="121">
        <f t="shared" si="63"/>
        <v>0.75249999999999995</v>
      </c>
      <c r="K160" s="121">
        <f>IF(J160=0,0,IF(B160="F",VLOOKUP(I160,Barem!$G$2:$H$11,2,1),VLOOKUP(I160,Barem!$G$12:$H$21,2,1)))</f>
        <v>5</v>
      </c>
      <c r="L160" s="110" t="s">
        <v>110</v>
      </c>
      <c r="M160" s="122">
        <f t="shared" si="64"/>
        <v>0.25</v>
      </c>
      <c r="N160" s="122">
        <f t="shared" si="65"/>
        <v>0.75</v>
      </c>
      <c r="O160" s="123">
        <f t="shared" si="66"/>
        <v>0</v>
      </c>
      <c r="P160" s="124">
        <f>IF(D160&gt;21,VLOOKUP(D160,Barem!$S$1:$T$141,2,1),0)</f>
        <v>0</v>
      </c>
      <c r="Q160" s="124">
        <f>IF(D160&lt;1.609,0,IF(B160="F",VLOOKUP(I160,Barem!$W$2:$Y$13,2,1),VLOOKUP(I160,Barem!$W$14:$Y$25,2,1)))</f>
        <v>1.4999999999999998</v>
      </c>
      <c r="R160" s="124">
        <f>VLOOKUP(A160,Participanti!A:C,3,0)</f>
        <v>0</v>
      </c>
      <c r="S160" s="125">
        <f t="shared" si="67"/>
        <v>5.4381249999999994</v>
      </c>
      <c r="T160" s="126">
        <v>44479</v>
      </c>
      <c r="U160" s="144">
        <f>COUNTIFS(A:A,A160,C:C,C160)</f>
        <v>1</v>
      </c>
      <c r="V160" s="114" t="str">
        <f>VLOOKUP(A160,Data_echipe!A:U,21,0)</f>
        <v>UltraSYR</v>
      </c>
      <c r="W160" s="127"/>
      <c r="X160" s="154">
        <v>1</v>
      </c>
    </row>
    <row r="161" spans="1:22" x14ac:dyDescent="0.25">
      <c r="A161" s="64" t="s">
        <v>242</v>
      </c>
      <c r="B161" s="77" t="str">
        <f>VLOOKUP(A161,Participanti!A:B,2,0)</f>
        <v>M</v>
      </c>
      <c r="C161" s="137" t="s">
        <v>145</v>
      </c>
      <c r="D161" s="66"/>
      <c r="E161" s="67"/>
      <c r="F161" s="67"/>
      <c r="G161" s="100"/>
      <c r="H161" s="68"/>
      <c r="I161" s="14"/>
      <c r="J161" s="92"/>
      <c r="K161" s="92"/>
      <c r="L161" s="65" t="s">
        <v>298</v>
      </c>
      <c r="M161" s="11"/>
      <c r="N161" s="11"/>
      <c r="O161" s="49"/>
      <c r="S161" s="21">
        <f>VLOOKUP(A161,'P1'!A:H,8,0)</f>
        <v>3.625</v>
      </c>
      <c r="T161" s="82"/>
      <c r="U161" s="143">
        <f>COUNTIFS(A:A,A161,C:C,C161)</f>
        <v>1</v>
      </c>
      <c r="V161" s="77" t="str">
        <f>VLOOKUP(A161,Data_echipe!A:U,21,0)</f>
        <v>All Stars</v>
      </c>
    </row>
    <row r="162" spans="1:22" x14ac:dyDescent="0.25">
      <c r="A162" s="64" t="s">
        <v>152</v>
      </c>
      <c r="B162" s="77" t="str">
        <f>VLOOKUP(A162,Participanti!A:B,2,0)</f>
        <v>F</v>
      </c>
      <c r="C162" s="137" t="s">
        <v>145</v>
      </c>
      <c r="D162" s="66"/>
      <c r="E162" s="67"/>
      <c r="F162" s="67"/>
      <c r="G162" s="100"/>
      <c r="H162" s="68"/>
      <c r="I162" s="14"/>
      <c r="J162" s="92"/>
      <c r="K162" s="92"/>
      <c r="L162" s="65" t="s">
        <v>298</v>
      </c>
      <c r="M162" s="11"/>
      <c r="N162" s="11"/>
      <c r="O162" s="49"/>
      <c r="S162" s="21">
        <f>VLOOKUP(A162,'P1'!A:H,8,0)</f>
        <v>2.5</v>
      </c>
      <c r="T162" s="82"/>
      <c r="U162" s="143">
        <f>COUNTIFS(A:A,A162,C:C,C162)</f>
        <v>1</v>
      </c>
      <c r="V162" s="77" t="str">
        <f>VLOOKUP(A162,Data_echipe!A:U,21,0)</f>
        <v>All Stars</v>
      </c>
    </row>
    <row r="163" spans="1:22" x14ac:dyDescent="0.25">
      <c r="A163" s="64" t="s">
        <v>203</v>
      </c>
      <c r="B163" s="77" t="str">
        <f>VLOOKUP(A163,Participanti!A:B,2,0)</f>
        <v>M</v>
      </c>
      <c r="C163" s="137" t="s">
        <v>145</v>
      </c>
      <c r="D163" s="66"/>
      <c r="E163" s="67"/>
      <c r="F163" s="67"/>
      <c r="G163" s="100"/>
      <c r="H163" s="68"/>
      <c r="I163" s="14"/>
      <c r="J163" s="92"/>
      <c r="K163" s="92"/>
      <c r="L163" s="65" t="s">
        <v>298</v>
      </c>
      <c r="M163" s="11"/>
      <c r="N163" s="11"/>
      <c r="O163" s="49"/>
      <c r="S163" s="21">
        <f>VLOOKUP(A163,'P1'!A:H,8,0)</f>
        <v>1</v>
      </c>
      <c r="T163" s="82"/>
      <c r="U163" s="143">
        <f>COUNTIFS(A:A,A163,C:C,C163)</f>
        <v>1</v>
      </c>
      <c r="V163" s="77" t="str">
        <f>VLOOKUP(A163,Data_echipe!A:U,21,0)</f>
        <v>All Stars</v>
      </c>
    </row>
    <row r="164" spans="1:22" x14ac:dyDescent="0.25">
      <c r="A164" s="64" t="s">
        <v>51</v>
      </c>
      <c r="B164" s="77" t="str">
        <f>VLOOKUP(A164,Participanti!A:B,2,0)</f>
        <v>M</v>
      </c>
      <c r="C164" s="137" t="s">
        <v>145</v>
      </c>
      <c r="D164" s="66"/>
      <c r="E164" s="67"/>
      <c r="F164" s="67"/>
      <c r="G164" s="100"/>
      <c r="H164" s="68"/>
      <c r="I164" s="14"/>
      <c r="J164" s="92"/>
      <c r="K164" s="92"/>
      <c r="L164" s="65" t="s">
        <v>298</v>
      </c>
      <c r="M164" s="11"/>
      <c r="N164" s="11"/>
      <c r="O164" s="49"/>
      <c r="S164" s="21">
        <f>VLOOKUP(A164,'P1'!A:H,8,0)</f>
        <v>4.4375</v>
      </c>
      <c r="T164" s="82"/>
      <c r="U164" s="143">
        <f>COUNTIFS(A:A,A164,C:C,C164)</f>
        <v>1</v>
      </c>
      <c r="V164" s="77" t="str">
        <f>VLOOKUP(A164,Data_echipe!A:U,21,0)</f>
        <v>UltraSYR</v>
      </c>
    </row>
    <row r="165" spans="1:22" x14ac:dyDescent="0.25">
      <c r="A165" s="64" t="s">
        <v>53</v>
      </c>
      <c r="B165" s="77" t="str">
        <f>VLOOKUP(A165,Participanti!A:B,2,0)</f>
        <v>M</v>
      </c>
      <c r="C165" s="137" t="s">
        <v>145</v>
      </c>
      <c r="D165" s="66"/>
      <c r="E165" s="67"/>
      <c r="F165" s="67"/>
      <c r="G165" s="100"/>
      <c r="H165" s="68"/>
      <c r="I165" s="14"/>
      <c r="J165" s="92"/>
      <c r="K165" s="92"/>
      <c r="L165" s="65" t="s">
        <v>298</v>
      </c>
      <c r="M165" s="11"/>
      <c r="N165" s="11"/>
      <c r="O165" s="49"/>
      <c r="S165" s="21">
        <f>VLOOKUP(A165,'P1'!A:H,8,0)</f>
        <v>4.375</v>
      </c>
      <c r="T165" s="82"/>
      <c r="U165" s="143">
        <f>COUNTIFS(A:A,A165,C:C,C165)</f>
        <v>1</v>
      </c>
      <c r="V165" s="77" t="str">
        <f>VLOOKUP(A165,Data_echipe!A:U,21,0)</f>
        <v>UltraSYR</v>
      </c>
    </row>
    <row r="166" spans="1:22" x14ac:dyDescent="0.25">
      <c r="A166" s="64" t="s">
        <v>211</v>
      </c>
      <c r="B166" s="77" t="str">
        <f>VLOOKUP(A166,Participanti!A:B,2,0)</f>
        <v>F</v>
      </c>
      <c r="C166" s="137" t="s">
        <v>145</v>
      </c>
      <c r="D166" s="66"/>
      <c r="E166" s="67"/>
      <c r="F166" s="67"/>
      <c r="G166" s="100"/>
      <c r="H166" s="68"/>
      <c r="I166" s="14"/>
      <c r="J166" s="92"/>
      <c r="K166" s="92"/>
      <c r="L166" s="65" t="s">
        <v>298</v>
      </c>
      <c r="M166" s="11"/>
      <c r="N166" s="11"/>
      <c r="O166" s="49"/>
      <c r="S166" s="21">
        <f>VLOOKUP(A166,'P1'!A:H,8,0)</f>
        <v>2.25</v>
      </c>
      <c r="T166" s="82"/>
      <c r="U166" s="143">
        <f>COUNTIFS(A:A,A166,C:C,C166)</f>
        <v>1</v>
      </c>
      <c r="V166" s="77" t="str">
        <f>VLOOKUP(A166,Data_echipe!A:U,21,0)</f>
        <v>UltraSYR</v>
      </c>
    </row>
    <row r="167" spans="1:22" x14ac:dyDescent="0.25">
      <c r="A167" s="64" t="s">
        <v>80</v>
      </c>
      <c r="B167" s="77" t="str">
        <f>VLOOKUP(A167,Participanti!A:B,2,0)</f>
        <v>M</v>
      </c>
      <c r="C167" s="137" t="s">
        <v>145</v>
      </c>
      <c r="D167" s="66"/>
      <c r="E167" s="67"/>
      <c r="F167" s="67"/>
      <c r="G167" s="100"/>
      <c r="H167" s="68"/>
      <c r="I167" s="14"/>
      <c r="J167" s="92"/>
      <c r="K167" s="92"/>
      <c r="L167" s="65" t="s">
        <v>298</v>
      </c>
      <c r="M167" s="11"/>
      <c r="N167" s="11"/>
      <c r="O167" s="49"/>
      <c r="S167" s="21">
        <f>VLOOKUP(A167,'P1'!A:H,8,0)</f>
        <v>3.875</v>
      </c>
      <c r="T167" s="82"/>
      <c r="U167" s="143">
        <f>COUNTIFS(A:A,A167,C:C,C167)</f>
        <v>1</v>
      </c>
      <c r="V167" s="77" t="str">
        <f>VLOOKUP(A167,Data_echipe!A:U,21,0)</f>
        <v>UltraSYR</v>
      </c>
    </row>
    <row r="168" spans="1:22" x14ac:dyDescent="0.25">
      <c r="A168" s="64" t="s">
        <v>118</v>
      </c>
      <c r="B168" s="77" t="str">
        <f>VLOOKUP(A168,Participanti!A:B,2,0)</f>
        <v>M</v>
      </c>
      <c r="C168" s="137" t="s">
        <v>145</v>
      </c>
      <c r="D168" s="66"/>
      <c r="E168" s="67"/>
      <c r="F168" s="67"/>
      <c r="G168" s="100"/>
      <c r="H168" s="68"/>
      <c r="I168" s="14"/>
      <c r="J168" s="92"/>
      <c r="K168" s="92"/>
      <c r="L168" s="65" t="s">
        <v>298</v>
      </c>
      <c r="M168" s="11"/>
      <c r="N168" s="11"/>
      <c r="O168" s="49"/>
      <c r="S168" s="21">
        <f>VLOOKUP(A168,'P1'!A:H,8,0)</f>
        <v>2.5625</v>
      </c>
      <c r="T168" s="82"/>
      <c r="U168" s="143">
        <f>COUNTIFS(A:A,A168,C:C,C168)</f>
        <v>1</v>
      </c>
      <c r="V168" s="77" t="str">
        <f>VLOOKUP(A168,Data_echipe!A:U,21,0)</f>
        <v>UltraSYR</v>
      </c>
    </row>
    <row r="169" spans="1:22" x14ac:dyDescent="0.25">
      <c r="A169" s="64" t="s">
        <v>119</v>
      </c>
      <c r="B169" s="77" t="str">
        <f>VLOOKUP(A169,Participanti!A:B,2,0)</f>
        <v>M</v>
      </c>
      <c r="C169" s="137" t="s">
        <v>145</v>
      </c>
      <c r="D169" s="66"/>
      <c r="E169" s="67"/>
      <c r="F169" s="67"/>
      <c r="G169" s="100"/>
      <c r="H169" s="68"/>
      <c r="I169" s="14"/>
      <c r="J169" s="92"/>
      <c r="K169" s="92"/>
      <c r="L169" s="65" t="s">
        <v>298</v>
      </c>
      <c r="M169" s="11"/>
      <c r="N169" s="11"/>
      <c r="O169" s="49"/>
      <c r="S169" s="21">
        <f>VLOOKUP(A169,'P1'!A:H,8,0)</f>
        <v>3.25</v>
      </c>
      <c r="T169" s="82"/>
      <c r="U169" s="143">
        <f>COUNTIFS(A:A,A169,C:C,C169)</f>
        <v>1</v>
      </c>
      <c r="V169" s="77" t="e">
        <f>VLOOKUP(A169,Data_echipe!A:U,21,0)</f>
        <v>#N/A</v>
      </c>
    </row>
    <row r="170" spans="1:22" x14ac:dyDescent="0.25">
      <c r="A170" s="64" t="s">
        <v>111</v>
      </c>
      <c r="B170" s="77" t="str">
        <f>VLOOKUP(A170,Participanti!A:B,2,0)</f>
        <v>M</v>
      </c>
      <c r="C170" s="137" t="s">
        <v>145</v>
      </c>
      <c r="D170" s="66"/>
      <c r="E170" s="67"/>
      <c r="F170" s="67"/>
      <c r="G170" s="100"/>
      <c r="H170" s="68"/>
      <c r="I170" s="14"/>
      <c r="J170" s="92"/>
      <c r="K170" s="92"/>
      <c r="L170" s="65" t="s">
        <v>298</v>
      </c>
      <c r="M170" s="11"/>
      <c r="N170" s="11"/>
      <c r="O170" s="49"/>
      <c r="S170" s="21">
        <f>VLOOKUP(A170,'P1'!A:H,8,0)</f>
        <v>3.5</v>
      </c>
      <c r="T170" s="82"/>
      <c r="U170" s="143">
        <f>COUNTIFS(A:A,A170,C:C,C170)</f>
        <v>1</v>
      </c>
      <c r="V170" s="77" t="str">
        <f>VLOOKUP(A170,Data_echipe!A:U,21,0)</f>
        <v>UltraSYR</v>
      </c>
    </row>
    <row r="171" spans="1:22" x14ac:dyDescent="0.25">
      <c r="A171" s="64" t="s">
        <v>240</v>
      </c>
      <c r="B171" s="77" t="str">
        <f>VLOOKUP(A171,Participanti!A:B,2,0)</f>
        <v>M</v>
      </c>
      <c r="C171" s="137" t="s">
        <v>145</v>
      </c>
      <c r="D171" s="66"/>
      <c r="E171" s="67"/>
      <c r="F171" s="67"/>
      <c r="G171" s="100"/>
      <c r="H171" s="68"/>
      <c r="I171" s="14"/>
      <c r="J171" s="92"/>
      <c r="K171" s="92"/>
      <c r="L171" s="65" t="s">
        <v>298</v>
      </c>
      <c r="M171" s="11"/>
      <c r="N171" s="11"/>
      <c r="O171" s="49"/>
      <c r="S171" s="21">
        <f>VLOOKUP(A171,'P1'!A:H,8,0)</f>
        <v>3.1875</v>
      </c>
      <c r="T171" s="82"/>
      <c r="U171" s="143">
        <f>COUNTIFS(A:A,A171,C:C,C171)</f>
        <v>1</v>
      </c>
      <c r="V171" s="77" t="str">
        <f>VLOOKUP(A171,Data_echipe!A:U,21,0)</f>
        <v>All Stars</v>
      </c>
    </row>
    <row r="172" spans="1:22" x14ac:dyDescent="0.25">
      <c r="A172" s="64" t="s">
        <v>244</v>
      </c>
      <c r="B172" s="77" t="str">
        <f>VLOOKUP(A172,Participanti!A:B,2,0)</f>
        <v>M</v>
      </c>
      <c r="C172" s="137" t="s">
        <v>145</v>
      </c>
      <c r="D172" s="66"/>
      <c r="E172" s="67"/>
      <c r="F172" s="67"/>
      <c r="G172" s="100"/>
      <c r="H172" s="68"/>
      <c r="I172" s="14"/>
      <c r="J172" s="92"/>
      <c r="K172" s="92"/>
      <c r="L172" s="65" t="s">
        <v>298</v>
      </c>
      <c r="M172" s="11"/>
      <c r="N172" s="11"/>
      <c r="O172" s="49"/>
      <c r="S172" s="21">
        <f>VLOOKUP(A172,'P1'!A:H,8,0)</f>
        <v>2.375</v>
      </c>
      <c r="T172" s="82"/>
      <c r="U172" s="143">
        <f>COUNTIFS(A:A,A172,C:C,C172)</f>
        <v>1</v>
      </c>
      <c r="V172" s="77" t="str">
        <f>VLOOKUP(A172,Data_echipe!A:U,21,0)</f>
        <v>All Stars</v>
      </c>
    </row>
    <row r="173" spans="1:22" x14ac:dyDescent="0.25">
      <c r="A173" s="64" t="s">
        <v>67</v>
      </c>
      <c r="B173" s="77" t="str">
        <f>VLOOKUP(A173,Participanti!A:B,2,0)</f>
        <v>M</v>
      </c>
      <c r="C173" s="137" t="s">
        <v>145</v>
      </c>
      <c r="D173" s="66"/>
      <c r="E173" s="67"/>
      <c r="F173" s="67"/>
      <c r="G173" s="100"/>
      <c r="H173" s="68"/>
      <c r="I173" s="14"/>
      <c r="J173" s="92"/>
      <c r="K173" s="92"/>
      <c r="L173" s="65" t="s">
        <v>298</v>
      </c>
      <c r="M173" s="11"/>
      <c r="N173" s="11"/>
      <c r="O173" s="49"/>
      <c r="S173" s="21">
        <f>VLOOKUP(A173,'P1'!A:H,8,0)</f>
        <v>3.3125</v>
      </c>
      <c r="T173" s="82"/>
      <c r="U173" s="143">
        <f>COUNTIFS(A:A,A173,C:C,C173)</f>
        <v>1</v>
      </c>
      <c r="V173" s="77" t="e">
        <f>VLOOKUP(A173,Data_echipe!A:U,21,0)</f>
        <v>#N/A</v>
      </c>
    </row>
    <row r="174" spans="1:22" x14ac:dyDescent="0.25">
      <c r="A174" s="64" t="s">
        <v>102</v>
      </c>
      <c r="B174" s="77" t="str">
        <f>VLOOKUP(A174,Participanti!A:B,2,0)</f>
        <v>M</v>
      </c>
      <c r="C174" s="137" t="s">
        <v>145</v>
      </c>
      <c r="D174" s="66"/>
      <c r="E174" s="67"/>
      <c r="F174" s="67"/>
      <c r="G174" s="100"/>
      <c r="H174" s="68"/>
      <c r="I174" s="14"/>
      <c r="J174" s="92"/>
      <c r="K174" s="92"/>
      <c r="L174" s="65" t="s">
        <v>298</v>
      </c>
      <c r="M174" s="11"/>
      <c r="N174" s="11"/>
      <c r="O174" s="49"/>
      <c r="S174" s="21">
        <f>VLOOKUP(A174,'P1'!A:H,8,0)</f>
        <v>0.8125</v>
      </c>
      <c r="T174" s="82"/>
      <c r="U174" s="143">
        <f>COUNTIFS(A:A,A174,C:C,C174)</f>
        <v>1</v>
      </c>
      <c r="V174" s="77" t="str">
        <f>VLOOKUP(A174,Data_echipe!A:U,21,0)</f>
        <v>All Stars</v>
      </c>
    </row>
    <row r="175" spans="1:22" x14ac:dyDescent="0.25">
      <c r="A175" s="64" t="s">
        <v>154</v>
      </c>
      <c r="B175" s="77" t="str">
        <f>VLOOKUP(A175,Participanti!A:B,2,0)</f>
        <v>M</v>
      </c>
      <c r="C175" s="137" t="s">
        <v>145</v>
      </c>
      <c r="D175" s="66"/>
      <c r="E175" s="67"/>
      <c r="F175" s="67"/>
      <c r="G175" s="100"/>
      <c r="H175" s="68"/>
      <c r="I175" s="14"/>
      <c r="J175" s="92"/>
      <c r="K175" s="92"/>
      <c r="L175" s="65" t="s">
        <v>298</v>
      </c>
      <c r="M175" s="11"/>
      <c r="N175" s="11"/>
      <c r="O175" s="49"/>
      <c r="S175" s="21">
        <f>VLOOKUP(A175,'P1'!A:H,8,0)</f>
        <v>1.1875</v>
      </c>
      <c r="T175" s="82"/>
      <c r="U175" s="143">
        <f>COUNTIFS(A:A,A175,C:C,C175)</f>
        <v>1</v>
      </c>
      <c r="V175" s="77" t="str">
        <f>VLOOKUP(A175,Data_echipe!A:U,21,0)</f>
        <v>All Stars</v>
      </c>
    </row>
    <row r="176" spans="1:22" x14ac:dyDescent="0.25">
      <c r="A176" s="64" t="s">
        <v>49</v>
      </c>
      <c r="B176" s="77" t="str">
        <f>VLOOKUP(A176,Participanti!A:B,2,0)</f>
        <v>M</v>
      </c>
      <c r="C176" s="137" t="s">
        <v>145</v>
      </c>
      <c r="D176" s="66"/>
      <c r="E176" s="67"/>
      <c r="F176" s="67"/>
      <c r="G176" s="100"/>
      <c r="H176" s="68"/>
      <c r="I176" s="14"/>
      <c r="J176" s="92"/>
      <c r="K176" s="92"/>
      <c r="L176" s="65" t="s">
        <v>298</v>
      </c>
      <c r="M176" s="11"/>
      <c r="N176" s="11"/>
      <c r="O176" s="49"/>
      <c r="S176" s="21">
        <f>VLOOKUP(A176,'P1'!A:H,8,0)</f>
        <v>1.8333333333333333</v>
      </c>
      <c r="T176" s="82"/>
      <c r="U176" s="143">
        <f>COUNTIFS(A:A,A176,C:C,C176)</f>
        <v>1</v>
      </c>
      <c r="V176" s="77" t="str">
        <f>VLOOKUP(A176,Data_echipe!A:U,21,0)</f>
        <v>All Stars</v>
      </c>
    </row>
    <row r="177" spans="1:22" x14ac:dyDescent="0.25">
      <c r="A177" s="64" t="s">
        <v>241</v>
      </c>
      <c r="B177" s="77" t="str">
        <f>VLOOKUP(A177,Participanti!A:B,2,0)</f>
        <v>M</v>
      </c>
      <c r="C177" s="137" t="s">
        <v>145</v>
      </c>
      <c r="D177" s="66"/>
      <c r="E177" s="67"/>
      <c r="F177" s="67"/>
      <c r="G177" s="100"/>
      <c r="H177" s="68"/>
      <c r="I177" s="14"/>
      <c r="J177" s="92"/>
      <c r="K177" s="92"/>
      <c r="L177" s="65" t="s">
        <v>298</v>
      </c>
      <c r="M177" s="11"/>
      <c r="N177" s="11"/>
      <c r="O177" s="49"/>
      <c r="S177" s="21">
        <f>VLOOKUP(A177,'P1'!A:H,8,0)</f>
        <v>0.625</v>
      </c>
      <c r="T177" s="82"/>
      <c r="U177" s="143">
        <f>COUNTIFS(A:A,A177,C:C,C177)</f>
        <v>1</v>
      </c>
      <c r="V177" s="77" t="e">
        <f>VLOOKUP(A177,Data_echipe!A:U,21,0)</f>
        <v>#N/A</v>
      </c>
    </row>
    <row r="178" spans="1:22" x14ac:dyDescent="0.25">
      <c r="A178" s="64" t="s">
        <v>61</v>
      </c>
      <c r="B178" s="77" t="str">
        <f>VLOOKUP(A178,Participanti!A:B,2,0)</f>
        <v>M</v>
      </c>
      <c r="C178" s="137" t="s">
        <v>145</v>
      </c>
      <c r="D178" s="66"/>
      <c r="E178" s="67"/>
      <c r="F178" s="67"/>
      <c r="G178" s="100"/>
      <c r="H178" s="68"/>
      <c r="I178" s="14"/>
      <c r="J178" s="92"/>
      <c r="K178" s="92"/>
      <c r="L178" s="65" t="s">
        <v>298</v>
      </c>
      <c r="M178" s="11"/>
      <c r="N178" s="11"/>
      <c r="O178" s="49"/>
      <c r="S178" s="21">
        <f>VLOOKUP(A178,'P1'!A:H,8,0)</f>
        <v>2</v>
      </c>
      <c r="T178" s="82"/>
      <c r="U178" s="143">
        <f>COUNTIFS(A:A,A178,C:C,C178)</f>
        <v>1</v>
      </c>
      <c r="V178" s="77" t="str">
        <f>VLOOKUP(A178,Data_echipe!A:U,21,0)</f>
        <v>UltraSYR</v>
      </c>
    </row>
    <row r="179" spans="1:22" x14ac:dyDescent="0.25">
      <c r="A179" s="64" t="s">
        <v>153</v>
      </c>
      <c r="B179" s="77" t="str">
        <f>VLOOKUP(A179,Participanti!A:B,2,0)</f>
        <v>F</v>
      </c>
      <c r="C179" s="137" t="s">
        <v>145</v>
      </c>
      <c r="D179" s="66"/>
      <c r="E179" s="67"/>
      <c r="F179" s="67"/>
      <c r="G179" s="100"/>
      <c r="H179" s="68"/>
      <c r="I179" s="14"/>
      <c r="J179" s="92"/>
      <c r="K179" s="92"/>
      <c r="L179" s="65" t="s">
        <v>298</v>
      </c>
      <c r="M179" s="11"/>
      <c r="N179" s="11"/>
      <c r="O179" s="49"/>
      <c r="S179" s="21">
        <f>VLOOKUP(A179,'P1'!A:H,8,0)</f>
        <v>2</v>
      </c>
      <c r="T179" s="82"/>
      <c r="U179" s="143">
        <f>COUNTIFS(A:A,A179,C:C,C179)</f>
        <v>1</v>
      </c>
      <c r="V179" s="77" t="str">
        <f>VLOOKUP(A179,Data_echipe!A:U,21,0)</f>
        <v>All Stars</v>
      </c>
    </row>
    <row r="180" spans="1:22" x14ac:dyDescent="0.25">
      <c r="A180" s="64" t="s">
        <v>55</v>
      </c>
      <c r="B180" s="77" t="str">
        <f>VLOOKUP(A180,Participanti!A:B,2,0)</f>
        <v>M</v>
      </c>
      <c r="C180" s="137" t="s">
        <v>145</v>
      </c>
      <c r="D180" s="66"/>
      <c r="E180" s="67"/>
      <c r="F180" s="67"/>
      <c r="G180" s="100"/>
      <c r="H180" s="68"/>
      <c r="I180" s="14"/>
      <c r="J180" s="92"/>
      <c r="K180" s="92"/>
      <c r="L180" s="65" t="s">
        <v>298</v>
      </c>
      <c r="M180" s="11"/>
      <c r="N180" s="11"/>
      <c r="O180" s="49"/>
      <c r="S180" s="21">
        <f>VLOOKUP(A180,'P1'!A:H,8,0)</f>
        <v>2.0625</v>
      </c>
      <c r="T180" s="82"/>
      <c r="U180" s="143">
        <f>COUNTIFS(A:A,A180,C:C,C180)</f>
        <v>1</v>
      </c>
      <c r="V180" s="77" t="e">
        <f>VLOOKUP(A180,Data_echipe!A:U,21,0)</f>
        <v>#N/A</v>
      </c>
    </row>
    <row r="181" spans="1:22" x14ac:dyDescent="0.25">
      <c r="A181" s="64" t="s">
        <v>239</v>
      </c>
      <c r="B181" s="77" t="str">
        <f>VLOOKUP(A181,Participanti!A:B,2,0)</f>
        <v>M</v>
      </c>
      <c r="C181" s="137" t="s">
        <v>145</v>
      </c>
      <c r="D181" s="66"/>
      <c r="E181" s="67"/>
      <c r="F181" s="67"/>
      <c r="G181" s="100"/>
      <c r="H181" s="68"/>
      <c r="I181" s="14"/>
      <c r="J181" s="92"/>
      <c r="K181" s="92"/>
      <c r="L181" s="65" t="s">
        <v>298</v>
      </c>
      <c r="M181" s="11"/>
      <c r="N181" s="11"/>
      <c r="O181" s="49"/>
      <c r="S181" s="21">
        <f>VLOOKUP(A181,'P1'!A:H,8,0)</f>
        <v>3.375</v>
      </c>
      <c r="T181" s="82"/>
      <c r="U181" s="143">
        <f>COUNTIFS(A:A,A181,C:C,C181)</f>
        <v>1</v>
      </c>
      <c r="V181" s="77" t="str">
        <f>VLOOKUP(A181,Data_echipe!A:U,21,0)</f>
        <v>All Stars</v>
      </c>
    </row>
    <row r="182" spans="1:22" x14ac:dyDescent="0.25">
      <c r="A182" s="64" t="s">
        <v>5</v>
      </c>
      <c r="B182" s="77" t="str">
        <f>VLOOKUP(A182,Participanti!A:B,2,0)</f>
        <v>F</v>
      </c>
      <c r="C182" s="137" t="s">
        <v>145</v>
      </c>
      <c r="D182" s="66"/>
      <c r="E182" s="67"/>
      <c r="F182" s="67"/>
      <c r="G182" s="100"/>
      <c r="H182" s="68"/>
      <c r="I182" s="14"/>
      <c r="J182" s="92"/>
      <c r="K182" s="92"/>
      <c r="L182" s="65" t="s">
        <v>298</v>
      </c>
      <c r="M182" s="11"/>
      <c r="N182" s="11"/>
      <c r="O182" s="49"/>
      <c r="S182" s="21">
        <f>VLOOKUP(A182,'P1'!A:H,8,0)</f>
        <v>3.625</v>
      </c>
      <c r="T182" s="82"/>
      <c r="U182" s="143">
        <f>COUNTIFS(A:A,A182,C:C,C182)</f>
        <v>1</v>
      </c>
      <c r="V182" s="77" t="str">
        <f>VLOOKUP(A182,Data_echipe!A:U,21,0)</f>
        <v>All Stars</v>
      </c>
    </row>
    <row r="183" spans="1:22" x14ac:dyDescent="0.25">
      <c r="A183" s="64" t="s">
        <v>65</v>
      </c>
      <c r="B183" s="77" t="str">
        <f>VLOOKUP(A183,Participanti!A:B,2,0)</f>
        <v>M</v>
      </c>
      <c r="C183" s="137" t="s">
        <v>145</v>
      </c>
      <c r="D183" s="66"/>
      <c r="E183" s="67"/>
      <c r="F183" s="67"/>
      <c r="G183" s="100"/>
      <c r="H183" s="68"/>
      <c r="I183" s="14"/>
      <c r="J183" s="92"/>
      <c r="K183" s="92"/>
      <c r="L183" s="65" t="s">
        <v>298</v>
      </c>
      <c r="M183" s="11"/>
      <c r="N183" s="11"/>
      <c r="O183" s="49"/>
      <c r="S183" s="21">
        <f>VLOOKUP(A183,'P1'!A:H,8,0)</f>
        <v>3.5</v>
      </c>
      <c r="T183" s="82"/>
      <c r="U183" s="143">
        <f>COUNTIFS(A:A,A183,C:C,C183)</f>
        <v>1</v>
      </c>
      <c r="V183" s="77" t="str">
        <f>VLOOKUP(A183,Data_echipe!A:U,21,0)</f>
        <v>UltraSYR</v>
      </c>
    </row>
    <row r="184" spans="1:22" x14ac:dyDescent="0.25">
      <c r="A184" s="64" t="s">
        <v>103</v>
      </c>
      <c r="B184" s="77" t="str">
        <f>VLOOKUP(A184,Participanti!A:B,2,0)</f>
        <v>F</v>
      </c>
      <c r="C184" s="137" t="s">
        <v>145</v>
      </c>
      <c r="D184" s="66"/>
      <c r="E184" s="67"/>
      <c r="F184" s="67"/>
      <c r="G184" s="100"/>
      <c r="H184" s="68"/>
      <c r="I184" s="14"/>
      <c r="J184" s="92"/>
      <c r="K184" s="92"/>
      <c r="L184" s="65" t="s">
        <v>298</v>
      </c>
      <c r="M184" s="11"/>
      <c r="N184" s="11"/>
      <c r="O184" s="49"/>
      <c r="S184" s="21">
        <f>VLOOKUP(A184,'P1'!A:H,8,0)</f>
        <v>1.8125</v>
      </c>
      <c r="T184" s="82"/>
      <c r="U184" s="143">
        <f>COUNTIFS(A:A,A184,C:C,C184)</f>
        <v>1</v>
      </c>
      <c r="V184" s="77" t="str">
        <f>VLOOKUP(A184,Data_echipe!A:U,21,0)</f>
        <v>UltraSYR</v>
      </c>
    </row>
    <row r="185" spans="1:22" x14ac:dyDescent="0.25">
      <c r="A185" s="64" t="s">
        <v>196</v>
      </c>
      <c r="B185" s="77" t="str">
        <f>VLOOKUP(A185,Participanti!A:B,2,0)</f>
        <v>F</v>
      </c>
      <c r="C185" s="137" t="s">
        <v>145</v>
      </c>
      <c r="D185" s="66"/>
      <c r="E185" s="67"/>
      <c r="F185" s="67"/>
      <c r="G185" s="100"/>
      <c r="H185" s="68"/>
      <c r="I185" s="14"/>
      <c r="J185" s="92"/>
      <c r="K185" s="92"/>
      <c r="L185" s="65" t="s">
        <v>298</v>
      </c>
      <c r="M185" s="11"/>
      <c r="N185" s="11"/>
      <c r="O185" s="49"/>
      <c r="S185" s="21">
        <f>VLOOKUP(A185,'P1'!A:H,8,0)</f>
        <v>4.0625</v>
      </c>
      <c r="T185" s="82"/>
      <c r="U185" s="143">
        <f>COUNTIFS(A:A,A185,C:C,C185)</f>
        <v>1</v>
      </c>
      <c r="V185" s="77" t="str">
        <f>VLOOKUP(A185,Data_echipe!A:U,21,0)</f>
        <v>UltraSYR</v>
      </c>
    </row>
    <row r="186" spans="1:22" x14ac:dyDescent="0.25">
      <c r="A186" s="64" t="s">
        <v>127</v>
      </c>
      <c r="B186" s="77" t="str">
        <f>VLOOKUP(A186,Participanti!A:B,2,0)</f>
        <v>M</v>
      </c>
      <c r="C186" s="137" t="s">
        <v>145</v>
      </c>
      <c r="D186" s="66"/>
      <c r="E186" s="67"/>
      <c r="F186" s="67"/>
      <c r="G186" s="100"/>
      <c r="H186" s="68"/>
      <c r="I186" s="14"/>
      <c r="J186" s="92"/>
      <c r="K186" s="92"/>
      <c r="L186" s="65" t="s">
        <v>298</v>
      </c>
      <c r="M186" s="11"/>
      <c r="N186" s="11"/>
      <c r="O186" s="49"/>
      <c r="S186" s="21">
        <f>VLOOKUP(A186,'P1'!A:H,8,0)</f>
        <v>2.3125</v>
      </c>
      <c r="T186" s="82"/>
      <c r="U186" s="143">
        <f>COUNTIFS(A:A,A186,C:C,C186)</f>
        <v>1</v>
      </c>
      <c r="V186" s="77" t="e">
        <f>VLOOKUP(A186,Data_echipe!A:U,21,0)</f>
        <v>#N/A</v>
      </c>
    </row>
    <row r="187" spans="1:22" x14ac:dyDescent="0.25">
      <c r="A187" s="64" t="s">
        <v>7</v>
      </c>
      <c r="B187" s="77" t="str">
        <f>VLOOKUP(A187,Participanti!A:B,2,0)</f>
        <v>M</v>
      </c>
      <c r="C187" s="137" t="s">
        <v>145</v>
      </c>
      <c r="D187" s="66"/>
      <c r="E187" s="67"/>
      <c r="F187" s="67"/>
      <c r="G187" s="100"/>
      <c r="H187" s="68"/>
      <c r="I187" s="14"/>
      <c r="J187" s="92"/>
      <c r="K187" s="92"/>
      <c r="L187" s="65" t="s">
        <v>298</v>
      </c>
      <c r="M187" s="11"/>
      <c r="N187" s="11"/>
      <c r="O187" s="49"/>
      <c r="S187" s="21">
        <f>VLOOKUP(A187,'P1'!A:H,8,0)</f>
        <v>2.125</v>
      </c>
      <c r="T187" s="82"/>
      <c r="U187" s="143">
        <f>COUNTIFS(A:A,A187,C:C,C187)</f>
        <v>1</v>
      </c>
      <c r="V187" s="77" t="str">
        <f>VLOOKUP(A187,Data_echipe!A:U,21,0)</f>
        <v>All Stars</v>
      </c>
    </row>
    <row r="188" spans="1:22" x14ac:dyDescent="0.25">
      <c r="A188" s="64" t="s">
        <v>66</v>
      </c>
      <c r="B188" s="77" t="str">
        <f>VLOOKUP(A188,Participanti!A:B,2,0)</f>
        <v>F</v>
      </c>
      <c r="C188" s="137" t="s">
        <v>145</v>
      </c>
      <c r="D188" s="66"/>
      <c r="E188" s="67"/>
      <c r="F188" s="67"/>
      <c r="G188" s="100"/>
      <c r="H188" s="68"/>
      <c r="I188" s="14"/>
      <c r="J188" s="92"/>
      <c r="K188" s="92"/>
      <c r="L188" s="65" t="s">
        <v>298</v>
      </c>
      <c r="M188" s="11"/>
      <c r="N188" s="11"/>
      <c r="O188" s="49"/>
      <c r="S188" s="21">
        <f>VLOOKUP(A188,'P1'!A:H,8,0)</f>
        <v>3</v>
      </c>
      <c r="T188" s="82"/>
      <c r="U188" s="143">
        <f>COUNTIFS(A:A,A188,C:C,C188)</f>
        <v>1</v>
      </c>
      <c r="V188" s="77" t="e">
        <f>VLOOKUP(A188,Data_echipe!A:U,21,0)</f>
        <v>#N/A</v>
      </c>
    </row>
    <row r="189" spans="1:22" x14ac:dyDescent="0.25">
      <c r="A189" s="64" t="s">
        <v>202</v>
      </c>
      <c r="B189" s="77" t="str">
        <f>VLOOKUP(A189,Participanti!A:B,2,0)</f>
        <v>F</v>
      </c>
      <c r="C189" s="137" t="s">
        <v>145</v>
      </c>
      <c r="D189" s="66"/>
      <c r="E189" s="67"/>
      <c r="F189" s="67"/>
      <c r="G189" s="100"/>
      <c r="H189" s="68"/>
      <c r="I189" s="14"/>
      <c r="J189" s="92"/>
      <c r="K189" s="92"/>
      <c r="L189" s="65" t="s">
        <v>298</v>
      </c>
      <c r="M189" s="11"/>
      <c r="N189" s="11"/>
      <c r="O189" s="49"/>
      <c r="S189" s="21">
        <f>VLOOKUP(A189,'P1'!A:H,8,0)</f>
        <v>2.625</v>
      </c>
      <c r="T189" s="82"/>
      <c r="U189" s="143">
        <f>COUNTIFS(A:A,A189,C:C,C189)</f>
        <v>1</v>
      </c>
      <c r="V189" s="77" t="e">
        <f>VLOOKUP(A189,Data_echipe!A:U,21,0)</f>
        <v>#N/A</v>
      </c>
    </row>
    <row r="190" spans="1:22" x14ac:dyDescent="0.25">
      <c r="A190" s="64" t="s">
        <v>50</v>
      </c>
      <c r="B190" s="77" t="str">
        <f>VLOOKUP(A190,Participanti!A:B,2,0)</f>
        <v>M</v>
      </c>
      <c r="C190" s="137" t="s">
        <v>145</v>
      </c>
      <c r="D190" s="66"/>
      <c r="E190" s="67"/>
      <c r="F190" s="67"/>
      <c r="G190" s="100"/>
      <c r="H190" s="68"/>
      <c r="I190" s="14"/>
      <c r="J190" s="92"/>
      <c r="K190" s="92"/>
      <c r="L190" s="65" t="s">
        <v>298</v>
      </c>
      <c r="M190" s="11"/>
      <c r="N190" s="11"/>
      <c r="O190" s="49"/>
      <c r="S190" s="21">
        <f>VLOOKUP(A190,'P1'!A:H,8,0)</f>
        <v>1.4375</v>
      </c>
      <c r="T190" s="82"/>
      <c r="U190" s="143">
        <f>COUNTIFS(A:A,A190,C:C,C190)</f>
        <v>1</v>
      </c>
      <c r="V190" s="77" t="str">
        <f>VLOOKUP(A190,Data_echipe!A:U,21,0)</f>
        <v>UltraSYR</v>
      </c>
    </row>
    <row r="191" spans="1:22" x14ac:dyDescent="0.25">
      <c r="A191" s="64" t="s">
        <v>52</v>
      </c>
      <c r="B191" s="77" t="str">
        <f>VLOOKUP(A191,Participanti!A:B,2,0)</f>
        <v>M</v>
      </c>
      <c r="C191" s="137" t="s">
        <v>145</v>
      </c>
      <c r="D191" s="66"/>
      <c r="E191" s="67"/>
      <c r="F191" s="67"/>
      <c r="G191" s="100"/>
      <c r="H191" s="68"/>
      <c r="I191" s="14"/>
      <c r="J191" s="92"/>
      <c r="K191" s="92"/>
      <c r="L191" s="65" t="s">
        <v>298</v>
      </c>
      <c r="M191" s="11"/>
      <c r="N191" s="11"/>
      <c r="O191" s="49"/>
      <c r="S191" s="21">
        <f>VLOOKUP(A191,'P1'!A:H,8,0)</f>
        <v>2.0625</v>
      </c>
      <c r="T191" s="82"/>
      <c r="U191" s="143">
        <f>COUNTIFS(A:A,A191,C:C,C191)</f>
        <v>1</v>
      </c>
      <c r="V191" s="77" t="e">
        <f>VLOOKUP(A191,Data_echipe!A:U,21,0)</f>
        <v>#N/A</v>
      </c>
    </row>
    <row r="192" spans="1:22" x14ac:dyDescent="0.25">
      <c r="A192" s="64" t="s">
        <v>100</v>
      </c>
      <c r="B192" s="77" t="str">
        <f>VLOOKUP(A192,Participanti!A:B,2,0)</f>
        <v>F</v>
      </c>
      <c r="C192" s="137" t="s">
        <v>145</v>
      </c>
      <c r="D192" s="66"/>
      <c r="E192" s="67"/>
      <c r="F192" s="67"/>
      <c r="G192" s="100"/>
      <c r="H192" s="68"/>
      <c r="I192" s="14"/>
      <c r="J192" s="92"/>
      <c r="K192" s="92"/>
      <c r="L192" s="65" t="s">
        <v>298</v>
      </c>
      <c r="M192" s="11"/>
      <c r="N192" s="11"/>
      <c r="O192" s="49"/>
      <c r="S192" s="21">
        <f>VLOOKUP(A192,'P1'!A:H,8,0)</f>
        <v>0.3125</v>
      </c>
      <c r="T192" s="82"/>
      <c r="U192" s="143">
        <f>COUNTIFS(A:A,A192,C:C,C192)</f>
        <v>1</v>
      </c>
      <c r="V192" s="77" t="str">
        <f>VLOOKUP(A192,Data_echipe!A:U,21,0)</f>
        <v>All Stars</v>
      </c>
    </row>
    <row r="193" spans="1:24" x14ac:dyDescent="0.25">
      <c r="A193" s="64" t="s">
        <v>43</v>
      </c>
      <c r="B193" s="77" t="str">
        <f>VLOOKUP(A193,Participanti!A:B,2,0)</f>
        <v>M</v>
      </c>
      <c r="C193" s="137" t="s">
        <v>145</v>
      </c>
      <c r="D193" s="66"/>
      <c r="E193" s="67"/>
      <c r="F193" s="67"/>
      <c r="G193" s="100"/>
      <c r="H193" s="68"/>
      <c r="I193" s="14"/>
      <c r="J193" s="92"/>
      <c r="K193" s="92"/>
      <c r="L193" s="65" t="s">
        <v>298</v>
      </c>
      <c r="M193" s="11"/>
      <c r="N193" s="11"/>
      <c r="O193" s="49"/>
      <c r="S193" s="21">
        <f>VLOOKUP(A193,'P1'!A:H,8,0)</f>
        <v>2.25</v>
      </c>
      <c r="T193" s="82"/>
      <c r="U193" s="143">
        <f>COUNTIFS(A:A,A193,C:C,C193)</f>
        <v>1</v>
      </c>
      <c r="V193" s="77" t="e">
        <f>VLOOKUP(A193,Data_echipe!A:U,21,0)</f>
        <v>#N/A</v>
      </c>
    </row>
    <row r="194" spans="1:24" x14ac:dyDescent="0.25">
      <c r="A194" s="64" t="s">
        <v>117</v>
      </c>
      <c r="B194" s="77" t="str">
        <f>VLOOKUP(A194,Participanti!A:B,2,0)</f>
        <v>M</v>
      </c>
      <c r="C194" s="137" t="s">
        <v>145</v>
      </c>
      <c r="D194" s="66"/>
      <c r="E194" s="67"/>
      <c r="F194" s="67"/>
      <c r="G194" s="100"/>
      <c r="H194" s="68"/>
      <c r="I194" s="14"/>
      <c r="J194" s="92"/>
      <c r="K194" s="92"/>
      <c r="L194" s="65" t="s">
        <v>298</v>
      </c>
      <c r="M194" s="11"/>
      <c r="N194" s="11"/>
      <c r="O194" s="49"/>
      <c r="S194" s="21">
        <f>VLOOKUP(A194,'P1'!A:H,8,0)</f>
        <v>1.8125</v>
      </c>
      <c r="T194" s="82"/>
      <c r="U194" s="143">
        <f>COUNTIFS(A:A,A194,C:C,C194)</f>
        <v>1</v>
      </c>
      <c r="V194" s="77" t="str">
        <f>VLOOKUP(A194,Data_echipe!A:U,21,0)</f>
        <v>UltraSYR</v>
      </c>
    </row>
    <row r="195" spans="1:24" x14ac:dyDescent="0.25">
      <c r="A195" s="113" t="s">
        <v>60</v>
      </c>
      <c r="B195" s="114" t="str">
        <f>VLOOKUP(A195,Participanti!A:B,2,0)</f>
        <v>M</v>
      </c>
      <c r="C195" s="138" t="s">
        <v>145</v>
      </c>
      <c r="D195" s="116"/>
      <c r="E195" s="117"/>
      <c r="F195" s="117"/>
      <c r="G195" s="118"/>
      <c r="H195" s="119"/>
      <c r="I195" s="120"/>
      <c r="J195" s="121"/>
      <c r="K195" s="121"/>
      <c r="L195" s="115" t="s">
        <v>298</v>
      </c>
      <c r="M195" s="122"/>
      <c r="N195" s="122"/>
      <c r="O195" s="123"/>
      <c r="P195" s="124"/>
      <c r="Q195" s="124"/>
      <c r="R195" s="124"/>
      <c r="S195" s="125">
        <f>VLOOKUP(A195,'P1'!A:H,8,0)</f>
        <v>1.75</v>
      </c>
      <c r="T195" s="126"/>
      <c r="U195" s="144">
        <f>COUNTIFS(A:A,A195,C:C,C195)</f>
        <v>1</v>
      </c>
      <c r="V195" s="114" t="e">
        <f>VLOOKUP(A195,Data_echipe!A:U,21,0)</f>
        <v>#N/A</v>
      </c>
      <c r="W195" s="127"/>
    </row>
    <row r="196" spans="1:24" x14ac:dyDescent="0.25">
      <c r="A196" s="64" t="s">
        <v>242</v>
      </c>
      <c r="B196" s="77" t="str">
        <f>VLOOKUP(A196,Participanti!A:B,2,0)</f>
        <v>M</v>
      </c>
      <c r="C196" s="137">
        <v>6</v>
      </c>
      <c r="D196" s="66">
        <v>33.21</v>
      </c>
      <c r="E196" s="67">
        <v>0.10163194444444446</v>
      </c>
      <c r="F196" s="67">
        <v>0.10251157407407407</v>
      </c>
      <c r="G196" s="100">
        <f t="shared" ref="G196:G249" si="68">AVERAGE(E196:F196)</f>
        <v>0.10207175925925926</v>
      </c>
      <c r="H196" s="68">
        <v>606</v>
      </c>
      <c r="I196" s="14">
        <f>G196/D196</f>
        <v>3.073524819610336E-3</v>
      </c>
      <c r="J196" s="92">
        <f>IF(B196="F",IF(D196&lt;2.5,0,IF(D196&gt;19.99,5,D196/4)),IF(D196&lt;3,0, IF(D196&gt;20.99,5,D196/4.2)))</f>
        <v>5</v>
      </c>
      <c r="K196" s="92">
        <f>IF(J196=0,0,IF(B196="F",VLOOKUP(I196,Barem!$G$2:$H$11,2,1),VLOOKUP(I196,Barem!$G$12:$H$21,2,1)))</f>
        <v>4</v>
      </c>
      <c r="L196" s="110" t="s">
        <v>109</v>
      </c>
      <c r="M196" s="11">
        <f>IF(OR(L196="P1",L196="P2",L196="P3"),"",IF(C196=15,0.5,IF(L196="D",0.75,0.25)))</f>
        <v>0.75</v>
      </c>
      <c r="N196" s="11">
        <f>IF(OR(L196="P1",L196="P2",L196="P3"),"",IF(C196=15,0.5,IF(L196="V",0.75,0.25)))</f>
        <v>0.25</v>
      </c>
      <c r="O196" s="49">
        <f>IF(H196&lt;-49,H196/1500,IF(H196&gt;49,H196/1500,0))</f>
        <v>0.40400000000000003</v>
      </c>
      <c r="P196" s="27">
        <f>IF(D196&gt;21,VLOOKUP(D196,Barem!$S$1:$T$141,2,1),0)</f>
        <v>0.6</v>
      </c>
      <c r="Q196" s="27">
        <f>IF(D196&lt;1.609,0,IF(B196="F",VLOOKUP(I196,Barem!$W$2:$Y$13,2,1),VLOOKUP(I196,Barem!$W$14:$Y$25,2,1)))</f>
        <v>0</v>
      </c>
      <c r="R196" s="27">
        <f>VLOOKUP(A196,Participanti!A:C,3,0)</f>
        <v>0</v>
      </c>
      <c r="S196" s="21">
        <f>J196*M196+K196*N196+O196+P196+Q196+R196</f>
        <v>5.7539999999999996</v>
      </c>
      <c r="T196" s="82">
        <v>44481</v>
      </c>
      <c r="U196" s="143">
        <f>COUNTIFS(A:A,A196,C:C,C196)</f>
        <v>1</v>
      </c>
      <c r="V196" s="77" t="str">
        <f>VLOOKUP(A196,Data_echipe!A:U,21,0)</f>
        <v>All Stars</v>
      </c>
      <c r="W196" s="23" t="s">
        <v>299</v>
      </c>
      <c r="X196" s="154">
        <v>1</v>
      </c>
    </row>
    <row r="197" spans="1:24" x14ac:dyDescent="0.25">
      <c r="A197" s="64" t="s">
        <v>152</v>
      </c>
      <c r="B197" s="77" t="str">
        <f>VLOOKUP(A197,Participanti!A:B,2,0)</f>
        <v>F</v>
      </c>
      <c r="C197" s="137">
        <v>6</v>
      </c>
      <c r="D197" s="66">
        <v>21.88</v>
      </c>
      <c r="E197" s="67">
        <v>8.729166666666667E-2</v>
      </c>
      <c r="F197" s="67">
        <v>8.7361111111111112E-2</v>
      </c>
      <c r="G197" s="100">
        <f t="shared" si="68"/>
        <v>8.7326388888888884E-2</v>
      </c>
      <c r="H197" s="68">
        <v>731</v>
      </c>
      <c r="I197" s="14">
        <f t="shared" ref="I197:I222" si="69">G197/D197</f>
        <v>3.9911512289254516E-3</v>
      </c>
      <c r="J197" s="92">
        <f t="shared" ref="J197:J222" si="70">IF(B197="F",IF(D197&lt;2.5,0,IF(D197&gt;19.99,5,D197/4)),IF(D197&lt;3,0, IF(D197&gt;20.99,5,D197/4.2)))</f>
        <v>5</v>
      </c>
      <c r="K197" s="92">
        <f>IF(J197=0,0,IF(B197="F",VLOOKUP(I197,Barem!$G$2:$H$11,2,1),VLOOKUP(I197,Barem!$G$12:$H$21,2,1)))</f>
        <v>2.5</v>
      </c>
      <c r="L197" s="110" t="s">
        <v>109</v>
      </c>
      <c r="M197" s="11">
        <f t="shared" ref="M197:M222" si="71">IF(OR(L197="P1",L197="P2",L197="P3"),"",IF(C197=15,0.5,IF(L197="D",0.75,0.25)))</f>
        <v>0.75</v>
      </c>
      <c r="N197" s="11">
        <f t="shared" ref="N197:N222" si="72">IF(OR(L197="P1",L197="P2",L197="P3"),"",IF(C197=15,0.5,IF(L197="V",0.75,0.25)))</f>
        <v>0.25</v>
      </c>
      <c r="O197" s="49">
        <f t="shared" ref="O197:O222" si="73">IF(H197&lt;-49,H197/1500,IF(H197&gt;49,H197/1500,0))</f>
        <v>0.48733333333333334</v>
      </c>
      <c r="P197" s="27">
        <f>IF(D197&gt;21,VLOOKUP(D197,Barem!$S$1:$T$141,2,1),0)</f>
        <v>0</v>
      </c>
      <c r="Q197" s="27">
        <f>IF(D197&lt;1.609,0,IF(B197="F",VLOOKUP(I197,Barem!$W$2:$Y$13,2,1),VLOOKUP(I197,Barem!$W$14:$Y$25,2,1)))</f>
        <v>0</v>
      </c>
      <c r="R197" s="27">
        <f>VLOOKUP(A197,Participanti!A:C,3,0)</f>
        <v>0</v>
      </c>
      <c r="S197" s="21">
        <f t="shared" ref="S197:S222" si="74">J197*M197+K197*N197+O197+P197+Q197+R197</f>
        <v>4.862333333333333</v>
      </c>
      <c r="T197" s="82">
        <v>44486</v>
      </c>
      <c r="U197" s="143">
        <f>COUNTIFS(A:A,A197,C:C,C197)</f>
        <v>1</v>
      </c>
      <c r="V197" s="77" t="str">
        <f>VLOOKUP(A197,Data_echipe!A:U,21,0)</f>
        <v>All Stars</v>
      </c>
      <c r="X197" s="154">
        <v>1</v>
      </c>
    </row>
    <row r="198" spans="1:24" x14ac:dyDescent="0.25">
      <c r="A198" s="64" t="s">
        <v>203</v>
      </c>
      <c r="B198" s="77" t="str">
        <f>VLOOKUP(A198,Participanti!A:B,2,0)</f>
        <v>M</v>
      </c>
      <c r="C198" s="137">
        <v>6</v>
      </c>
      <c r="D198" s="66">
        <v>20.88</v>
      </c>
      <c r="E198" s="67">
        <v>6.5694444444444444E-2</v>
      </c>
      <c r="F198" s="67">
        <v>6.5729166666666672E-2</v>
      </c>
      <c r="G198" s="100">
        <f t="shared" si="68"/>
        <v>6.5711805555555558E-2</v>
      </c>
      <c r="H198" s="68">
        <v>596</v>
      </c>
      <c r="I198" s="14">
        <f t="shared" si="69"/>
        <v>3.1471171243082166E-3</v>
      </c>
      <c r="J198" s="92">
        <f t="shared" si="70"/>
        <v>4.9714285714285706</v>
      </c>
      <c r="K198" s="92">
        <f>IF(J198=0,0,IF(B198="F",VLOOKUP(I198,Barem!$G$2:$H$11,2,1),VLOOKUP(I198,Barem!$G$12:$H$21,2,1)))</f>
        <v>3.5</v>
      </c>
      <c r="L198" s="110" t="s">
        <v>109</v>
      </c>
      <c r="M198" s="11">
        <f t="shared" si="71"/>
        <v>0.75</v>
      </c>
      <c r="N198" s="11">
        <f t="shared" si="72"/>
        <v>0.25</v>
      </c>
      <c r="O198" s="49">
        <f t="shared" si="73"/>
        <v>0.39733333333333332</v>
      </c>
      <c r="P198" s="27">
        <f>IF(D198&gt;21,VLOOKUP(D198,Barem!$S$1:$T$141,2,1),0)</f>
        <v>0</v>
      </c>
      <c r="Q198" s="27">
        <f>IF(D198&lt;1.609,0,IF(B198="F",VLOOKUP(I198,Barem!$W$2:$Y$13,2,1),VLOOKUP(I198,Barem!$W$14:$Y$25,2,1)))</f>
        <v>0</v>
      </c>
      <c r="R198" s="27">
        <f>VLOOKUP(A198,Participanti!A:C,3,0)</f>
        <v>0</v>
      </c>
      <c r="S198" s="21">
        <f t="shared" si="74"/>
        <v>5.0009047619047609</v>
      </c>
      <c r="T198" s="82">
        <v>44486</v>
      </c>
      <c r="U198" s="143">
        <f>COUNTIFS(A:A,A198,C:C,C198)</f>
        <v>1</v>
      </c>
      <c r="V198" s="77" t="str">
        <f>VLOOKUP(A198,Data_echipe!A:U,21,0)</f>
        <v>All Stars</v>
      </c>
      <c r="X198" s="154">
        <v>1</v>
      </c>
    </row>
    <row r="199" spans="1:24" x14ac:dyDescent="0.25">
      <c r="A199" s="64" t="s">
        <v>51</v>
      </c>
      <c r="B199" s="77" t="str">
        <f>VLOOKUP(A199,Participanti!A:B,2,0)</f>
        <v>M</v>
      </c>
      <c r="C199" s="137">
        <v>6</v>
      </c>
      <c r="D199" s="66">
        <v>36.79</v>
      </c>
      <c r="E199" s="67">
        <v>0.18708333333333335</v>
      </c>
      <c r="F199" s="67">
        <v>0.19912037037037036</v>
      </c>
      <c r="G199" s="100">
        <f t="shared" si="68"/>
        <v>0.19310185185185186</v>
      </c>
      <c r="H199" s="68">
        <v>1426</v>
      </c>
      <c r="I199" s="14">
        <f t="shared" si="69"/>
        <v>5.2487592240242423E-3</v>
      </c>
      <c r="J199" s="92">
        <f t="shared" si="70"/>
        <v>5</v>
      </c>
      <c r="K199" s="92">
        <f>IF(J199=0,0,IF(B199="F",VLOOKUP(I199,Barem!$G$2:$H$11,2,1),VLOOKUP(I199,Barem!$G$12:$H$21,2,1)))</f>
        <v>1</v>
      </c>
      <c r="L199" s="110" t="s">
        <v>109</v>
      </c>
      <c r="M199" s="11">
        <f t="shared" si="71"/>
        <v>0.75</v>
      </c>
      <c r="N199" s="11">
        <f t="shared" si="72"/>
        <v>0.25</v>
      </c>
      <c r="O199" s="49">
        <f t="shared" si="73"/>
        <v>0.95066666666666666</v>
      </c>
      <c r="P199" s="27">
        <f>IF(D199&gt;21,VLOOKUP(D199,Barem!$S$1:$T$141,2,1),0)</f>
        <v>0.7</v>
      </c>
      <c r="Q199" s="27">
        <f>IF(D199&lt;1.609,0,IF(B199="F",VLOOKUP(I199,Barem!$W$2:$Y$13,2,1),VLOOKUP(I199,Barem!$W$14:$Y$25,2,1)))</f>
        <v>0</v>
      </c>
      <c r="R199" s="27">
        <f>VLOOKUP(A199,Participanti!A:C,3,0)</f>
        <v>0</v>
      </c>
      <c r="S199" s="21">
        <f t="shared" si="74"/>
        <v>5.6506666666666669</v>
      </c>
      <c r="T199" s="82">
        <v>44485</v>
      </c>
      <c r="U199" s="143">
        <f>COUNTIFS(A:A,A199,C:C,C199)</f>
        <v>1</v>
      </c>
      <c r="V199" s="77" t="str">
        <f>VLOOKUP(A199,Data_echipe!A:U,21,0)</f>
        <v>UltraSYR</v>
      </c>
      <c r="X199" s="154">
        <v>1</v>
      </c>
    </row>
    <row r="200" spans="1:24" x14ac:dyDescent="0.25">
      <c r="A200" s="64" t="s">
        <v>211</v>
      </c>
      <c r="B200" s="77" t="str">
        <f>VLOOKUP(A200,Participanti!A:B,2,0)</f>
        <v>F</v>
      </c>
      <c r="C200" s="137">
        <v>6</v>
      </c>
      <c r="D200" s="66">
        <v>20.87</v>
      </c>
      <c r="E200" s="67">
        <v>7.6215277777777771E-2</v>
      </c>
      <c r="F200" s="67">
        <v>7.8888888888888883E-2</v>
      </c>
      <c r="G200" s="100">
        <f t="shared" si="68"/>
        <v>7.7552083333333327E-2</v>
      </c>
      <c r="H200" s="68">
        <v>590</v>
      </c>
      <c r="I200" s="14">
        <f t="shared" si="69"/>
        <v>3.7159599105574185E-3</v>
      </c>
      <c r="J200" s="92">
        <f t="shared" si="70"/>
        <v>5</v>
      </c>
      <c r="K200" s="92">
        <f>IF(J200=0,0,IF(B200="F",VLOOKUP(I200,Barem!$G$2:$H$11,2,1),VLOOKUP(I200,Barem!$G$12:$H$21,2,1)))</f>
        <v>3</v>
      </c>
      <c r="L200" s="110" t="s">
        <v>109</v>
      </c>
      <c r="M200" s="11">
        <f t="shared" si="71"/>
        <v>0.75</v>
      </c>
      <c r="N200" s="11">
        <f t="shared" si="72"/>
        <v>0.25</v>
      </c>
      <c r="O200" s="49">
        <f t="shared" si="73"/>
        <v>0.39333333333333331</v>
      </c>
      <c r="P200" s="27">
        <f>IF(D200&gt;21,VLOOKUP(D200,Barem!$S$1:$T$141,2,1),0)</f>
        <v>0</v>
      </c>
      <c r="Q200" s="27">
        <f>IF(D200&lt;1.609,0,IF(B200="F",VLOOKUP(I200,Barem!$W$2:$Y$13,2,1),VLOOKUP(I200,Barem!$W$14:$Y$25,2,1)))</f>
        <v>0</v>
      </c>
      <c r="R200" s="27">
        <f>VLOOKUP(A200,Participanti!A:C,3,0)</f>
        <v>0</v>
      </c>
      <c r="S200" s="21">
        <f t="shared" si="74"/>
        <v>4.8933333333333335</v>
      </c>
      <c r="T200" s="82">
        <v>44486</v>
      </c>
      <c r="U200" s="143">
        <f>COUNTIFS(A:A,A200,C:C,C200)</f>
        <v>1</v>
      </c>
      <c r="V200" s="77" t="str">
        <f>VLOOKUP(A200,Data_echipe!A:U,21,0)</f>
        <v>UltraSYR</v>
      </c>
      <c r="X200" s="154">
        <v>1</v>
      </c>
    </row>
    <row r="201" spans="1:24" x14ac:dyDescent="0.25">
      <c r="A201" s="64" t="s">
        <v>80</v>
      </c>
      <c r="B201" s="77" t="str">
        <f>VLOOKUP(A201,Participanti!A:B,2,0)</f>
        <v>M</v>
      </c>
      <c r="C201" s="137">
        <v>6</v>
      </c>
      <c r="D201" s="66">
        <v>38.18</v>
      </c>
      <c r="E201" s="67">
        <v>0.29655092592592591</v>
      </c>
      <c r="F201" s="67">
        <v>0.3323726851851852</v>
      </c>
      <c r="G201" s="100">
        <f t="shared" si="68"/>
        <v>0.31446180555555558</v>
      </c>
      <c r="H201" s="68">
        <v>1877</v>
      </c>
      <c r="I201" s="14">
        <f t="shared" si="69"/>
        <v>8.2362966358186379E-3</v>
      </c>
      <c r="J201" s="92">
        <f t="shared" si="70"/>
        <v>5</v>
      </c>
      <c r="K201" s="92">
        <f>IF(J201=0,0,IF(B201="F",VLOOKUP(I201,Barem!$G$2:$H$11,2,1),VLOOKUP(I201,Barem!$G$12:$H$21,2,1)))</f>
        <v>0</v>
      </c>
      <c r="L201" s="65" t="str">
        <f>VLOOKUP(C201,Barem!L:Q,6,0)</f>
        <v>V</v>
      </c>
      <c r="M201" s="11">
        <f t="shared" si="71"/>
        <v>0.25</v>
      </c>
      <c r="N201" s="11">
        <f t="shared" si="72"/>
        <v>0.75</v>
      </c>
      <c r="O201" s="49">
        <f t="shared" si="73"/>
        <v>1.2513333333333334</v>
      </c>
      <c r="P201" s="27">
        <f>IF(D201&gt;21,VLOOKUP(D201,Barem!$S$1:$T$141,2,1),0)</f>
        <v>0.8</v>
      </c>
      <c r="Q201" s="27">
        <f>IF(D201&lt;1.609,0,IF(B201="F",VLOOKUP(I201,Barem!$W$2:$Y$13,2,1),VLOOKUP(I201,Barem!$W$14:$Y$25,2,1)))</f>
        <v>0</v>
      </c>
      <c r="R201" s="27">
        <f>VLOOKUP(A201,Participanti!A:C,3,0)</f>
        <v>0.4</v>
      </c>
      <c r="S201" s="21">
        <f t="shared" si="74"/>
        <v>3.7013333333333329</v>
      </c>
      <c r="T201" s="82">
        <v>44485</v>
      </c>
      <c r="U201" s="143">
        <f>COUNTIFS(A:A,A201,C:C,C201)</f>
        <v>1</v>
      </c>
      <c r="V201" s="77" t="str">
        <f>VLOOKUP(A201,Data_echipe!A:U,21,0)</f>
        <v>UltraSYR</v>
      </c>
      <c r="X201" s="154"/>
    </row>
    <row r="202" spans="1:24" x14ac:dyDescent="0.25">
      <c r="A202" s="64" t="s">
        <v>118</v>
      </c>
      <c r="B202" s="77" t="str">
        <f>VLOOKUP(A202,Participanti!A:B,2,0)</f>
        <v>M</v>
      </c>
      <c r="C202" s="137">
        <v>6</v>
      </c>
      <c r="D202" s="66">
        <v>3.01</v>
      </c>
      <c r="E202" s="67">
        <v>7.9629629629629634E-3</v>
      </c>
      <c r="F202" s="67">
        <v>7.9629629629629634E-3</v>
      </c>
      <c r="G202" s="100">
        <f t="shared" si="68"/>
        <v>7.9629629629629634E-3</v>
      </c>
      <c r="H202" s="68">
        <v>3</v>
      </c>
      <c r="I202" s="14">
        <f t="shared" si="69"/>
        <v>2.6455026455026458E-3</v>
      </c>
      <c r="J202" s="92">
        <f t="shared" si="70"/>
        <v>0.71666666666666656</v>
      </c>
      <c r="K202" s="92">
        <f>IF(J202=0,0,IF(B202="F",VLOOKUP(I202,Barem!$G$2:$H$11,2,1),VLOOKUP(I202,Barem!$G$12:$H$21,2,1)))</f>
        <v>5</v>
      </c>
      <c r="L202" s="65" t="str">
        <f>VLOOKUP(C202,Barem!L:Q,6,0)</f>
        <v>V</v>
      </c>
      <c r="M202" s="11">
        <f t="shared" si="71"/>
        <v>0.25</v>
      </c>
      <c r="N202" s="11">
        <f t="shared" si="72"/>
        <v>0.75</v>
      </c>
      <c r="O202" s="49">
        <f t="shared" si="73"/>
        <v>0</v>
      </c>
      <c r="P202" s="27">
        <f>IF(D202&gt;21,VLOOKUP(D202,Barem!$S$1:$T$141,2,1),0)</f>
        <v>0</v>
      </c>
      <c r="Q202" s="27">
        <f>IF(D202&lt;1.609,0,IF(B202="F",VLOOKUP(I202,Barem!$W$2:$Y$13,2,1),VLOOKUP(I202,Barem!$W$14:$Y$25,2,1)))</f>
        <v>0.89999999999999991</v>
      </c>
      <c r="R202" s="27">
        <f>VLOOKUP(A202,Participanti!A:C,3,0)</f>
        <v>0</v>
      </c>
      <c r="S202" s="21">
        <f t="shared" si="74"/>
        <v>4.8291666666666666</v>
      </c>
      <c r="T202" s="82">
        <v>44486</v>
      </c>
      <c r="U202" s="143">
        <f>COUNTIFS(A:A,A202,C:C,C202)</f>
        <v>1</v>
      </c>
      <c r="V202" s="77" t="str">
        <f>VLOOKUP(A202,Data_echipe!A:U,21,0)</f>
        <v>UltraSYR</v>
      </c>
      <c r="X202" s="154">
        <v>1</v>
      </c>
    </row>
    <row r="203" spans="1:24" x14ac:dyDescent="0.25">
      <c r="A203" s="64" t="s">
        <v>119</v>
      </c>
      <c r="B203" s="77" t="str">
        <f>VLOOKUP(A203,Participanti!A:B,2,0)</f>
        <v>M</v>
      </c>
      <c r="C203" s="137">
        <v>6</v>
      </c>
      <c r="D203" s="66">
        <v>22.28</v>
      </c>
      <c r="E203" s="67">
        <v>7.1689814814814817E-2</v>
      </c>
      <c r="F203" s="67">
        <v>7.3495370370370364E-2</v>
      </c>
      <c r="G203" s="100">
        <f t="shared" si="68"/>
        <v>7.2592592592592597E-2</v>
      </c>
      <c r="H203" s="68">
        <v>16</v>
      </c>
      <c r="I203" s="14">
        <f t="shared" si="69"/>
        <v>3.2581953587339585E-3</v>
      </c>
      <c r="J203" s="92">
        <f t="shared" si="70"/>
        <v>5</v>
      </c>
      <c r="K203" s="92">
        <f>IF(J203=0,0,IF(B203="F",VLOOKUP(I203,Barem!$G$2:$H$11,2,1),VLOOKUP(I203,Barem!$G$12:$H$21,2,1)))</f>
        <v>3.5</v>
      </c>
      <c r="L203" s="110" t="s">
        <v>109</v>
      </c>
      <c r="M203" s="11">
        <f t="shared" si="71"/>
        <v>0.75</v>
      </c>
      <c r="N203" s="11">
        <f t="shared" si="72"/>
        <v>0.25</v>
      </c>
      <c r="O203" s="49">
        <f t="shared" si="73"/>
        <v>0</v>
      </c>
      <c r="P203" s="27">
        <f>IF(D203&gt;21,VLOOKUP(D203,Barem!$S$1:$T$141,2,1),0)</f>
        <v>0</v>
      </c>
      <c r="Q203" s="27">
        <f>IF(D203&lt;1.609,0,IF(B203="F",VLOOKUP(I203,Barem!$W$2:$Y$13,2,1),VLOOKUP(I203,Barem!$W$14:$Y$25,2,1)))</f>
        <v>0</v>
      </c>
      <c r="R203" s="27">
        <f>VLOOKUP(A203,Participanti!A:C,3,0)</f>
        <v>0</v>
      </c>
      <c r="S203" s="21">
        <f t="shared" si="74"/>
        <v>4.625</v>
      </c>
      <c r="T203" s="82">
        <v>44486</v>
      </c>
      <c r="U203" s="143">
        <f>COUNTIFS(A:A,A203,C:C,C203)</f>
        <v>1</v>
      </c>
      <c r="V203" s="77" t="e">
        <f>VLOOKUP(A203,Data_echipe!A:U,21,0)</f>
        <v>#N/A</v>
      </c>
      <c r="X203" s="154">
        <v>1</v>
      </c>
    </row>
    <row r="204" spans="1:24" x14ac:dyDescent="0.25">
      <c r="A204" s="64" t="s">
        <v>111</v>
      </c>
      <c r="B204" s="77" t="str">
        <f>VLOOKUP(A204,Participanti!A:B,2,0)</f>
        <v>M</v>
      </c>
      <c r="C204" s="137">
        <v>6</v>
      </c>
      <c r="D204" s="66">
        <v>43.2</v>
      </c>
      <c r="E204" s="67">
        <v>0.17149305555555558</v>
      </c>
      <c r="F204" s="67">
        <v>0.17564814814814814</v>
      </c>
      <c r="G204" s="100">
        <f t="shared" si="68"/>
        <v>0.17357060185185186</v>
      </c>
      <c r="H204" s="68">
        <v>27</v>
      </c>
      <c r="I204" s="14">
        <f t="shared" si="69"/>
        <v>4.0178380058299035E-3</v>
      </c>
      <c r="J204" s="92">
        <f t="shared" si="70"/>
        <v>5</v>
      </c>
      <c r="K204" s="92">
        <f>IF(J204=0,0,IF(B204="F",VLOOKUP(I204,Barem!$G$2:$H$11,2,1),VLOOKUP(I204,Barem!$G$12:$H$21,2,1)))</f>
        <v>1.5</v>
      </c>
      <c r="L204" s="110" t="s">
        <v>109</v>
      </c>
      <c r="M204" s="11">
        <f t="shared" si="71"/>
        <v>0.75</v>
      </c>
      <c r="N204" s="11">
        <f t="shared" si="72"/>
        <v>0.25</v>
      </c>
      <c r="O204" s="49">
        <f t="shared" si="73"/>
        <v>0</v>
      </c>
      <c r="P204" s="27">
        <f>IF(D204&gt;21,VLOOKUP(D204,Barem!$S$1:$T$141,2,1),0)</f>
        <v>1.1000000000000001</v>
      </c>
      <c r="Q204" s="27">
        <f>IF(D204&lt;1.609,0,IF(B204="F",VLOOKUP(I204,Barem!$W$2:$Y$13,2,1),VLOOKUP(I204,Barem!$W$14:$Y$25,2,1)))</f>
        <v>0</v>
      </c>
      <c r="R204" s="27">
        <f>VLOOKUP(A204,Participanti!A:C,3,0)</f>
        <v>0</v>
      </c>
      <c r="S204" s="21">
        <f t="shared" si="74"/>
        <v>5.2249999999999996</v>
      </c>
      <c r="T204" s="82">
        <v>44485</v>
      </c>
      <c r="U204" s="143">
        <f>COUNTIFS(A:A,A204,C:C,C204)</f>
        <v>1</v>
      </c>
      <c r="V204" s="77" t="str">
        <f>VLOOKUP(A204,Data_echipe!A:U,21,0)</f>
        <v>UltraSYR</v>
      </c>
      <c r="X204" s="154">
        <v>1</v>
      </c>
    </row>
    <row r="205" spans="1:24" x14ac:dyDescent="0.25">
      <c r="A205" s="64" t="s">
        <v>240</v>
      </c>
      <c r="B205" s="77" t="str">
        <f>VLOOKUP(A205,Participanti!A:B,2,0)</f>
        <v>M</v>
      </c>
      <c r="C205" s="137">
        <v>6</v>
      </c>
      <c r="D205" s="66">
        <v>12.12</v>
      </c>
      <c r="E205" s="67">
        <v>4.0138888888888884E-2</v>
      </c>
      <c r="F205" s="67">
        <v>4.0902777777777781E-2</v>
      </c>
      <c r="G205" s="100">
        <f t="shared" si="68"/>
        <v>4.0520833333333332E-2</v>
      </c>
      <c r="H205" s="68">
        <v>17</v>
      </c>
      <c r="I205" s="14">
        <f t="shared" si="69"/>
        <v>3.3433030803080308E-3</v>
      </c>
      <c r="J205" s="92">
        <f t="shared" si="70"/>
        <v>2.8857142857142852</v>
      </c>
      <c r="K205" s="92">
        <f>IF(J205=0,0,IF(B205="F",VLOOKUP(I205,Barem!$G$2:$H$11,2,1),VLOOKUP(I205,Barem!$G$12:$H$21,2,1)))</f>
        <v>3</v>
      </c>
      <c r="L205" s="110" t="s">
        <v>109</v>
      </c>
      <c r="M205" s="11">
        <f t="shared" si="71"/>
        <v>0.75</v>
      </c>
      <c r="N205" s="11">
        <f t="shared" si="72"/>
        <v>0.25</v>
      </c>
      <c r="O205" s="49">
        <f t="shared" si="73"/>
        <v>0</v>
      </c>
      <c r="P205" s="27">
        <f>IF(D205&gt;21,VLOOKUP(D205,Barem!$S$1:$T$141,2,1),0)</f>
        <v>0</v>
      </c>
      <c r="Q205" s="27">
        <f>IF(D205&lt;1.609,0,IF(B205="F",VLOOKUP(I205,Barem!$W$2:$Y$13,2,1),VLOOKUP(I205,Barem!$W$14:$Y$25,2,1)))</f>
        <v>0</v>
      </c>
      <c r="R205" s="27">
        <f>VLOOKUP(A205,Participanti!A:C,3,0)</f>
        <v>0</v>
      </c>
      <c r="S205" s="21">
        <f t="shared" si="74"/>
        <v>2.9142857142857137</v>
      </c>
      <c r="T205" s="82">
        <v>44486</v>
      </c>
      <c r="U205" s="143">
        <f>COUNTIFS(A:A,A205,C:C,C205)</f>
        <v>1</v>
      </c>
      <c r="V205" s="77" t="str">
        <f>VLOOKUP(A205,Data_echipe!A:U,21,0)</f>
        <v>All Stars</v>
      </c>
      <c r="X205" s="154">
        <v>1</v>
      </c>
    </row>
    <row r="206" spans="1:24" x14ac:dyDescent="0.25">
      <c r="A206" s="64" t="s">
        <v>67</v>
      </c>
      <c r="B206" s="77" t="str">
        <f>VLOOKUP(A206,Participanti!A:B,2,0)</f>
        <v>M</v>
      </c>
      <c r="C206" s="137">
        <v>6</v>
      </c>
      <c r="D206" s="66">
        <v>13.03</v>
      </c>
      <c r="E206" s="67">
        <v>4.1666666666666664E-2</v>
      </c>
      <c r="F206" s="67">
        <v>5.1666666666666666E-2</v>
      </c>
      <c r="G206" s="100">
        <f t="shared" si="68"/>
        <v>4.6666666666666662E-2</v>
      </c>
      <c r="H206" s="68">
        <v>35</v>
      </c>
      <c r="I206" s="14">
        <f t="shared" si="69"/>
        <v>3.581478639038117E-3</v>
      </c>
      <c r="J206" s="92">
        <f t="shared" si="70"/>
        <v>3.102380952380952</v>
      </c>
      <c r="K206" s="92">
        <f>IF(J206=0,0,IF(B206="F",VLOOKUP(I206,Barem!$G$2:$H$11,2,1),VLOOKUP(I206,Barem!$G$12:$H$21,2,1)))</f>
        <v>2.5</v>
      </c>
      <c r="L206" s="65" t="str">
        <f>VLOOKUP(C206,Barem!L:Q,6,0)</f>
        <v>V</v>
      </c>
      <c r="M206" s="11">
        <f t="shared" si="71"/>
        <v>0.25</v>
      </c>
      <c r="N206" s="11">
        <f t="shared" si="72"/>
        <v>0.75</v>
      </c>
      <c r="O206" s="49">
        <f t="shared" si="73"/>
        <v>0</v>
      </c>
      <c r="P206" s="27">
        <f>IF(D206&gt;21,VLOOKUP(D206,Barem!$S$1:$T$141,2,1),0)</f>
        <v>0</v>
      </c>
      <c r="Q206" s="27">
        <f>IF(D206&lt;1.609,0,IF(B206="F",VLOOKUP(I206,Barem!$W$2:$Y$13,2,1),VLOOKUP(I206,Barem!$W$14:$Y$25,2,1)))</f>
        <v>0</v>
      </c>
      <c r="R206" s="27">
        <f>VLOOKUP(A206,Participanti!A:C,3,0)</f>
        <v>0</v>
      </c>
      <c r="S206" s="21">
        <f t="shared" si="74"/>
        <v>2.6505952380952378</v>
      </c>
      <c r="T206" s="82">
        <v>44482</v>
      </c>
      <c r="U206" s="143">
        <f>COUNTIFS(A:A,A206,C:C,C206)</f>
        <v>1</v>
      </c>
      <c r="V206" s="77" t="e">
        <f>VLOOKUP(A206,Data_echipe!A:U,21,0)</f>
        <v>#N/A</v>
      </c>
      <c r="X206" s="154">
        <v>1</v>
      </c>
    </row>
    <row r="207" spans="1:24" x14ac:dyDescent="0.25">
      <c r="A207" s="64" t="s">
        <v>102</v>
      </c>
      <c r="B207" s="77" t="str">
        <f>VLOOKUP(A207,Participanti!A:B,2,0)</f>
        <v>M</v>
      </c>
      <c r="C207" s="137">
        <v>6</v>
      </c>
      <c r="D207" s="66">
        <v>21.89</v>
      </c>
      <c r="E207" s="67">
        <v>9.898148148148149E-2</v>
      </c>
      <c r="F207" s="67">
        <v>9.9166666666666667E-2</v>
      </c>
      <c r="G207" s="100">
        <f t="shared" si="68"/>
        <v>9.9074074074074078E-2</v>
      </c>
      <c r="H207" s="68">
        <v>827</v>
      </c>
      <c r="I207" s="14">
        <f t="shared" si="69"/>
        <v>4.5259969883085461E-3</v>
      </c>
      <c r="J207" s="92">
        <f t="shared" si="70"/>
        <v>5</v>
      </c>
      <c r="K207" s="92">
        <f>IF(J207=0,0,IF(B207="F",VLOOKUP(I207,Barem!$G$2:$H$11,2,1),VLOOKUP(I207,Barem!$G$12:$H$21,2,1)))</f>
        <v>1</v>
      </c>
      <c r="L207" s="110" t="s">
        <v>109</v>
      </c>
      <c r="M207" s="11">
        <f t="shared" si="71"/>
        <v>0.75</v>
      </c>
      <c r="N207" s="11">
        <f t="shared" si="72"/>
        <v>0.25</v>
      </c>
      <c r="O207" s="49">
        <f t="shared" si="73"/>
        <v>0.55133333333333334</v>
      </c>
      <c r="P207" s="27">
        <f>IF(D207&gt;21,VLOOKUP(D207,Barem!$S$1:$T$141,2,1),0)</f>
        <v>0</v>
      </c>
      <c r="Q207" s="27">
        <f>IF(D207&lt;1.609,0,IF(B207="F",VLOOKUP(I207,Barem!$W$2:$Y$13,2,1),VLOOKUP(I207,Barem!$W$14:$Y$25,2,1)))</f>
        <v>0</v>
      </c>
      <c r="R207" s="27">
        <f>VLOOKUP(A207,Participanti!A:C,3,0)</f>
        <v>0</v>
      </c>
      <c r="S207" s="21">
        <f t="shared" si="74"/>
        <v>4.551333333333333</v>
      </c>
      <c r="T207" s="82">
        <v>44485</v>
      </c>
      <c r="U207" s="143">
        <f>COUNTIFS(A:A,A207,C:C,C207)</f>
        <v>1</v>
      </c>
      <c r="V207" s="77" t="str">
        <f>VLOOKUP(A207,Data_echipe!A:U,21,0)</f>
        <v>All Stars</v>
      </c>
      <c r="X207" s="154">
        <v>1</v>
      </c>
    </row>
    <row r="208" spans="1:24" x14ac:dyDescent="0.25">
      <c r="A208" s="64" t="s">
        <v>49</v>
      </c>
      <c r="B208" s="77" t="str">
        <f>VLOOKUP(A208,Participanti!A:B,2,0)</f>
        <v>M</v>
      </c>
      <c r="C208" s="137">
        <v>6</v>
      </c>
      <c r="D208" s="66">
        <v>19.02</v>
      </c>
      <c r="E208" s="67">
        <v>5.8657407407407408E-2</v>
      </c>
      <c r="F208" s="67">
        <v>5.8657407407407408E-2</v>
      </c>
      <c r="G208" s="100">
        <f t="shared" si="68"/>
        <v>5.8657407407407408E-2</v>
      </c>
      <c r="H208" s="68">
        <v>0</v>
      </c>
      <c r="I208" s="14">
        <f t="shared" si="69"/>
        <v>3.0839856681076452E-3</v>
      </c>
      <c r="J208" s="92">
        <f t="shared" si="70"/>
        <v>4.5285714285714285</v>
      </c>
      <c r="K208" s="92">
        <f>IF(J208=0,0,IF(B208="F",VLOOKUP(I208,Barem!$G$2:$H$11,2,1),VLOOKUP(I208,Barem!$G$12:$H$21,2,1)))</f>
        <v>4</v>
      </c>
      <c r="L208" s="110" t="s">
        <v>109</v>
      </c>
      <c r="M208" s="11">
        <f t="shared" si="71"/>
        <v>0.75</v>
      </c>
      <c r="N208" s="11">
        <f t="shared" si="72"/>
        <v>0.25</v>
      </c>
      <c r="O208" s="49">
        <f t="shared" si="73"/>
        <v>0</v>
      </c>
      <c r="P208" s="27">
        <f>IF(D208&gt;21,VLOOKUP(D208,Barem!$S$1:$T$141,2,1),0)</f>
        <v>0</v>
      </c>
      <c r="Q208" s="27">
        <f>IF(D208&lt;1.609,0,IF(B208="F",VLOOKUP(I208,Barem!$W$2:$Y$13,2,1),VLOOKUP(I208,Barem!$W$14:$Y$25,2,1)))</f>
        <v>0</v>
      </c>
      <c r="R208" s="27">
        <f>VLOOKUP(A208,Participanti!A:C,3,0)</f>
        <v>0</v>
      </c>
      <c r="S208" s="21">
        <f t="shared" si="74"/>
        <v>4.3964285714285714</v>
      </c>
      <c r="T208" s="82">
        <v>44486</v>
      </c>
      <c r="U208" s="143">
        <f>COUNTIFS(A:A,A208,C:C,C208)</f>
        <v>1</v>
      </c>
      <c r="V208" s="77" t="str">
        <f>VLOOKUP(A208,Data_echipe!A:U,21,0)</f>
        <v>All Stars</v>
      </c>
      <c r="X208" s="154">
        <v>1</v>
      </c>
    </row>
    <row r="209" spans="1:24" x14ac:dyDescent="0.25">
      <c r="A209" s="64" t="s">
        <v>61</v>
      </c>
      <c r="B209" s="77" t="str">
        <f>VLOOKUP(A209,Participanti!A:B,2,0)</f>
        <v>M</v>
      </c>
      <c r="C209" s="137">
        <v>6</v>
      </c>
      <c r="D209" s="66">
        <v>5</v>
      </c>
      <c r="E209" s="67">
        <v>1.5694444444444445E-2</v>
      </c>
      <c r="F209" s="67">
        <v>1.5694444444444445E-2</v>
      </c>
      <c r="G209" s="100">
        <f t="shared" si="68"/>
        <v>1.5694444444444445E-2</v>
      </c>
      <c r="H209" s="68">
        <v>0</v>
      </c>
      <c r="I209" s="14">
        <f t="shared" si="69"/>
        <v>3.138888888888889E-3</v>
      </c>
      <c r="J209" s="92">
        <f t="shared" si="70"/>
        <v>1.1904761904761905</v>
      </c>
      <c r="K209" s="92">
        <f>IF(J209=0,0,IF(B209="F",VLOOKUP(I209,Barem!$G$2:$H$11,2,1),VLOOKUP(I209,Barem!$G$12:$H$21,2,1)))</f>
        <v>3.5</v>
      </c>
      <c r="L209" s="65" t="str">
        <f>VLOOKUP(C209,Barem!L:Q,6,0)</f>
        <v>V</v>
      </c>
      <c r="M209" s="11">
        <f t="shared" si="71"/>
        <v>0.25</v>
      </c>
      <c r="N209" s="11">
        <f t="shared" si="72"/>
        <v>0.75</v>
      </c>
      <c r="O209" s="49">
        <f t="shared" si="73"/>
        <v>0</v>
      </c>
      <c r="P209" s="27">
        <f>IF(D209&gt;21,VLOOKUP(D209,Barem!$S$1:$T$141,2,1),0)</f>
        <v>0</v>
      </c>
      <c r="Q209" s="27">
        <f>IF(D209&lt;1.609,0,IF(B209="F",VLOOKUP(I209,Barem!$W$2:$Y$13,2,1),VLOOKUP(I209,Barem!$W$14:$Y$25,2,1)))</f>
        <v>0</v>
      </c>
      <c r="R209" s="27">
        <f>VLOOKUP(A209,Participanti!A:C,3,0)</f>
        <v>0</v>
      </c>
      <c r="S209" s="21">
        <f t="shared" si="74"/>
        <v>2.9226190476190474</v>
      </c>
      <c r="T209" s="82">
        <v>44482</v>
      </c>
      <c r="U209" s="143">
        <f>COUNTIFS(A:A,A209,C:C,C209)</f>
        <v>1</v>
      </c>
      <c r="V209" s="77" t="str">
        <f>VLOOKUP(A209,Data_echipe!A:U,21,0)</f>
        <v>UltraSYR</v>
      </c>
      <c r="X209" s="154">
        <v>1</v>
      </c>
    </row>
    <row r="210" spans="1:24" x14ac:dyDescent="0.25">
      <c r="A210" s="64" t="s">
        <v>153</v>
      </c>
      <c r="B210" s="77" t="str">
        <f>VLOOKUP(A210,Participanti!A:B,2,0)</f>
        <v>F</v>
      </c>
      <c r="C210" s="137">
        <v>6</v>
      </c>
      <c r="D210" s="66">
        <v>6.56</v>
      </c>
      <c r="E210" s="67">
        <v>3.7048611111111109E-2</v>
      </c>
      <c r="F210" s="67">
        <v>4.5810185185185183E-2</v>
      </c>
      <c r="G210" s="100">
        <f t="shared" si="68"/>
        <v>4.1429398148148146E-2</v>
      </c>
      <c r="H210" s="68">
        <v>101</v>
      </c>
      <c r="I210" s="14">
        <f t="shared" si="69"/>
        <v>6.3154570347786808E-3</v>
      </c>
      <c r="J210" s="92">
        <f t="shared" si="70"/>
        <v>1.64</v>
      </c>
      <c r="K210" s="92">
        <f>IF(J210=0,0,IF(B210="F",VLOOKUP(I210,Barem!$G$2:$H$11,2,1),VLOOKUP(I210,Barem!$G$12:$H$21,2,1)))</f>
        <v>0</v>
      </c>
      <c r="L210" s="65" t="str">
        <f>VLOOKUP(C210,Barem!L:Q,6,0)</f>
        <v>V</v>
      </c>
      <c r="M210" s="11">
        <f t="shared" si="71"/>
        <v>0.25</v>
      </c>
      <c r="N210" s="11">
        <f t="shared" si="72"/>
        <v>0.75</v>
      </c>
      <c r="O210" s="49">
        <f t="shared" si="73"/>
        <v>6.7333333333333328E-2</v>
      </c>
      <c r="P210" s="27">
        <f>IF(D210&gt;21,VLOOKUP(D210,Barem!$S$1:$T$141,2,1),0)</f>
        <v>0</v>
      </c>
      <c r="Q210" s="27">
        <f>IF(D210&lt;1.609,0,IF(B210="F",VLOOKUP(I210,Barem!$W$2:$Y$13,2,1),VLOOKUP(I210,Barem!$W$14:$Y$25,2,1)))</f>
        <v>0</v>
      </c>
      <c r="R210" s="27">
        <f>VLOOKUP(A210,Participanti!A:C,3,0)</f>
        <v>0</v>
      </c>
      <c r="S210" s="21">
        <f t="shared" si="74"/>
        <v>0.47733333333333328</v>
      </c>
      <c r="T210" s="82">
        <v>44483</v>
      </c>
      <c r="U210" s="143">
        <f>COUNTIFS(A:A,A210,C:C,C210)</f>
        <v>1</v>
      </c>
      <c r="V210" s="77" t="str">
        <f>VLOOKUP(A210,Data_echipe!A:U,21,0)</f>
        <v>All Stars</v>
      </c>
      <c r="X210" s="154"/>
    </row>
    <row r="211" spans="1:24" x14ac:dyDescent="0.25">
      <c r="A211" s="64" t="s">
        <v>55</v>
      </c>
      <c r="B211" s="77" t="str">
        <f>VLOOKUP(A211,Participanti!A:B,2,0)</f>
        <v>M</v>
      </c>
      <c r="C211" s="137">
        <v>6</v>
      </c>
      <c r="D211" s="66">
        <v>21.44</v>
      </c>
      <c r="E211" s="67">
        <v>9.6539351851851848E-2</v>
      </c>
      <c r="F211" s="67">
        <v>0.10383101851851852</v>
      </c>
      <c r="G211" s="100">
        <f t="shared" si="68"/>
        <v>0.10018518518518518</v>
      </c>
      <c r="H211" s="68">
        <v>75</v>
      </c>
      <c r="I211" s="14">
        <f t="shared" si="69"/>
        <v>4.6728164731896071E-3</v>
      </c>
      <c r="J211" s="92">
        <f t="shared" si="70"/>
        <v>5</v>
      </c>
      <c r="K211" s="92">
        <f>IF(J211=0,0,IF(B211="F",VLOOKUP(I211,Barem!$G$2:$H$11,2,1),VLOOKUP(I211,Barem!$G$12:$H$21,2,1)))</f>
        <v>1</v>
      </c>
      <c r="L211" s="65" t="str">
        <f>VLOOKUP(C211,Barem!L:Q,6,0)</f>
        <v>V</v>
      </c>
      <c r="M211" s="11">
        <f t="shared" si="71"/>
        <v>0.25</v>
      </c>
      <c r="N211" s="11">
        <f t="shared" si="72"/>
        <v>0.75</v>
      </c>
      <c r="O211" s="49">
        <f t="shared" si="73"/>
        <v>0.05</v>
      </c>
      <c r="P211" s="27">
        <f>IF(D211&gt;21,VLOOKUP(D211,Barem!$S$1:$T$141,2,1),0)</f>
        <v>0</v>
      </c>
      <c r="Q211" s="27">
        <f>IF(D211&lt;1.609,0,IF(B211="F",VLOOKUP(I211,Barem!$W$2:$Y$13,2,1),VLOOKUP(I211,Barem!$W$14:$Y$25,2,1)))</f>
        <v>0</v>
      </c>
      <c r="R211" s="27">
        <f>VLOOKUP(A211,Participanti!A:C,3,0)</f>
        <v>0</v>
      </c>
      <c r="S211" s="21">
        <f t="shared" si="74"/>
        <v>2.0499999999999998</v>
      </c>
      <c r="T211" s="82">
        <v>44486</v>
      </c>
      <c r="U211" s="143">
        <f>COUNTIFS(A:A,A211,C:C,C211)</f>
        <v>1</v>
      </c>
      <c r="V211" s="77" t="e">
        <f>VLOOKUP(A211,Data_echipe!A:U,21,0)</f>
        <v>#N/A</v>
      </c>
      <c r="X211" s="154">
        <v>1</v>
      </c>
    </row>
    <row r="212" spans="1:24" x14ac:dyDescent="0.25">
      <c r="A212" s="64" t="s">
        <v>239</v>
      </c>
      <c r="B212" s="77" t="str">
        <f>VLOOKUP(A212,Participanti!A:B,2,0)</f>
        <v>M</v>
      </c>
      <c r="C212" s="137">
        <v>6</v>
      </c>
      <c r="D212" s="66">
        <v>22.19</v>
      </c>
      <c r="E212" s="67">
        <v>0.11609953703703703</v>
      </c>
      <c r="F212" s="67">
        <v>0.15561342592592595</v>
      </c>
      <c r="G212" s="100">
        <f t="shared" si="68"/>
        <v>0.13585648148148149</v>
      </c>
      <c r="H212" s="68">
        <v>1183</v>
      </c>
      <c r="I212" s="14">
        <f t="shared" si="69"/>
        <v>6.1224191744696475E-3</v>
      </c>
      <c r="J212" s="92">
        <f t="shared" si="70"/>
        <v>5</v>
      </c>
      <c r="K212" s="92">
        <f>IF(J212=0,0,IF(B212="F",VLOOKUP(I212,Barem!$G$2:$H$11,2,1),VLOOKUP(I212,Barem!$G$12:$H$21,2,1)))</f>
        <v>0</v>
      </c>
      <c r="L212" s="110" t="s">
        <v>109</v>
      </c>
      <c r="M212" s="11">
        <f t="shared" si="71"/>
        <v>0.75</v>
      </c>
      <c r="N212" s="11">
        <f t="shared" si="72"/>
        <v>0.25</v>
      </c>
      <c r="O212" s="49">
        <f t="shared" si="73"/>
        <v>0.78866666666666663</v>
      </c>
      <c r="P212" s="27">
        <f>IF(D212&gt;21,VLOOKUP(D212,Barem!$S$1:$T$141,2,1),0)</f>
        <v>0</v>
      </c>
      <c r="Q212" s="27">
        <f>IF(D212&lt;1.609,0,IF(B212="F",VLOOKUP(I212,Barem!$W$2:$Y$13,2,1),VLOOKUP(I212,Barem!$W$14:$Y$25,2,1)))</f>
        <v>0</v>
      </c>
      <c r="R212" s="27">
        <f>VLOOKUP(A212,Participanti!A:C,3,0)</f>
        <v>0</v>
      </c>
      <c r="S212" s="21">
        <f t="shared" si="74"/>
        <v>4.5386666666666668</v>
      </c>
      <c r="T212" s="82">
        <v>44485</v>
      </c>
      <c r="U212" s="143">
        <f>COUNTIFS(A:A,A212,C:C,C212)</f>
        <v>1</v>
      </c>
      <c r="V212" s="77" t="str">
        <f>VLOOKUP(A212,Data_echipe!A:U,21,0)</f>
        <v>All Stars</v>
      </c>
      <c r="X212" s="154"/>
    </row>
    <row r="213" spans="1:24" x14ac:dyDescent="0.25">
      <c r="A213" s="64" t="s">
        <v>103</v>
      </c>
      <c r="B213" s="77" t="str">
        <f>VLOOKUP(A213,Participanti!A:B,2,0)</f>
        <v>F</v>
      </c>
      <c r="C213" s="137">
        <v>6</v>
      </c>
      <c r="D213" s="66">
        <v>15.01</v>
      </c>
      <c r="E213" s="67">
        <v>6.0416666666666667E-2</v>
      </c>
      <c r="F213" s="67">
        <v>6.4212962962962958E-2</v>
      </c>
      <c r="G213" s="100">
        <f t="shared" si="68"/>
        <v>6.2314814814814809E-2</v>
      </c>
      <c r="H213" s="68">
        <v>8</v>
      </c>
      <c r="I213" s="14">
        <f t="shared" si="69"/>
        <v>4.1515532854640115E-3</v>
      </c>
      <c r="J213" s="92">
        <f t="shared" si="70"/>
        <v>3.7524999999999999</v>
      </c>
      <c r="K213" s="92">
        <f>IF(J213=0,0,IF(B213="F",VLOOKUP(I213,Barem!$G$2:$H$11,2,1),VLOOKUP(I213,Barem!$G$12:$H$21,2,1)))</f>
        <v>2</v>
      </c>
      <c r="L213" s="110" t="s">
        <v>109</v>
      </c>
      <c r="M213" s="11">
        <f t="shared" si="71"/>
        <v>0.75</v>
      </c>
      <c r="N213" s="11">
        <f t="shared" si="72"/>
        <v>0.25</v>
      </c>
      <c r="O213" s="49">
        <f t="shared" si="73"/>
        <v>0</v>
      </c>
      <c r="P213" s="27">
        <f>IF(D213&gt;21,VLOOKUP(D213,Barem!$S$1:$T$141,2,1),0)</f>
        <v>0</v>
      </c>
      <c r="Q213" s="27">
        <f>IF(D213&lt;1.609,0,IF(B213="F",VLOOKUP(I213,Barem!$W$2:$Y$13,2,1),VLOOKUP(I213,Barem!$W$14:$Y$25,2,1)))</f>
        <v>0</v>
      </c>
      <c r="R213" s="27">
        <f>VLOOKUP(A213,Participanti!A:C,3,0)</f>
        <v>0</v>
      </c>
      <c r="S213" s="21">
        <f t="shared" si="74"/>
        <v>3.3143750000000001</v>
      </c>
      <c r="T213" s="82">
        <v>44486</v>
      </c>
      <c r="U213" s="143">
        <f>COUNTIFS(A:A,A213,C:C,C213)</f>
        <v>1</v>
      </c>
      <c r="V213" s="77" t="str">
        <f>VLOOKUP(A213,Data_echipe!A:U,21,0)</f>
        <v>UltraSYR</v>
      </c>
      <c r="X213" s="154">
        <v>1</v>
      </c>
    </row>
    <row r="214" spans="1:24" x14ac:dyDescent="0.25">
      <c r="A214" s="64" t="s">
        <v>196</v>
      </c>
      <c r="B214" s="77" t="str">
        <f>VLOOKUP(A214,Participanti!A:B,2,0)</f>
        <v>F</v>
      </c>
      <c r="C214" s="137">
        <v>6</v>
      </c>
      <c r="D214" s="66">
        <v>21.64</v>
      </c>
      <c r="E214" s="67">
        <v>0.13333333333333333</v>
      </c>
      <c r="F214" s="67">
        <v>0.14092592592592593</v>
      </c>
      <c r="G214" s="100">
        <f t="shared" si="68"/>
        <v>0.13712962962962963</v>
      </c>
      <c r="H214" s="68">
        <v>895</v>
      </c>
      <c r="I214" s="14">
        <f t="shared" si="69"/>
        <v>6.3368590401862122E-3</v>
      </c>
      <c r="J214" s="92">
        <f t="shared" si="70"/>
        <v>5</v>
      </c>
      <c r="K214" s="92">
        <f>IF(J214=0,0,IF(B214="F",VLOOKUP(I214,Barem!$G$2:$H$11,2,1),VLOOKUP(I214,Barem!$G$12:$H$21,2,1)))</f>
        <v>0</v>
      </c>
      <c r="L214" s="110" t="s">
        <v>109</v>
      </c>
      <c r="M214" s="11">
        <f t="shared" si="71"/>
        <v>0.75</v>
      </c>
      <c r="N214" s="11">
        <f t="shared" si="72"/>
        <v>0.25</v>
      </c>
      <c r="O214" s="49">
        <f t="shared" si="73"/>
        <v>0.59666666666666668</v>
      </c>
      <c r="P214" s="27">
        <f>IF(D214&gt;21,VLOOKUP(D214,Barem!$S$1:$T$141,2,1),0)</f>
        <v>0</v>
      </c>
      <c r="Q214" s="27">
        <f>IF(D214&lt;1.609,0,IF(B214="F",VLOOKUP(I214,Barem!$W$2:$Y$13,2,1),VLOOKUP(I214,Barem!$W$14:$Y$25,2,1)))</f>
        <v>0</v>
      </c>
      <c r="R214" s="27">
        <f>VLOOKUP(A214,Participanti!A:C,3,0)</f>
        <v>0</v>
      </c>
      <c r="S214" s="21">
        <f t="shared" si="74"/>
        <v>4.3466666666666667</v>
      </c>
      <c r="T214" s="82">
        <v>44485</v>
      </c>
      <c r="U214" s="143">
        <f>COUNTIFS(A:A,A214,C:C,C214)</f>
        <v>1</v>
      </c>
      <c r="V214" s="77" t="str">
        <f>VLOOKUP(A214,Data_echipe!A:U,21,0)</f>
        <v>UltraSYR</v>
      </c>
      <c r="X214" s="154"/>
    </row>
    <row r="215" spans="1:24" x14ac:dyDescent="0.25">
      <c r="A215" s="64" t="s">
        <v>7</v>
      </c>
      <c r="B215" s="77" t="str">
        <f>VLOOKUP(A215,Participanti!A:B,2,0)</f>
        <v>M</v>
      </c>
      <c r="C215" s="137">
        <v>6</v>
      </c>
      <c r="D215" s="66">
        <v>3</v>
      </c>
      <c r="E215" s="67">
        <v>9.1782407407407403E-3</v>
      </c>
      <c r="F215" s="67">
        <v>9.1782407407407403E-3</v>
      </c>
      <c r="G215" s="100">
        <f t="shared" si="68"/>
        <v>9.1782407407407403E-3</v>
      </c>
      <c r="H215" s="68">
        <v>17</v>
      </c>
      <c r="I215" s="14">
        <f t="shared" si="69"/>
        <v>3.0594135802469134E-3</v>
      </c>
      <c r="J215" s="92">
        <f t="shared" si="70"/>
        <v>0.7142857142857143</v>
      </c>
      <c r="K215" s="92">
        <f>IF(J215=0,0,IF(B215="F",VLOOKUP(I215,Barem!$G$2:$H$11,2,1),VLOOKUP(I215,Barem!$G$12:$H$21,2,1)))</f>
        <v>4</v>
      </c>
      <c r="L215" s="65" t="str">
        <f>VLOOKUP(C215,Barem!L:Q,6,0)</f>
        <v>V</v>
      </c>
      <c r="M215" s="11">
        <f t="shared" si="71"/>
        <v>0.25</v>
      </c>
      <c r="N215" s="11">
        <f t="shared" si="72"/>
        <v>0.75</v>
      </c>
      <c r="O215" s="49">
        <f t="shared" si="73"/>
        <v>0</v>
      </c>
      <c r="P215" s="27">
        <f>IF(D215&gt;21,VLOOKUP(D215,Barem!$S$1:$T$141,2,1),0)</f>
        <v>0</v>
      </c>
      <c r="Q215" s="27">
        <f>IF(D215&lt;1.609,0,IF(B215="F",VLOOKUP(I215,Barem!$W$2:$Y$13,2,1),VLOOKUP(I215,Barem!$W$14:$Y$25,2,1)))</f>
        <v>0</v>
      </c>
      <c r="R215" s="27">
        <f>VLOOKUP(A215,Participanti!A:C,3,0)</f>
        <v>0</v>
      </c>
      <c r="S215" s="21">
        <f t="shared" si="74"/>
        <v>3.1785714285714284</v>
      </c>
      <c r="T215" s="82">
        <v>44483</v>
      </c>
      <c r="U215" s="143">
        <f>COUNTIFS(A:A,A215,C:C,C215)</f>
        <v>1</v>
      </c>
      <c r="V215" s="77" t="str">
        <f>VLOOKUP(A215,Data_echipe!A:U,21,0)</f>
        <v>All Stars</v>
      </c>
      <c r="X215" s="154">
        <v>1</v>
      </c>
    </row>
    <row r="216" spans="1:24" x14ac:dyDescent="0.25">
      <c r="A216" s="64" t="s">
        <v>202</v>
      </c>
      <c r="B216" s="77" t="str">
        <f>VLOOKUP(A216,Participanti!A:B,2,0)</f>
        <v>F</v>
      </c>
      <c r="C216" s="137">
        <v>6</v>
      </c>
      <c r="D216" s="66">
        <v>6.17</v>
      </c>
      <c r="E216" s="67">
        <v>2.6886574074074077E-2</v>
      </c>
      <c r="F216" s="67">
        <v>2.6886574074074077E-2</v>
      </c>
      <c r="G216" s="100">
        <f t="shared" si="68"/>
        <v>2.6886574074074077E-2</v>
      </c>
      <c r="H216" s="68">
        <v>25</v>
      </c>
      <c r="I216" s="14">
        <f t="shared" si="69"/>
        <v>4.3576295095744044E-3</v>
      </c>
      <c r="J216" s="92">
        <f t="shared" si="70"/>
        <v>1.5425</v>
      </c>
      <c r="K216" s="92">
        <f>IF(J216=0,0,IF(B216="F",VLOOKUP(I216,Barem!$G$2:$H$11,2,1),VLOOKUP(I216,Barem!$G$12:$H$21,2,1)))</f>
        <v>1.5</v>
      </c>
      <c r="L216" s="65" t="str">
        <f>VLOOKUP(C216,Barem!L:Q,6,0)</f>
        <v>V</v>
      </c>
      <c r="M216" s="11">
        <f t="shared" si="71"/>
        <v>0.25</v>
      </c>
      <c r="N216" s="11">
        <f t="shared" si="72"/>
        <v>0.75</v>
      </c>
      <c r="O216" s="49">
        <f t="shared" si="73"/>
        <v>0</v>
      </c>
      <c r="P216" s="27">
        <f>IF(D216&gt;21,VLOOKUP(D216,Barem!$S$1:$T$141,2,1),0)</f>
        <v>0</v>
      </c>
      <c r="Q216" s="27">
        <f>IF(D216&lt;1.609,0,IF(B216="F",VLOOKUP(I216,Barem!$W$2:$Y$13,2,1),VLOOKUP(I216,Barem!$W$14:$Y$25,2,1)))</f>
        <v>0</v>
      </c>
      <c r="R216" s="27">
        <f>VLOOKUP(A216,Participanti!A:C,3,0)</f>
        <v>0</v>
      </c>
      <c r="S216" s="21">
        <f t="shared" si="74"/>
        <v>1.5106250000000001</v>
      </c>
      <c r="T216" s="82">
        <v>44486</v>
      </c>
      <c r="U216" s="143">
        <f>COUNTIFS(A:A,A216,C:C,C216)</f>
        <v>1</v>
      </c>
      <c r="V216" s="77" t="e">
        <f>VLOOKUP(A216,Data_echipe!A:U,21,0)</f>
        <v>#N/A</v>
      </c>
      <c r="X216" s="154">
        <v>1</v>
      </c>
    </row>
    <row r="217" spans="1:24" x14ac:dyDescent="0.25">
      <c r="A217" s="64" t="s">
        <v>50</v>
      </c>
      <c r="B217" s="77" t="str">
        <f>VLOOKUP(A217,Participanti!A:B,2,0)</f>
        <v>M</v>
      </c>
      <c r="C217" s="137">
        <v>6</v>
      </c>
      <c r="D217" s="66">
        <v>12.64</v>
      </c>
      <c r="E217" s="67">
        <v>5.153935185185185E-2</v>
      </c>
      <c r="F217" s="67">
        <v>7.586805555555555E-2</v>
      </c>
      <c r="G217" s="100">
        <f t="shared" si="68"/>
        <v>6.3703703703703707E-2</v>
      </c>
      <c r="H217" s="68">
        <v>130</v>
      </c>
      <c r="I217" s="14">
        <f t="shared" si="69"/>
        <v>5.0398499765588372E-3</v>
      </c>
      <c r="J217" s="92">
        <f t="shared" si="70"/>
        <v>3.0095238095238095</v>
      </c>
      <c r="K217" s="92">
        <f>IF(J217=0,0,IF(B217="F",VLOOKUP(I217,Barem!$G$2:$H$11,2,1),VLOOKUP(I217,Barem!$G$12:$H$21,2,1)))</f>
        <v>1</v>
      </c>
      <c r="L217" s="110" t="s">
        <v>109</v>
      </c>
      <c r="M217" s="11">
        <f t="shared" si="71"/>
        <v>0.75</v>
      </c>
      <c r="N217" s="11">
        <f t="shared" si="72"/>
        <v>0.25</v>
      </c>
      <c r="O217" s="49">
        <f t="shared" si="73"/>
        <v>8.666666666666667E-2</v>
      </c>
      <c r="P217" s="27">
        <f>IF(D217&gt;21,VLOOKUP(D217,Barem!$S$1:$T$141,2,1),0)</f>
        <v>0</v>
      </c>
      <c r="Q217" s="27">
        <f>IF(D217&lt;1.609,0,IF(B217="F",VLOOKUP(I217,Barem!$W$2:$Y$13,2,1),VLOOKUP(I217,Barem!$W$14:$Y$25,2,1)))</f>
        <v>0</v>
      </c>
      <c r="R217" s="27">
        <f>VLOOKUP(A217,Participanti!A:C,3,0)</f>
        <v>0.4</v>
      </c>
      <c r="S217" s="21">
        <f t="shared" si="74"/>
        <v>2.9938095238095239</v>
      </c>
      <c r="T217" s="82">
        <v>44483</v>
      </c>
      <c r="U217" s="143">
        <f>COUNTIFS(A:A,A217,C:C,C217)</f>
        <v>1</v>
      </c>
      <c r="V217" s="77" t="str">
        <f>VLOOKUP(A217,Data_echipe!A:U,21,0)</f>
        <v>UltraSYR</v>
      </c>
      <c r="X217" s="154">
        <v>1</v>
      </c>
    </row>
    <row r="218" spans="1:24" x14ac:dyDescent="0.25">
      <c r="A218" s="64" t="s">
        <v>52</v>
      </c>
      <c r="B218" s="77" t="str">
        <f>VLOOKUP(A218,Participanti!A:B,2,0)</f>
        <v>M</v>
      </c>
      <c r="C218" s="137">
        <v>6</v>
      </c>
      <c r="D218" s="66">
        <v>10.18</v>
      </c>
      <c r="E218" s="67">
        <v>3.8391203703703698E-2</v>
      </c>
      <c r="F218" s="67">
        <v>3.9074074074074074E-2</v>
      </c>
      <c r="G218" s="100">
        <f t="shared" si="68"/>
        <v>3.8732638888888886E-2</v>
      </c>
      <c r="H218" s="68">
        <v>0</v>
      </c>
      <c r="I218" s="14">
        <f t="shared" si="69"/>
        <v>3.804777886924252E-3</v>
      </c>
      <c r="J218" s="92">
        <f t="shared" si="70"/>
        <v>2.4238095238095236</v>
      </c>
      <c r="K218" s="92">
        <f>IF(J218=0,0,IF(B218="F",VLOOKUP(I218,Barem!$G$2:$H$11,2,1),VLOOKUP(I218,Barem!$G$12:$H$21,2,1)))</f>
        <v>2</v>
      </c>
      <c r="L218" s="65" t="str">
        <f>VLOOKUP(C218,Barem!L:Q,6,0)</f>
        <v>V</v>
      </c>
      <c r="M218" s="11">
        <f t="shared" si="71"/>
        <v>0.25</v>
      </c>
      <c r="N218" s="11">
        <f t="shared" si="72"/>
        <v>0.75</v>
      </c>
      <c r="O218" s="49">
        <f t="shared" si="73"/>
        <v>0</v>
      </c>
      <c r="P218" s="27">
        <f>IF(D218&gt;21,VLOOKUP(D218,Barem!$S$1:$T$141,2,1),0)</f>
        <v>0</v>
      </c>
      <c r="Q218" s="27">
        <f>IF(D218&lt;1.609,0,IF(B218="F",VLOOKUP(I218,Barem!$W$2:$Y$13,2,1),VLOOKUP(I218,Barem!$W$14:$Y$25,2,1)))</f>
        <v>0</v>
      </c>
      <c r="R218" s="27">
        <f>VLOOKUP(A218,Participanti!A:C,3,0)</f>
        <v>0</v>
      </c>
      <c r="S218" s="21">
        <f t="shared" si="74"/>
        <v>2.105952380952381</v>
      </c>
      <c r="T218" s="82">
        <v>44486</v>
      </c>
      <c r="U218" s="143">
        <f>COUNTIFS(A:A,A218,C:C,C218)</f>
        <v>1</v>
      </c>
      <c r="V218" s="77" t="e">
        <f>VLOOKUP(A218,Data_echipe!A:U,21,0)</f>
        <v>#N/A</v>
      </c>
      <c r="X218" s="154">
        <v>1</v>
      </c>
    </row>
    <row r="219" spans="1:24" x14ac:dyDescent="0.25">
      <c r="A219" s="64" t="s">
        <v>100</v>
      </c>
      <c r="B219" s="77" t="str">
        <f>VLOOKUP(A219,Participanti!A:B,2,0)</f>
        <v>F</v>
      </c>
      <c r="C219" s="137">
        <v>6</v>
      </c>
      <c r="D219" s="66">
        <v>6.17</v>
      </c>
      <c r="E219" s="67">
        <v>4.1342592592592591E-2</v>
      </c>
      <c r="F219" s="67">
        <v>4.1689814814814818E-2</v>
      </c>
      <c r="G219" s="100">
        <f t="shared" si="68"/>
        <v>4.1516203703703708E-2</v>
      </c>
      <c r="H219" s="68">
        <v>25</v>
      </c>
      <c r="I219" s="14">
        <f t="shared" si="69"/>
        <v>6.7287202112971973E-3</v>
      </c>
      <c r="J219" s="92">
        <f t="shared" si="70"/>
        <v>1.5425</v>
      </c>
      <c r="K219" s="92">
        <f>IF(J219=0,0,IF(B219="F",VLOOKUP(I219,Barem!$G$2:$H$11,2,1),VLOOKUP(I219,Barem!$G$12:$H$21,2,1)))</f>
        <v>0</v>
      </c>
      <c r="L219" s="65" t="str">
        <f>VLOOKUP(C219,Barem!L:Q,6,0)</f>
        <v>V</v>
      </c>
      <c r="M219" s="11">
        <f t="shared" si="71"/>
        <v>0.25</v>
      </c>
      <c r="N219" s="11">
        <f t="shared" si="72"/>
        <v>0.75</v>
      </c>
      <c r="O219" s="49">
        <f t="shared" si="73"/>
        <v>0</v>
      </c>
      <c r="P219" s="27">
        <f>IF(D219&gt;21,VLOOKUP(D219,Barem!$S$1:$T$141,2,1),0)</f>
        <v>0</v>
      </c>
      <c r="Q219" s="27">
        <f>IF(D219&lt;1.609,0,IF(B219="F",VLOOKUP(I219,Barem!$W$2:$Y$13,2,1),VLOOKUP(I219,Barem!$W$14:$Y$25,2,1)))</f>
        <v>0</v>
      </c>
      <c r="R219" s="27">
        <f>VLOOKUP(A219,Participanti!A:C,3,0)</f>
        <v>0.4</v>
      </c>
      <c r="S219" s="21">
        <f t="shared" si="74"/>
        <v>0.78562500000000002</v>
      </c>
      <c r="T219" s="82">
        <v>44481</v>
      </c>
      <c r="U219" s="143">
        <f>COUNTIFS(A:A,A219,C:C,C219)</f>
        <v>1</v>
      </c>
      <c r="V219" s="77" t="str">
        <f>VLOOKUP(A219,Data_echipe!A:U,21,0)</f>
        <v>All Stars</v>
      </c>
      <c r="X219" s="154"/>
    </row>
    <row r="220" spans="1:24" x14ac:dyDescent="0.25">
      <c r="A220" s="64" t="s">
        <v>244</v>
      </c>
      <c r="B220" s="77" t="str">
        <f>VLOOKUP(A220,Participanti!A:B,2,0)</f>
        <v>M</v>
      </c>
      <c r="C220" s="137">
        <v>6</v>
      </c>
      <c r="D220" s="66"/>
      <c r="E220" s="67"/>
      <c r="F220" s="67"/>
      <c r="G220" s="100"/>
      <c r="H220" s="68"/>
      <c r="I220" s="14"/>
      <c r="J220" s="92"/>
      <c r="K220" s="92"/>
      <c r="L220" s="65"/>
      <c r="M220" s="11"/>
      <c r="N220" s="11"/>
      <c r="O220" s="49"/>
      <c r="S220" s="128">
        <v>1.5</v>
      </c>
      <c r="T220" s="82"/>
      <c r="U220" s="143">
        <f>COUNTIFS(A:A,A220,C:C,C220)</f>
        <v>1</v>
      </c>
      <c r="V220" s="77" t="str">
        <f>VLOOKUP(A220,Data_echipe!A:U,21,0)</f>
        <v>All Stars</v>
      </c>
      <c r="X220" s="154"/>
    </row>
    <row r="221" spans="1:24" x14ac:dyDescent="0.25">
      <c r="A221" s="64" t="s">
        <v>117</v>
      </c>
      <c r="B221" s="77" t="str">
        <f>VLOOKUP(A221,Participanti!A:B,2,0)</f>
        <v>M</v>
      </c>
      <c r="C221" s="137">
        <v>6</v>
      </c>
      <c r="D221" s="66">
        <v>5</v>
      </c>
      <c r="E221" s="67">
        <v>1.8969907407407408E-2</v>
      </c>
      <c r="F221" s="67">
        <v>1.9016203703703705E-2</v>
      </c>
      <c r="G221" s="100">
        <f t="shared" si="68"/>
        <v>1.8993055555555555E-2</v>
      </c>
      <c r="H221" s="68">
        <v>2</v>
      </c>
      <c r="I221" s="14">
        <f t="shared" si="69"/>
        <v>3.7986111111111111E-3</v>
      </c>
      <c r="J221" s="92">
        <f t="shared" si="70"/>
        <v>1.1904761904761905</v>
      </c>
      <c r="K221" s="92">
        <f>IF(J221=0,0,IF(B221="F",VLOOKUP(I221,Barem!$G$2:$H$11,2,1),VLOOKUP(I221,Barem!$G$12:$H$21,2,1)))</f>
        <v>2</v>
      </c>
      <c r="L221" s="65" t="str">
        <f>VLOOKUP(C221,Barem!L:Q,6,0)</f>
        <v>V</v>
      </c>
      <c r="M221" s="11">
        <f t="shared" si="71"/>
        <v>0.25</v>
      </c>
      <c r="N221" s="11">
        <f t="shared" si="72"/>
        <v>0.75</v>
      </c>
      <c r="O221" s="49">
        <f t="shared" si="73"/>
        <v>0</v>
      </c>
      <c r="P221" s="27">
        <f>IF(D221&gt;21,VLOOKUP(D221,Barem!$S$1:$T$141,2,1),0)</f>
        <v>0</v>
      </c>
      <c r="Q221" s="27">
        <f>IF(D221&lt;1.609,0,IF(B221="F",VLOOKUP(I221,Barem!$W$2:$Y$13,2,1),VLOOKUP(I221,Barem!$W$14:$Y$25,2,1)))</f>
        <v>0</v>
      </c>
      <c r="R221" s="27">
        <f>VLOOKUP(A221,Participanti!A:C,3,0)</f>
        <v>0</v>
      </c>
      <c r="S221" s="21">
        <f t="shared" si="74"/>
        <v>1.7976190476190477</v>
      </c>
      <c r="T221" s="82">
        <v>44485</v>
      </c>
      <c r="U221" s="143">
        <f>COUNTIFS(A:A,A221,C:C,C221)</f>
        <v>1</v>
      </c>
      <c r="V221" s="77" t="str">
        <f>VLOOKUP(A221,Data_echipe!A:U,21,0)</f>
        <v>UltraSYR</v>
      </c>
      <c r="X221" s="154">
        <v>1</v>
      </c>
    </row>
    <row r="222" spans="1:24" x14ac:dyDescent="0.25">
      <c r="A222" s="113" t="s">
        <v>60</v>
      </c>
      <c r="B222" s="114" t="str">
        <f>VLOOKUP(A222,Participanti!A:B,2,0)</f>
        <v>M</v>
      </c>
      <c r="C222" s="138">
        <v>6</v>
      </c>
      <c r="D222" s="116">
        <v>10.039999999999999</v>
      </c>
      <c r="E222" s="117">
        <v>4.6828703703703706E-2</v>
      </c>
      <c r="F222" s="117">
        <v>5.061342592592593E-2</v>
      </c>
      <c r="G222" s="118">
        <f t="shared" si="68"/>
        <v>4.8721064814814821E-2</v>
      </c>
      <c r="H222" s="119">
        <v>0</v>
      </c>
      <c r="I222" s="120">
        <f t="shared" si="69"/>
        <v>4.8526956986867358E-3</v>
      </c>
      <c r="J222" s="121">
        <f t="shared" si="70"/>
        <v>2.39047619047619</v>
      </c>
      <c r="K222" s="121">
        <f>IF(J222=0,0,IF(B222="F",VLOOKUP(I222,Barem!$G$2:$H$11,2,1),VLOOKUP(I222,Barem!$G$12:$H$21,2,1)))</f>
        <v>1</v>
      </c>
      <c r="L222" s="115" t="str">
        <f>VLOOKUP(C222,Barem!L:Q,6,0)</f>
        <v>V</v>
      </c>
      <c r="M222" s="122">
        <f t="shared" si="71"/>
        <v>0.25</v>
      </c>
      <c r="N222" s="122">
        <f t="shared" si="72"/>
        <v>0.75</v>
      </c>
      <c r="O222" s="123">
        <f t="shared" si="73"/>
        <v>0</v>
      </c>
      <c r="P222" s="124">
        <f>IF(D222&gt;21,VLOOKUP(D222,Barem!$S$1:$T$141,2,1),0)</f>
        <v>0</v>
      </c>
      <c r="Q222" s="124">
        <f>IF(D222&lt;1.609,0,IF(B222="F",VLOOKUP(I222,Barem!$W$2:$Y$13,2,1),VLOOKUP(I222,Barem!$W$14:$Y$25,2,1)))</f>
        <v>0</v>
      </c>
      <c r="R222" s="124">
        <f>VLOOKUP(A222,Participanti!A:C,3,0)</f>
        <v>0</v>
      </c>
      <c r="S222" s="125">
        <f t="shared" si="74"/>
        <v>1.3476190476190475</v>
      </c>
      <c r="T222" s="126">
        <v>44481</v>
      </c>
      <c r="U222" s="144">
        <f>COUNTIFS(A:A,A222,C:C,C222)</f>
        <v>1</v>
      </c>
      <c r="V222" s="114" t="e">
        <f>VLOOKUP(A222,Data_echipe!A:U,21,0)</f>
        <v>#N/A</v>
      </c>
      <c r="W222" s="127"/>
      <c r="X222" s="154">
        <v>1</v>
      </c>
    </row>
    <row r="223" spans="1:24" x14ac:dyDescent="0.25">
      <c r="A223" s="64" t="s">
        <v>242</v>
      </c>
      <c r="B223" s="77" t="str">
        <f>VLOOKUP(A223,Participanti!A:B,2,0)</f>
        <v>M</v>
      </c>
      <c r="C223" s="137">
        <v>7</v>
      </c>
      <c r="D223" s="66">
        <v>10.01</v>
      </c>
      <c r="E223" s="67">
        <v>2.4432870370370369E-2</v>
      </c>
      <c r="F223" s="67">
        <v>2.4432870370370369E-2</v>
      </c>
      <c r="G223" s="100">
        <f t="shared" si="68"/>
        <v>2.4432870370370369E-2</v>
      </c>
      <c r="H223" s="68">
        <v>52</v>
      </c>
      <c r="I223" s="14">
        <f t="shared" ref="I223:I249" si="75">G223/D223</f>
        <v>2.4408461908461908E-3</v>
      </c>
      <c r="J223" s="92">
        <f t="shared" ref="J223:J249" si="76">IF(B223="F",IF(D223&lt;2.5,0,IF(D223&gt;19.99,5,D223/4)),IF(D223&lt;3,0, IF(D223&gt;20.99,5,D223/4.2)))</f>
        <v>2.3833333333333333</v>
      </c>
      <c r="K223" s="92">
        <f>IF(J223=0,0,IF(B223="F",VLOOKUP(I223,Barem!$G$2:$H$11,2,1),VLOOKUP(I223,Barem!$G$12:$H$21,2,1)))</f>
        <v>5</v>
      </c>
      <c r="L223" s="110" t="s">
        <v>110</v>
      </c>
      <c r="M223" s="11">
        <f t="shared" ref="M223:M249" si="77">IF(OR(L223="P1",L223="P2",L223="P3"),"",IF(C223=15,0.5,IF(L223="D",0.75,0.25)))</f>
        <v>0.25</v>
      </c>
      <c r="N223" s="11">
        <f t="shared" ref="N223:N249" si="78">IF(OR(L223="P1",L223="P2",L223="P3"),"",IF(C223=15,0.5,IF(L223="V",0.75,0.25)))</f>
        <v>0.75</v>
      </c>
      <c r="O223" s="49">
        <f t="shared" ref="O223:O249" si="79">IF(H223&lt;-49,H223/1500,IF(H223&gt;49,H223/1500,0))</f>
        <v>3.4666666666666665E-2</v>
      </c>
      <c r="P223" s="27">
        <f>IF(D223&gt;21,VLOOKUP(D223,Barem!$S$1:$T$141,2,1),0)</f>
        <v>0</v>
      </c>
      <c r="Q223" s="27">
        <f>IF(D223&lt;1.609,0,IF(B223="F",VLOOKUP(I223,Barem!$W$2:$Y$13,2,1),VLOOKUP(I223,Barem!$W$14:$Y$25,2,1)))</f>
        <v>4.1999999999999993</v>
      </c>
      <c r="R223" s="27">
        <f>VLOOKUP(A223,Participanti!A:C,3,0)</f>
        <v>0</v>
      </c>
      <c r="S223" s="21">
        <f t="shared" ref="S223:S249" si="80">J223*M223+K223*N223+O223+P223+Q223+R223</f>
        <v>8.5804999999999989</v>
      </c>
      <c r="T223" s="82">
        <v>44488</v>
      </c>
      <c r="U223" s="143">
        <f>COUNTIFS(A:A,A223,C:C,C223)</f>
        <v>1</v>
      </c>
      <c r="V223" s="77" t="str">
        <f>VLOOKUP(A223,Data_echipe!A:U,21,0)</f>
        <v>All Stars</v>
      </c>
      <c r="W223" s="23" t="s">
        <v>301</v>
      </c>
      <c r="X223" s="154">
        <v>1</v>
      </c>
    </row>
    <row r="224" spans="1:24" x14ac:dyDescent="0.25">
      <c r="A224" s="64" t="s">
        <v>152</v>
      </c>
      <c r="B224" s="77" t="str">
        <f>VLOOKUP(A224,Participanti!A:B,2,0)</f>
        <v>F</v>
      </c>
      <c r="C224" s="137">
        <v>7</v>
      </c>
      <c r="D224" s="66">
        <v>2.5299999999999998</v>
      </c>
      <c r="E224" s="67">
        <v>6.6550925925925935E-3</v>
      </c>
      <c r="F224" s="67">
        <v>6.6550925925925935E-3</v>
      </c>
      <c r="G224" s="100">
        <f t="shared" si="68"/>
        <v>6.6550925925925935E-3</v>
      </c>
      <c r="H224" s="68">
        <v>0</v>
      </c>
      <c r="I224" s="14">
        <f t="shared" si="75"/>
        <v>2.6304713804713811E-3</v>
      </c>
      <c r="J224" s="92">
        <f t="shared" si="76"/>
        <v>0.63249999999999995</v>
      </c>
      <c r="K224" s="92">
        <f>IF(J224=0,0,IF(B224="F",VLOOKUP(I224,Barem!$G$2:$H$11,2,1),VLOOKUP(I224,Barem!$G$12:$H$21,2,1)))</f>
        <v>5</v>
      </c>
      <c r="L224" s="110" t="s">
        <v>110</v>
      </c>
      <c r="M224" s="11">
        <f t="shared" si="77"/>
        <v>0.25</v>
      </c>
      <c r="N224" s="11">
        <f t="shared" si="78"/>
        <v>0.75</v>
      </c>
      <c r="O224" s="49">
        <f t="shared" si="79"/>
        <v>0</v>
      </c>
      <c r="P224" s="27">
        <f>IF(D224&gt;21,VLOOKUP(D224,Barem!$S$1:$T$141,2,1),0)</f>
        <v>0</v>
      </c>
      <c r="Q224" s="27">
        <f>IF(D224&lt;1.609,0,IF(B224="F",VLOOKUP(I224,Barem!$W$2:$Y$13,2,1),VLOOKUP(I224,Barem!$W$14:$Y$25,2,1)))</f>
        <v>6.75</v>
      </c>
      <c r="R224" s="27">
        <f>VLOOKUP(A224,Participanti!A:C,3,0)</f>
        <v>0</v>
      </c>
      <c r="S224" s="21">
        <f t="shared" si="80"/>
        <v>10.658125</v>
      </c>
      <c r="T224" s="82">
        <v>44488</v>
      </c>
      <c r="U224" s="143">
        <f>COUNTIFS(A:A,A224,C:C,C224)</f>
        <v>1</v>
      </c>
      <c r="V224" s="77" t="str">
        <f>VLOOKUP(A224,Data_echipe!A:U,21,0)</f>
        <v>All Stars</v>
      </c>
      <c r="X224" s="154">
        <v>1</v>
      </c>
    </row>
    <row r="225" spans="1:24" x14ac:dyDescent="0.25">
      <c r="A225" s="64" t="s">
        <v>203</v>
      </c>
      <c r="B225" s="77" t="str">
        <f>VLOOKUP(A225,Participanti!A:B,2,0)</f>
        <v>M</v>
      </c>
      <c r="C225" s="137">
        <v>7</v>
      </c>
      <c r="D225" s="66">
        <v>26.57</v>
      </c>
      <c r="E225" s="67">
        <v>8.1504629629629635E-2</v>
      </c>
      <c r="F225" s="67">
        <v>8.1504629629629635E-2</v>
      </c>
      <c r="G225" s="100">
        <f t="shared" si="68"/>
        <v>8.1504629629629635E-2</v>
      </c>
      <c r="H225" s="68">
        <v>555</v>
      </c>
      <c r="I225" s="14">
        <f t="shared" si="75"/>
        <v>3.0675434561396172E-3</v>
      </c>
      <c r="J225" s="92">
        <f t="shared" si="76"/>
        <v>5</v>
      </c>
      <c r="K225" s="92">
        <f>IF(J225=0,0,IF(B225="F",VLOOKUP(I225,Barem!$G$2:$H$11,2,1),VLOOKUP(I225,Barem!$G$12:$H$21,2,1)))</f>
        <v>4</v>
      </c>
      <c r="L225" s="65" t="str">
        <f>VLOOKUP(C225,Barem!L:Q,6,0)</f>
        <v>D</v>
      </c>
      <c r="M225" s="11">
        <f t="shared" si="77"/>
        <v>0.75</v>
      </c>
      <c r="N225" s="11">
        <f t="shared" si="78"/>
        <v>0.25</v>
      </c>
      <c r="O225" s="49">
        <f t="shared" si="79"/>
        <v>0.37</v>
      </c>
      <c r="P225" s="27">
        <f>IF(D225&gt;21,VLOOKUP(D225,Barem!$S$1:$T$141,2,1),0)</f>
        <v>0.2</v>
      </c>
      <c r="Q225" s="27">
        <f>IF(D225&lt;1.609,0,IF(B225="F",VLOOKUP(I225,Barem!$W$2:$Y$13,2,1),VLOOKUP(I225,Barem!$W$14:$Y$25,2,1)))</f>
        <v>0</v>
      </c>
      <c r="R225" s="27">
        <f>VLOOKUP(A225,Participanti!A:C,3,0)</f>
        <v>0</v>
      </c>
      <c r="S225" s="21">
        <f t="shared" si="80"/>
        <v>5.32</v>
      </c>
      <c r="T225" s="82">
        <v>44492</v>
      </c>
      <c r="U225" s="143">
        <f>COUNTIFS(A:A,A225,C:C,C225)</f>
        <v>1</v>
      </c>
      <c r="V225" s="77" t="str">
        <f>VLOOKUP(A225,Data_echipe!A:U,21,0)</f>
        <v>All Stars</v>
      </c>
      <c r="X225" s="154">
        <v>1</v>
      </c>
    </row>
    <row r="226" spans="1:24" x14ac:dyDescent="0.25">
      <c r="A226" s="64" t="s">
        <v>51</v>
      </c>
      <c r="B226" s="77" t="str">
        <f>VLOOKUP(A226,Participanti!A:B,2,0)</f>
        <v>M</v>
      </c>
      <c r="C226" s="137">
        <v>7</v>
      </c>
      <c r="D226" s="66">
        <v>31.79</v>
      </c>
      <c r="E226" s="67">
        <v>0.17370370370370369</v>
      </c>
      <c r="F226" s="67">
        <v>0.19903935185185184</v>
      </c>
      <c r="G226" s="100">
        <f t="shared" si="68"/>
        <v>0.18637152777777777</v>
      </c>
      <c r="H226" s="68">
        <v>1870</v>
      </c>
      <c r="I226" s="14">
        <f t="shared" si="75"/>
        <v>5.8625834469260077E-3</v>
      </c>
      <c r="J226" s="92">
        <f t="shared" si="76"/>
        <v>5</v>
      </c>
      <c r="K226" s="92">
        <f>IF(J226=0,0,IF(B226="F",VLOOKUP(I226,Barem!$G$2:$H$11,2,1),VLOOKUP(I226,Barem!$G$12:$H$21,2,1)))</f>
        <v>0</v>
      </c>
      <c r="L226" s="65" t="str">
        <f>VLOOKUP(C226,Barem!L:Q,6,0)</f>
        <v>D</v>
      </c>
      <c r="M226" s="11">
        <f t="shared" si="77"/>
        <v>0.75</v>
      </c>
      <c r="N226" s="11">
        <f t="shared" si="78"/>
        <v>0.25</v>
      </c>
      <c r="O226" s="49">
        <f t="shared" si="79"/>
        <v>1.2466666666666666</v>
      </c>
      <c r="P226" s="27">
        <f>IF(D226&gt;21,VLOOKUP(D226,Barem!$S$1:$T$141,2,1),0)</f>
        <v>0.5</v>
      </c>
      <c r="Q226" s="27">
        <f>IF(D226&lt;1.609,0,IF(B226="F",VLOOKUP(I226,Barem!$W$2:$Y$13,2,1),VLOOKUP(I226,Barem!$W$14:$Y$25,2,1)))</f>
        <v>0</v>
      </c>
      <c r="R226" s="27">
        <f>VLOOKUP(A226,Participanti!A:C,3,0)</f>
        <v>0</v>
      </c>
      <c r="S226" s="21">
        <f t="shared" si="80"/>
        <v>5.4966666666666661</v>
      </c>
      <c r="T226" s="82">
        <v>44492</v>
      </c>
      <c r="U226" s="143">
        <f>COUNTIFS(A:A,A226,C:C,C226)</f>
        <v>1</v>
      </c>
      <c r="V226" s="77" t="str">
        <f>VLOOKUP(A226,Data_echipe!A:U,21,0)</f>
        <v>UltraSYR</v>
      </c>
      <c r="X226" s="154"/>
    </row>
    <row r="227" spans="1:24" x14ac:dyDescent="0.25">
      <c r="A227" s="64" t="s">
        <v>53</v>
      </c>
      <c r="B227" s="77" t="str">
        <f>VLOOKUP(A227,Participanti!A:B,2,0)</f>
        <v>M</v>
      </c>
      <c r="C227" s="137">
        <v>7</v>
      </c>
      <c r="D227" s="66">
        <v>16.010000000000002</v>
      </c>
      <c r="E227" s="67">
        <v>6.0023148148148152E-2</v>
      </c>
      <c r="F227" s="67">
        <v>6.5243055555555554E-2</v>
      </c>
      <c r="G227" s="100">
        <f t="shared" si="68"/>
        <v>6.263310185185185E-2</v>
      </c>
      <c r="H227" s="68">
        <v>604</v>
      </c>
      <c r="I227" s="14">
        <f t="shared" si="75"/>
        <v>3.9121237883730075E-3</v>
      </c>
      <c r="J227" s="92">
        <f t="shared" si="76"/>
        <v>3.8119047619047621</v>
      </c>
      <c r="K227" s="92">
        <f>IF(J227=0,0,IF(B227="F",VLOOKUP(I227,Barem!$G$2:$H$11,2,1),VLOOKUP(I227,Barem!$G$12:$H$21,2,1)))</f>
        <v>1.5</v>
      </c>
      <c r="L227" s="110" t="s">
        <v>110</v>
      </c>
      <c r="M227" s="11">
        <f t="shared" si="77"/>
        <v>0.25</v>
      </c>
      <c r="N227" s="11">
        <f t="shared" si="78"/>
        <v>0.75</v>
      </c>
      <c r="O227" s="49">
        <f t="shared" si="79"/>
        <v>0.40266666666666667</v>
      </c>
      <c r="P227" s="27">
        <f>IF(D227&gt;21,VLOOKUP(D227,Barem!$S$1:$T$141,2,1),0)</f>
        <v>0</v>
      </c>
      <c r="Q227" s="27">
        <f>IF(D227&lt;1.609,0,IF(B227="F",VLOOKUP(I227,Barem!$W$2:$Y$13,2,1),VLOOKUP(I227,Barem!$W$14:$Y$25,2,1)))</f>
        <v>0</v>
      </c>
      <c r="R227" s="27">
        <f>VLOOKUP(A227,Participanti!A:C,3,0)</f>
        <v>0</v>
      </c>
      <c r="S227" s="21">
        <f t="shared" si="80"/>
        <v>2.4806428571428571</v>
      </c>
      <c r="T227" s="82">
        <v>44492</v>
      </c>
      <c r="U227" s="143">
        <f>COUNTIFS(A:A,A227,C:C,C227)</f>
        <v>1</v>
      </c>
      <c r="V227" s="77" t="str">
        <f>VLOOKUP(A227,Data_echipe!A:U,21,0)</f>
        <v>UltraSYR</v>
      </c>
      <c r="X227" s="154">
        <v>1</v>
      </c>
    </row>
    <row r="228" spans="1:24" x14ac:dyDescent="0.25">
      <c r="A228" s="64" t="s">
        <v>211</v>
      </c>
      <c r="B228" s="77" t="str">
        <f>VLOOKUP(A228,Participanti!A:B,2,0)</f>
        <v>F</v>
      </c>
      <c r="C228" s="137">
        <v>7</v>
      </c>
      <c r="D228" s="66">
        <v>10.5</v>
      </c>
      <c r="E228" s="67">
        <v>2.9791666666666664E-2</v>
      </c>
      <c r="F228" s="67">
        <v>2.9791666666666664E-2</v>
      </c>
      <c r="G228" s="100">
        <f t="shared" si="68"/>
        <v>2.9791666666666664E-2</v>
      </c>
      <c r="H228" s="68">
        <v>68</v>
      </c>
      <c r="I228" s="14">
        <f t="shared" si="75"/>
        <v>2.8373015873015871E-3</v>
      </c>
      <c r="J228" s="92">
        <f t="shared" si="76"/>
        <v>2.625</v>
      </c>
      <c r="K228" s="92">
        <f>IF(J228=0,0,IF(B228="F",VLOOKUP(I228,Barem!$G$2:$H$11,2,1),VLOOKUP(I228,Barem!$G$12:$H$21,2,1)))</f>
        <v>5</v>
      </c>
      <c r="L228" s="110" t="s">
        <v>110</v>
      </c>
      <c r="M228" s="11">
        <f t="shared" si="77"/>
        <v>0.25</v>
      </c>
      <c r="N228" s="11">
        <f t="shared" si="78"/>
        <v>0.75</v>
      </c>
      <c r="O228" s="49">
        <f t="shared" si="79"/>
        <v>4.5333333333333337E-2</v>
      </c>
      <c r="P228" s="27">
        <f>IF(D228&gt;21,VLOOKUP(D228,Barem!$S$1:$T$141,2,1),0)</f>
        <v>0</v>
      </c>
      <c r="Q228" s="27">
        <f>IF(D228&lt;1.609,0,IF(B228="F",VLOOKUP(I228,Barem!$W$2:$Y$13,2,1),VLOOKUP(I228,Barem!$W$14:$Y$25,2,1)))</f>
        <v>3.1500000000000004</v>
      </c>
      <c r="R228" s="27">
        <f>VLOOKUP(A228,Participanti!A:C,3,0)</f>
        <v>0</v>
      </c>
      <c r="S228" s="21">
        <f t="shared" si="80"/>
        <v>7.601583333333334</v>
      </c>
      <c r="T228" s="82">
        <v>44489</v>
      </c>
      <c r="U228" s="143">
        <f>COUNTIFS(A:A,A228,C:C,C228)</f>
        <v>1</v>
      </c>
      <c r="V228" s="77" t="str">
        <f>VLOOKUP(A228,Data_echipe!A:U,21,0)</f>
        <v>UltraSYR</v>
      </c>
      <c r="X228" s="154">
        <v>1</v>
      </c>
    </row>
    <row r="229" spans="1:24" x14ac:dyDescent="0.25">
      <c r="A229" s="64" t="s">
        <v>119</v>
      </c>
      <c r="B229" s="77" t="str">
        <f>VLOOKUP(A229,Participanti!A:B,2,0)</f>
        <v>M</v>
      </c>
      <c r="C229" s="137">
        <v>7</v>
      </c>
      <c r="D229" s="66">
        <v>9.1</v>
      </c>
      <c r="E229" s="67">
        <v>2.49537037037037E-2</v>
      </c>
      <c r="F229" s="67">
        <v>2.5023148148148145E-2</v>
      </c>
      <c r="G229" s="100">
        <f t="shared" si="68"/>
        <v>2.4988425925925921E-2</v>
      </c>
      <c r="H229" s="68">
        <v>0</v>
      </c>
      <c r="I229" s="14">
        <f t="shared" si="75"/>
        <v>2.7459808709808706E-3</v>
      </c>
      <c r="J229" s="92">
        <f t="shared" si="76"/>
        <v>2.1666666666666665</v>
      </c>
      <c r="K229" s="92">
        <f>IF(J229=0,0,IF(B229="F",VLOOKUP(I229,Barem!$G$2:$H$11,2,1),VLOOKUP(I229,Barem!$G$12:$H$21,2,1)))</f>
        <v>5</v>
      </c>
      <c r="L229" s="110" t="s">
        <v>110</v>
      </c>
      <c r="M229" s="11">
        <f t="shared" si="77"/>
        <v>0.25</v>
      </c>
      <c r="N229" s="11">
        <f t="shared" si="78"/>
        <v>0.75</v>
      </c>
      <c r="O229" s="49">
        <f t="shared" si="79"/>
        <v>0</v>
      </c>
      <c r="P229" s="27">
        <f>IF(D229&gt;21,VLOOKUP(D229,Barem!$S$1:$T$141,2,1),0)</f>
        <v>0</v>
      </c>
      <c r="Q229" s="27">
        <f>IF(D229&lt;1.609,0,IF(B229="F",VLOOKUP(I229,Barem!$W$2:$Y$13,2,1),VLOOKUP(I229,Barem!$W$14:$Y$25,2,1)))</f>
        <v>0.15000000000000002</v>
      </c>
      <c r="R229" s="27">
        <f>VLOOKUP(A229,Participanti!A:C,3,0)</f>
        <v>0</v>
      </c>
      <c r="S229" s="21">
        <f t="shared" si="80"/>
        <v>4.4416666666666673</v>
      </c>
      <c r="T229" s="82">
        <v>44489</v>
      </c>
      <c r="U229" s="143">
        <f>COUNTIFS(A:A,A229,C:C,C229)</f>
        <v>1</v>
      </c>
      <c r="V229" s="77" t="e">
        <f>VLOOKUP(A229,Data_echipe!A:U,21,0)</f>
        <v>#N/A</v>
      </c>
      <c r="X229" s="154">
        <v>1</v>
      </c>
    </row>
    <row r="230" spans="1:24" x14ac:dyDescent="0.25">
      <c r="A230" s="64" t="s">
        <v>111</v>
      </c>
      <c r="B230" s="77" t="str">
        <f>VLOOKUP(A230,Participanti!A:B,2,0)</f>
        <v>M</v>
      </c>
      <c r="C230" s="137">
        <v>7</v>
      </c>
      <c r="D230" s="66">
        <v>7.02</v>
      </c>
      <c r="E230" s="67">
        <v>2.1689814814814815E-2</v>
      </c>
      <c r="F230" s="67">
        <v>2.1689814814814815E-2</v>
      </c>
      <c r="G230" s="100">
        <f t="shared" si="68"/>
        <v>2.1689814814814815E-2</v>
      </c>
      <c r="H230" s="68">
        <v>7</v>
      </c>
      <c r="I230" s="14">
        <f t="shared" si="75"/>
        <v>3.0897172100875806E-3</v>
      </c>
      <c r="J230" s="92">
        <f t="shared" si="76"/>
        <v>1.6714285714285713</v>
      </c>
      <c r="K230" s="92">
        <f>IF(J230=0,0,IF(B230="F",VLOOKUP(I230,Barem!$G$2:$H$11,2,1),VLOOKUP(I230,Barem!$G$12:$H$21,2,1)))</f>
        <v>4</v>
      </c>
      <c r="L230" s="110" t="s">
        <v>110</v>
      </c>
      <c r="M230" s="11">
        <f t="shared" si="77"/>
        <v>0.25</v>
      </c>
      <c r="N230" s="11">
        <f t="shared" si="78"/>
        <v>0.75</v>
      </c>
      <c r="O230" s="49">
        <f t="shared" si="79"/>
        <v>0</v>
      </c>
      <c r="P230" s="27">
        <f>IF(D230&gt;21,VLOOKUP(D230,Barem!$S$1:$T$141,2,1),0)</f>
        <v>0</v>
      </c>
      <c r="Q230" s="27">
        <f>IF(D230&lt;1.609,0,IF(B230="F",VLOOKUP(I230,Barem!$W$2:$Y$13,2,1),VLOOKUP(I230,Barem!$W$14:$Y$25,2,1)))</f>
        <v>0</v>
      </c>
      <c r="R230" s="27">
        <f>VLOOKUP(A230,Participanti!A:C,3,0)</f>
        <v>0</v>
      </c>
      <c r="S230" s="21">
        <f t="shared" si="80"/>
        <v>3.4178571428571427</v>
      </c>
      <c r="T230" s="82">
        <v>44489</v>
      </c>
      <c r="U230" s="143">
        <f>COUNTIFS(A:A,A230,C:C,C230)</f>
        <v>1</v>
      </c>
      <c r="V230" s="77" t="str">
        <f>VLOOKUP(A230,Data_echipe!A:U,21,0)</f>
        <v>UltraSYR</v>
      </c>
      <c r="X230" s="154">
        <v>1</v>
      </c>
    </row>
    <row r="231" spans="1:24" x14ac:dyDescent="0.25">
      <c r="A231" s="64" t="s">
        <v>240</v>
      </c>
      <c r="B231" s="77" t="str">
        <f>VLOOKUP(A231,Participanti!A:B,2,0)</f>
        <v>M</v>
      </c>
      <c r="C231" s="137">
        <v>7</v>
      </c>
      <c r="D231" s="66">
        <v>14.01</v>
      </c>
      <c r="E231" s="67">
        <v>4.2650462962962959E-2</v>
      </c>
      <c r="F231" s="67">
        <v>4.3310185185185181E-2</v>
      </c>
      <c r="G231" s="100">
        <f t="shared" si="68"/>
        <v>4.2980324074074067E-2</v>
      </c>
      <c r="H231" s="68">
        <v>13</v>
      </c>
      <c r="I231" s="14">
        <f t="shared" si="75"/>
        <v>3.0678318396912254E-3</v>
      </c>
      <c r="J231" s="92">
        <f t="shared" si="76"/>
        <v>3.3357142857142854</v>
      </c>
      <c r="K231" s="92">
        <f>IF(J231=0,0,IF(B231="F",VLOOKUP(I231,Barem!$G$2:$H$11,2,1),VLOOKUP(I231,Barem!$G$12:$H$21,2,1)))</f>
        <v>4</v>
      </c>
      <c r="L231" s="110" t="s">
        <v>110</v>
      </c>
      <c r="M231" s="11">
        <f t="shared" si="77"/>
        <v>0.25</v>
      </c>
      <c r="N231" s="11">
        <f t="shared" si="78"/>
        <v>0.75</v>
      </c>
      <c r="O231" s="49">
        <f t="shared" si="79"/>
        <v>0</v>
      </c>
      <c r="P231" s="27">
        <f>IF(D231&gt;21,VLOOKUP(D231,Barem!$S$1:$T$141,2,1),0)</f>
        <v>0</v>
      </c>
      <c r="Q231" s="27">
        <f>IF(D231&lt;1.609,0,IF(B231="F",VLOOKUP(I231,Barem!$W$2:$Y$13,2,1),VLOOKUP(I231,Barem!$W$14:$Y$25,2,1)))</f>
        <v>0</v>
      </c>
      <c r="R231" s="27">
        <f>VLOOKUP(A231,Participanti!A:C,3,0)</f>
        <v>0</v>
      </c>
      <c r="S231" s="21">
        <f t="shared" si="80"/>
        <v>3.8339285714285714</v>
      </c>
      <c r="T231" s="82">
        <v>44493</v>
      </c>
      <c r="U231" s="143">
        <f>COUNTIFS(A:A,A231,C:C,C231)</f>
        <v>1</v>
      </c>
      <c r="V231" s="77" t="str">
        <f>VLOOKUP(A231,Data_echipe!A:U,21,0)</f>
        <v>All Stars</v>
      </c>
      <c r="X231" s="154">
        <v>1</v>
      </c>
    </row>
    <row r="232" spans="1:24" x14ac:dyDescent="0.25">
      <c r="A232" s="64" t="s">
        <v>67</v>
      </c>
      <c r="B232" s="77" t="str">
        <f>VLOOKUP(A232,Participanti!A:B,2,0)</f>
        <v>M</v>
      </c>
      <c r="C232" s="137">
        <v>7</v>
      </c>
      <c r="D232" s="66">
        <v>17.010000000000002</v>
      </c>
      <c r="E232" s="67">
        <v>6.4502314814814818E-2</v>
      </c>
      <c r="F232" s="67">
        <v>7.1712962962962964E-2</v>
      </c>
      <c r="G232" s="100">
        <f t="shared" si="68"/>
        <v>6.8107638888888891E-2</v>
      </c>
      <c r="H232" s="68">
        <v>64</v>
      </c>
      <c r="I232" s="14">
        <f t="shared" si="75"/>
        <v>4.0039764190998757E-3</v>
      </c>
      <c r="J232" s="92">
        <f t="shared" si="76"/>
        <v>4.05</v>
      </c>
      <c r="K232" s="92">
        <f>IF(J232=0,0,IF(B232="F",VLOOKUP(I232,Barem!$G$2:$H$11,2,1),VLOOKUP(I232,Barem!$G$12:$H$21,2,1)))</f>
        <v>1.5</v>
      </c>
      <c r="L232" s="65" t="str">
        <f>VLOOKUP(C232,Barem!L:Q,6,0)</f>
        <v>D</v>
      </c>
      <c r="M232" s="11">
        <f t="shared" si="77"/>
        <v>0.75</v>
      </c>
      <c r="N232" s="11">
        <f t="shared" si="78"/>
        <v>0.25</v>
      </c>
      <c r="O232" s="49">
        <f t="shared" si="79"/>
        <v>4.2666666666666665E-2</v>
      </c>
      <c r="P232" s="27">
        <f>IF(D232&gt;21,VLOOKUP(D232,Barem!$S$1:$T$141,2,1),0)</f>
        <v>0</v>
      </c>
      <c r="Q232" s="27">
        <f>IF(D232&lt;1.609,0,IF(B232="F",VLOOKUP(I232,Barem!$W$2:$Y$13,2,1),VLOOKUP(I232,Barem!$W$14:$Y$25,2,1)))</f>
        <v>0</v>
      </c>
      <c r="R232" s="27">
        <f>VLOOKUP(A232,Participanti!A:C,3,0)</f>
        <v>0</v>
      </c>
      <c r="S232" s="21">
        <f t="shared" si="80"/>
        <v>3.4551666666666665</v>
      </c>
      <c r="T232" s="82">
        <v>44493</v>
      </c>
      <c r="U232" s="143">
        <f>COUNTIFS(A:A,A232,C:C,C232)</f>
        <v>1</v>
      </c>
      <c r="V232" s="77" t="e">
        <f>VLOOKUP(A232,Data_echipe!A:U,21,0)</f>
        <v>#N/A</v>
      </c>
      <c r="X232" s="154">
        <v>1</v>
      </c>
    </row>
    <row r="233" spans="1:24" x14ac:dyDescent="0.25">
      <c r="A233" s="64" t="s">
        <v>102</v>
      </c>
      <c r="B233" s="77" t="str">
        <f>VLOOKUP(A233,Participanti!A:B,2,0)</f>
        <v>M</v>
      </c>
      <c r="C233" s="137">
        <v>7</v>
      </c>
      <c r="D233" s="66">
        <v>19.48</v>
      </c>
      <c r="E233" s="67">
        <v>6.340277777777778E-2</v>
      </c>
      <c r="F233" s="67">
        <v>6.5555555555555547E-2</v>
      </c>
      <c r="G233" s="100">
        <f t="shared" si="68"/>
        <v>6.4479166666666671E-2</v>
      </c>
      <c r="H233" s="68">
        <v>10</v>
      </c>
      <c r="I233" s="14">
        <f t="shared" si="75"/>
        <v>3.3100188227241619E-3</v>
      </c>
      <c r="J233" s="92">
        <f t="shared" si="76"/>
        <v>4.6380952380952376</v>
      </c>
      <c r="K233" s="92">
        <f>IF(J233=0,0,IF(B233="F",VLOOKUP(I233,Barem!$G$2:$H$11,2,1),VLOOKUP(I233,Barem!$G$12:$H$21,2,1)))</f>
        <v>3.5</v>
      </c>
      <c r="L233" s="65" t="str">
        <f>VLOOKUP(C233,Barem!L:Q,6,0)</f>
        <v>D</v>
      </c>
      <c r="M233" s="11">
        <f t="shared" si="77"/>
        <v>0.75</v>
      </c>
      <c r="N233" s="11">
        <f t="shared" si="78"/>
        <v>0.25</v>
      </c>
      <c r="O233" s="49">
        <f t="shared" si="79"/>
        <v>0</v>
      </c>
      <c r="P233" s="27">
        <f>IF(D233&gt;21,VLOOKUP(D233,Barem!$S$1:$T$141,2,1),0)</f>
        <v>0</v>
      </c>
      <c r="Q233" s="27">
        <f>IF(D233&lt;1.609,0,IF(B233="F",VLOOKUP(I233,Barem!$W$2:$Y$13,2,1),VLOOKUP(I233,Barem!$W$14:$Y$25,2,1)))</f>
        <v>0</v>
      </c>
      <c r="R233" s="27">
        <f>VLOOKUP(A233,Participanti!A:C,3,0)</f>
        <v>0</v>
      </c>
      <c r="S233" s="21">
        <f t="shared" si="80"/>
        <v>4.3535714285714278</v>
      </c>
      <c r="T233" s="82">
        <v>44492</v>
      </c>
      <c r="U233" s="143">
        <f>COUNTIFS(A:A,A233,C:C,C233)</f>
        <v>1</v>
      </c>
      <c r="V233" s="77" t="str">
        <f>VLOOKUP(A233,Data_echipe!A:U,21,0)</f>
        <v>All Stars</v>
      </c>
      <c r="X233" s="154">
        <v>1</v>
      </c>
    </row>
    <row r="234" spans="1:24" x14ac:dyDescent="0.25">
      <c r="A234" s="64" t="s">
        <v>154</v>
      </c>
      <c r="B234" s="77" t="str">
        <f>VLOOKUP(A234,Participanti!A:B,2,0)</f>
        <v>M</v>
      </c>
      <c r="C234" s="137">
        <v>7</v>
      </c>
      <c r="D234" s="66">
        <v>12.81</v>
      </c>
      <c r="E234" s="67">
        <v>4.50462962962963E-2</v>
      </c>
      <c r="F234" s="67">
        <v>4.7106481481481478E-2</v>
      </c>
      <c r="G234" s="100">
        <f t="shared" si="68"/>
        <v>4.6076388888888889E-2</v>
      </c>
      <c r="H234" s="68">
        <v>83</v>
      </c>
      <c r="I234" s="14">
        <f t="shared" si="75"/>
        <v>3.5969077977274699E-3</v>
      </c>
      <c r="J234" s="92">
        <f t="shared" si="76"/>
        <v>3.05</v>
      </c>
      <c r="K234" s="92">
        <f>IF(J234=0,0,IF(B234="F",VLOOKUP(I234,Barem!$G$2:$H$11,2,1),VLOOKUP(I234,Barem!$G$12:$H$21,2,1)))</f>
        <v>2.5</v>
      </c>
      <c r="L234" s="65" t="str">
        <f>VLOOKUP(C234,Barem!L:Q,6,0)</f>
        <v>D</v>
      </c>
      <c r="M234" s="11">
        <f t="shared" si="77"/>
        <v>0.75</v>
      </c>
      <c r="N234" s="11">
        <f t="shared" si="78"/>
        <v>0.25</v>
      </c>
      <c r="O234" s="49">
        <f t="shared" si="79"/>
        <v>5.5333333333333332E-2</v>
      </c>
      <c r="P234" s="27">
        <f>IF(D234&gt;21,VLOOKUP(D234,Barem!$S$1:$T$141,2,1),0)</f>
        <v>0</v>
      </c>
      <c r="Q234" s="27">
        <f>IF(D234&lt;1.609,0,IF(B234="F",VLOOKUP(I234,Barem!$W$2:$Y$13,2,1),VLOOKUP(I234,Barem!$W$14:$Y$25,2,1)))</f>
        <v>0</v>
      </c>
      <c r="R234" s="27">
        <f>VLOOKUP(A234,Participanti!A:C,3,0)</f>
        <v>0</v>
      </c>
      <c r="S234" s="21">
        <f t="shared" si="80"/>
        <v>2.9678333333333331</v>
      </c>
      <c r="T234" s="82">
        <v>44493</v>
      </c>
      <c r="U234" s="143">
        <f>COUNTIFS(A:A,A234,C:C,C234)</f>
        <v>1</v>
      </c>
      <c r="V234" s="77" t="str">
        <f>VLOOKUP(A234,Data_echipe!A:U,21,0)</f>
        <v>All Stars</v>
      </c>
      <c r="X234" s="154">
        <v>1</v>
      </c>
    </row>
    <row r="235" spans="1:24" x14ac:dyDescent="0.25">
      <c r="A235" s="64" t="s">
        <v>49</v>
      </c>
      <c r="B235" s="77" t="str">
        <f>VLOOKUP(A235,Participanti!A:B,2,0)</f>
        <v>M</v>
      </c>
      <c r="C235" s="137">
        <v>7</v>
      </c>
      <c r="D235" s="66">
        <v>18.3</v>
      </c>
      <c r="E235" s="67">
        <v>5.5428240740740743E-2</v>
      </c>
      <c r="F235" s="67">
        <v>5.6550925925925921E-2</v>
      </c>
      <c r="G235" s="100">
        <f t="shared" si="68"/>
        <v>5.5989583333333329E-2</v>
      </c>
      <c r="H235" s="68">
        <v>0</v>
      </c>
      <c r="I235" s="14">
        <f t="shared" si="75"/>
        <v>3.0595400728597446E-3</v>
      </c>
      <c r="J235" s="92">
        <f t="shared" si="76"/>
        <v>4.3571428571428568</v>
      </c>
      <c r="K235" s="92">
        <f>IF(J235=0,0,IF(B235="F",VLOOKUP(I235,Barem!$G$2:$H$11,2,1),VLOOKUP(I235,Barem!$G$12:$H$21,2,1)))</f>
        <v>4</v>
      </c>
      <c r="L235" s="65" t="str">
        <f>VLOOKUP(C235,Barem!L:Q,6,0)</f>
        <v>D</v>
      </c>
      <c r="M235" s="11">
        <f t="shared" si="77"/>
        <v>0.75</v>
      </c>
      <c r="N235" s="11">
        <f t="shared" si="78"/>
        <v>0.25</v>
      </c>
      <c r="O235" s="49">
        <f t="shared" si="79"/>
        <v>0</v>
      </c>
      <c r="P235" s="27">
        <f>IF(D235&gt;21,VLOOKUP(D235,Barem!$S$1:$T$141,2,1),0)</f>
        <v>0</v>
      </c>
      <c r="Q235" s="27">
        <f>IF(D235&lt;1.609,0,IF(B235="F",VLOOKUP(I235,Barem!$W$2:$Y$13,2,1),VLOOKUP(I235,Barem!$W$14:$Y$25,2,1)))</f>
        <v>0</v>
      </c>
      <c r="R235" s="27">
        <f>VLOOKUP(A235,Participanti!A:C,3,0)</f>
        <v>0</v>
      </c>
      <c r="S235" s="21">
        <f t="shared" si="80"/>
        <v>4.2678571428571423</v>
      </c>
      <c r="T235" s="82">
        <v>44493</v>
      </c>
      <c r="U235" s="143">
        <f>COUNTIFS(A:A,A235,C:C,C235)</f>
        <v>1</v>
      </c>
      <c r="V235" s="77" t="str">
        <f>VLOOKUP(A235,Data_echipe!A:U,21,0)</f>
        <v>All Stars</v>
      </c>
      <c r="X235" s="154">
        <v>1</v>
      </c>
    </row>
    <row r="236" spans="1:24" x14ac:dyDescent="0.25">
      <c r="A236" s="64" t="s">
        <v>241</v>
      </c>
      <c r="B236" s="77" t="str">
        <f>VLOOKUP(A236,Participanti!A:B,2,0)</f>
        <v>M</v>
      </c>
      <c r="C236" s="137">
        <v>7</v>
      </c>
      <c r="D236" s="66">
        <v>11.12</v>
      </c>
      <c r="E236" s="67">
        <v>3.5868055555555556E-2</v>
      </c>
      <c r="F236" s="67">
        <v>3.6782407407407409E-2</v>
      </c>
      <c r="G236" s="100">
        <f t="shared" si="68"/>
        <v>3.6325231481481479E-2</v>
      </c>
      <c r="H236" s="68">
        <v>15</v>
      </c>
      <c r="I236" s="14">
        <f t="shared" si="75"/>
        <v>3.2666575073274713E-3</v>
      </c>
      <c r="J236" s="92">
        <f t="shared" si="76"/>
        <v>2.6476190476190475</v>
      </c>
      <c r="K236" s="92">
        <f>IF(J236=0,0,IF(B236="F",VLOOKUP(I236,Barem!$G$2:$H$11,2,1),VLOOKUP(I236,Barem!$G$12:$H$21,2,1)))</f>
        <v>3.5</v>
      </c>
      <c r="L236" s="65" t="str">
        <f>VLOOKUP(C236,Barem!L:Q,6,0)</f>
        <v>D</v>
      </c>
      <c r="M236" s="11">
        <f t="shared" si="77"/>
        <v>0.75</v>
      </c>
      <c r="N236" s="11">
        <f t="shared" si="78"/>
        <v>0.25</v>
      </c>
      <c r="O236" s="49">
        <f t="shared" si="79"/>
        <v>0</v>
      </c>
      <c r="P236" s="27">
        <f>IF(D236&gt;21,VLOOKUP(D236,Barem!$S$1:$T$141,2,1),0)</f>
        <v>0</v>
      </c>
      <c r="Q236" s="27">
        <f>IF(D236&lt;1.609,0,IF(B236="F",VLOOKUP(I236,Barem!$W$2:$Y$13,2,1),VLOOKUP(I236,Barem!$W$14:$Y$25,2,1)))</f>
        <v>0</v>
      </c>
      <c r="R236" s="27">
        <f>VLOOKUP(A236,Participanti!A:C,3,0)</f>
        <v>0</v>
      </c>
      <c r="S236" s="21">
        <f t="shared" si="80"/>
        <v>2.8607142857142858</v>
      </c>
      <c r="T236" s="82">
        <v>44488</v>
      </c>
      <c r="U236" s="143">
        <f>COUNTIFS(A:A,A236,C:C,C236)</f>
        <v>1</v>
      </c>
      <c r="V236" s="77" t="e">
        <f>VLOOKUP(A236,Data_echipe!A:U,21,0)</f>
        <v>#N/A</v>
      </c>
      <c r="X236" s="154">
        <v>1</v>
      </c>
    </row>
    <row r="237" spans="1:24" x14ac:dyDescent="0.25">
      <c r="A237" s="64" t="s">
        <v>61</v>
      </c>
      <c r="B237" s="77" t="str">
        <f>VLOOKUP(A237,Participanti!A:B,2,0)</f>
        <v>M</v>
      </c>
      <c r="C237" s="137">
        <v>7</v>
      </c>
      <c r="D237" s="66">
        <v>42.54</v>
      </c>
      <c r="E237" s="67">
        <v>0.13688657407407409</v>
      </c>
      <c r="F237" s="67">
        <v>0.13822916666666665</v>
      </c>
      <c r="G237" s="100">
        <f t="shared" si="68"/>
        <v>0.13755787037037037</v>
      </c>
      <c r="H237" s="68">
        <v>173</v>
      </c>
      <c r="I237" s="14">
        <f t="shared" si="75"/>
        <v>3.2336123735395008E-3</v>
      </c>
      <c r="J237" s="92">
        <f t="shared" si="76"/>
        <v>5</v>
      </c>
      <c r="K237" s="92">
        <f>IF(J237=0,0,IF(B237="F",VLOOKUP(I237,Barem!$G$2:$H$11,2,1),VLOOKUP(I237,Barem!$G$12:$H$21,2,1)))</f>
        <v>3.5</v>
      </c>
      <c r="L237" s="65" t="str">
        <f>VLOOKUP(C237,Barem!L:Q,6,0)</f>
        <v>D</v>
      </c>
      <c r="M237" s="11">
        <f t="shared" si="77"/>
        <v>0.75</v>
      </c>
      <c r="N237" s="11">
        <f t="shared" si="78"/>
        <v>0.25</v>
      </c>
      <c r="O237" s="49">
        <f t="shared" si="79"/>
        <v>0.11533333333333333</v>
      </c>
      <c r="P237" s="27">
        <f>IF(D237&gt;21,VLOOKUP(D237,Barem!$S$1:$T$141,2,1),0)</f>
        <v>1</v>
      </c>
      <c r="Q237" s="27">
        <f>IF(D237&lt;1.609,0,IF(B237="F",VLOOKUP(I237,Barem!$W$2:$Y$13,2,1),VLOOKUP(I237,Barem!$W$14:$Y$25,2,1)))</f>
        <v>0</v>
      </c>
      <c r="R237" s="27">
        <f>VLOOKUP(A237,Participanti!A:C,3,0)</f>
        <v>0</v>
      </c>
      <c r="S237" s="21">
        <f t="shared" si="80"/>
        <v>5.7403333333333331</v>
      </c>
      <c r="T237" s="82">
        <v>44493</v>
      </c>
      <c r="U237" s="143">
        <f>COUNTIFS(A:A,A237,C:C,C237)</f>
        <v>1</v>
      </c>
      <c r="V237" s="77" t="str">
        <f>VLOOKUP(A237,Data_echipe!A:U,21,0)</f>
        <v>UltraSYR</v>
      </c>
      <c r="X237" s="154">
        <v>1</v>
      </c>
    </row>
    <row r="238" spans="1:24" x14ac:dyDescent="0.25">
      <c r="A238" s="64" t="s">
        <v>153</v>
      </c>
      <c r="B238" s="77" t="str">
        <f>VLOOKUP(A238,Participanti!A:B,2,0)</f>
        <v>F</v>
      </c>
      <c r="C238" s="137">
        <v>7</v>
      </c>
      <c r="D238" s="66">
        <v>7.01</v>
      </c>
      <c r="E238" s="67">
        <v>2.4895833333333336E-2</v>
      </c>
      <c r="F238" s="67">
        <v>2.4895833333333336E-2</v>
      </c>
      <c r="G238" s="100">
        <f t="shared" si="68"/>
        <v>2.4895833333333336E-2</v>
      </c>
      <c r="H238" s="68">
        <v>20</v>
      </c>
      <c r="I238" s="14">
        <f t="shared" si="75"/>
        <v>3.5514740846409893E-3</v>
      </c>
      <c r="J238" s="92">
        <f t="shared" si="76"/>
        <v>1.7524999999999999</v>
      </c>
      <c r="K238" s="92">
        <f>IF(J238=0,0,IF(B238="F",VLOOKUP(I238,Barem!$G$2:$H$11,2,1),VLOOKUP(I238,Barem!$G$12:$H$21,2,1)))</f>
        <v>3.5</v>
      </c>
      <c r="L238" s="110" t="s">
        <v>110</v>
      </c>
      <c r="M238" s="11">
        <f t="shared" si="77"/>
        <v>0.25</v>
      </c>
      <c r="N238" s="11">
        <f t="shared" si="78"/>
        <v>0.75</v>
      </c>
      <c r="O238" s="49">
        <f t="shared" si="79"/>
        <v>0</v>
      </c>
      <c r="P238" s="27">
        <f>IF(D238&gt;21,VLOOKUP(D238,Barem!$S$1:$T$141,2,1),0)</f>
        <v>0</v>
      </c>
      <c r="Q238" s="27">
        <f>IF(D238&lt;1.609,0,IF(B238="F",VLOOKUP(I238,Barem!$W$2:$Y$13,2,1),VLOOKUP(I238,Barem!$W$14:$Y$25,2,1)))</f>
        <v>0</v>
      </c>
      <c r="R238" s="27">
        <f>VLOOKUP(A238,Participanti!A:C,3,0)</f>
        <v>0</v>
      </c>
      <c r="S238" s="21">
        <f t="shared" si="80"/>
        <v>3.0631249999999999</v>
      </c>
      <c r="T238" s="82">
        <v>44488</v>
      </c>
      <c r="U238" s="143">
        <f>COUNTIFS(A:A,A238,C:C,C238)</f>
        <v>1</v>
      </c>
      <c r="V238" s="77" t="str">
        <f>VLOOKUP(A238,Data_echipe!A:U,21,0)</f>
        <v>All Stars</v>
      </c>
      <c r="X238" s="154">
        <v>1</v>
      </c>
    </row>
    <row r="239" spans="1:24" x14ac:dyDescent="0.25">
      <c r="A239" s="64" t="s">
        <v>55</v>
      </c>
      <c r="B239" s="77" t="str">
        <f>VLOOKUP(A239,Participanti!A:B,2,0)</f>
        <v>M</v>
      </c>
      <c r="C239" s="137">
        <v>7</v>
      </c>
      <c r="D239" s="66">
        <v>21.03</v>
      </c>
      <c r="E239" s="67">
        <v>9.3090277777777786E-2</v>
      </c>
      <c r="F239" s="67">
        <v>0.10447916666666666</v>
      </c>
      <c r="G239" s="100">
        <f t="shared" si="68"/>
        <v>9.8784722222222232E-2</v>
      </c>
      <c r="H239" s="68">
        <v>75</v>
      </c>
      <c r="I239" s="14">
        <f t="shared" si="75"/>
        <v>4.6973239287789936E-3</v>
      </c>
      <c r="J239" s="92">
        <f t="shared" si="76"/>
        <v>5</v>
      </c>
      <c r="K239" s="92">
        <f>IF(J239=0,0,IF(B239="F",VLOOKUP(I239,Barem!$G$2:$H$11,2,1),VLOOKUP(I239,Barem!$G$12:$H$21,2,1)))</f>
        <v>1</v>
      </c>
      <c r="L239" s="65" t="str">
        <f>VLOOKUP(C239,Barem!L:Q,6,0)</f>
        <v>D</v>
      </c>
      <c r="M239" s="11">
        <f t="shared" si="77"/>
        <v>0.75</v>
      </c>
      <c r="N239" s="11">
        <f t="shared" si="78"/>
        <v>0.25</v>
      </c>
      <c r="O239" s="49">
        <f t="shared" si="79"/>
        <v>0.05</v>
      </c>
      <c r="P239" s="27">
        <f>IF(D239&gt;21,VLOOKUP(D239,Barem!$S$1:$T$141,2,1),0)</f>
        <v>0</v>
      </c>
      <c r="Q239" s="27">
        <f>IF(D239&lt;1.609,0,IF(B239="F",VLOOKUP(I239,Barem!$W$2:$Y$13,2,1),VLOOKUP(I239,Barem!$W$14:$Y$25,2,1)))</f>
        <v>0</v>
      </c>
      <c r="R239" s="27">
        <f>VLOOKUP(A239,Participanti!A:C,3,0)</f>
        <v>0</v>
      </c>
      <c r="S239" s="21">
        <f t="shared" si="80"/>
        <v>4.05</v>
      </c>
      <c r="T239" s="82">
        <v>44493</v>
      </c>
      <c r="U239" s="143">
        <f>COUNTIFS(A:A,A239,C:C,C239)</f>
        <v>1</v>
      </c>
      <c r="V239" s="77" t="e">
        <f>VLOOKUP(A239,Data_echipe!A:U,21,0)</f>
        <v>#N/A</v>
      </c>
      <c r="X239" s="154">
        <v>1</v>
      </c>
    </row>
    <row r="240" spans="1:24" x14ac:dyDescent="0.25">
      <c r="A240" s="64" t="s">
        <v>239</v>
      </c>
      <c r="B240" s="77" t="str">
        <f>VLOOKUP(A240,Participanti!A:B,2,0)</f>
        <v>M</v>
      </c>
      <c r="C240" s="137">
        <v>7</v>
      </c>
      <c r="D240" s="66">
        <v>18.18</v>
      </c>
      <c r="E240" s="67">
        <v>6.7430555555555563E-2</v>
      </c>
      <c r="F240" s="67">
        <v>6.8414351851851851E-2</v>
      </c>
      <c r="G240" s="100">
        <f t="shared" si="68"/>
        <v>6.79224537037037E-2</v>
      </c>
      <c r="H240" s="68">
        <v>40</v>
      </c>
      <c r="I240" s="14">
        <f t="shared" si="75"/>
        <v>3.7361085645601596E-3</v>
      </c>
      <c r="J240" s="92">
        <f t="shared" si="76"/>
        <v>4.3285714285714283</v>
      </c>
      <c r="K240" s="92">
        <f>IF(J240=0,0,IF(B240="F",VLOOKUP(I240,Barem!$G$2:$H$11,2,1),VLOOKUP(I240,Barem!$G$12:$H$21,2,1)))</f>
        <v>2</v>
      </c>
      <c r="L240" s="65" t="str">
        <f>VLOOKUP(C240,Barem!L:Q,6,0)</f>
        <v>D</v>
      </c>
      <c r="M240" s="11">
        <f t="shared" si="77"/>
        <v>0.75</v>
      </c>
      <c r="N240" s="11">
        <f t="shared" si="78"/>
        <v>0.25</v>
      </c>
      <c r="O240" s="49">
        <f t="shared" si="79"/>
        <v>0</v>
      </c>
      <c r="P240" s="27">
        <f>IF(D240&gt;21,VLOOKUP(D240,Barem!$S$1:$T$141,2,1),0)</f>
        <v>0</v>
      </c>
      <c r="Q240" s="27">
        <f>IF(D240&lt;1.609,0,IF(B240="F",VLOOKUP(I240,Barem!$W$2:$Y$13,2,1),VLOOKUP(I240,Barem!$W$14:$Y$25,2,1)))</f>
        <v>0</v>
      </c>
      <c r="R240" s="27">
        <f>VLOOKUP(A240,Participanti!A:C,3,0)</f>
        <v>0</v>
      </c>
      <c r="S240" s="21">
        <f t="shared" si="80"/>
        <v>3.746428571428571</v>
      </c>
      <c r="T240" s="82">
        <v>44492</v>
      </c>
      <c r="U240" s="143">
        <f>COUNTIFS(A:A,A240,C:C,C240)</f>
        <v>1</v>
      </c>
      <c r="V240" s="77" t="str">
        <f>VLOOKUP(A240,Data_echipe!A:U,21,0)</f>
        <v>All Stars</v>
      </c>
      <c r="X240" s="154">
        <v>1</v>
      </c>
    </row>
    <row r="241" spans="1:24" x14ac:dyDescent="0.25">
      <c r="A241" s="64" t="s">
        <v>103</v>
      </c>
      <c r="B241" s="77" t="str">
        <f>VLOOKUP(A241,Participanti!A:B,2,0)</f>
        <v>F</v>
      </c>
      <c r="C241" s="137">
        <v>7</v>
      </c>
      <c r="D241" s="66">
        <v>15.01</v>
      </c>
      <c r="E241" s="67">
        <v>5.903935185185185E-2</v>
      </c>
      <c r="F241" s="67">
        <v>7.435185185185185E-2</v>
      </c>
      <c r="G241" s="100">
        <f t="shared" si="68"/>
        <v>6.6695601851851846E-2</v>
      </c>
      <c r="H241" s="68">
        <v>2</v>
      </c>
      <c r="I241" s="14">
        <f t="shared" si="75"/>
        <v>4.4434111826683444E-3</v>
      </c>
      <c r="J241" s="92">
        <f t="shared" si="76"/>
        <v>3.7524999999999999</v>
      </c>
      <c r="K241" s="92">
        <f>IF(J241=0,0,IF(B241="F",VLOOKUP(I241,Barem!$G$2:$H$11,2,1),VLOOKUP(I241,Barem!$G$12:$H$21,2,1)))</f>
        <v>1.5</v>
      </c>
      <c r="L241" s="65" t="str">
        <f>VLOOKUP(C241,Barem!L:Q,6,0)</f>
        <v>D</v>
      </c>
      <c r="M241" s="11">
        <f t="shared" si="77"/>
        <v>0.75</v>
      </c>
      <c r="N241" s="11">
        <f t="shared" si="78"/>
        <v>0.25</v>
      </c>
      <c r="O241" s="49">
        <f t="shared" si="79"/>
        <v>0</v>
      </c>
      <c r="P241" s="27">
        <f>IF(D241&gt;21,VLOOKUP(D241,Barem!$S$1:$T$141,2,1),0)</f>
        <v>0</v>
      </c>
      <c r="Q241" s="27">
        <f>IF(D241&lt;1.609,0,IF(B241="F",VLOOKUP(I241,Barem!$W$2:$Y$13,2,1),VLOOKUP(I241,Barem!$W$14:$Y$25,2,1)))</f>
        <v>0</v>
      </c>
      <c r="R241" s="27">
        <f>VLOOKUP(A241,Participanti!A:C,3,0)</f>
        <v>0</v>
      </c>
      <c r="S241" s="21">
        <f t="shared" si="80"/>
        <v>3.1893750000000001</v>
      </c>
      <c r="T241" s="82">
        <v>44493</v>
      </c>
      <c r="U241" s="143">
        <f>COUNTIFS(A:A,A241,C:C,C241)</f>
        <v>1</v>
      </c>
      <c r="V241" s="77" t="str">
        <f>VLOOKUP(A241,Data_echipe!A:U,21,0)</f>
        <v>UltraSYR</v>
      </c>
      <c r="X241" s="154">
        <v>1</v>
      </c>
    </row>
    <row r="242" spans="1:24" x14ac:dyDescent="0.25">
      <c r="A242" s="64" t="s">
        <v>7</v>
      </c>
      <c r="B242" s="77" t="str">
        <f>VLOOKUP(A242,Participanti!A:B,2,0)</f>
        <v>M</v>
      </c>
      <c r="C242" s="137">
        <v>7</v>
      </c>
      <c r="D242" s="66">
        <v>15.3</v>
      </c>
      <c r="E242" s="67">
        <v>5.482638888888889E-2</v>
      </c>
      <c r="F242" s="67">
        <v>5.4872685185185184E-2</v>
      </c>
      <c r="G242" s="100">
        <f t="shared" si="68"/>
        <v>5.4849537037037037E-2</v>
      </c>
      <c r="H242" s="68">
        <v>13</v>
      </c>
      <c r="I242" s="14">
        <f t="shared" si="75"/>
        <v>3.5849370612442504E-3</v>
      </c>
      <c r="J242" s="92">
        <f t="shared" si="76"/>
        <v>3.6428571428571428</v>
      </c>
      <c r="K242" s="92">
        <f>IF(J242=0,0,IF(B242="F",VLOOKUP(I242,Barem!$G$2:$H$11,2,1),VLOOKUP(I242,Barem!$G$12:$H$21,2,1)))</f>
        <v>2.5</v>
      </c>
      <c r="L242" s="65" t="str">
        <f>VLOOKUP(C242,Barem!L:Q,6,0)</f>
        <v>D</v>
      </c>
      <c r="M242" s="11">
        <f t="shared" si="77"/>
        <v>0.75</v>
      </c>
      <c r="N242" s="11">
        <f t="shared" si="78"/>
        <v>0.25</v>
      </c>
      <c r="O242" s="49">
        <f t="shared" si="79"/>
        <v>0</v>
      </c>
      <c r="P242" s="27">
        <f>IF(D242&gt;21,VLOOKUP(D242,Barem!$S$1:$T$141,2,1),0)</f>
        <v>0</v>
      </c>
      <c r="Q242" s="27">
        <f>IF(D242&lt;1.609,0,IF(B242="F",VLOOKUP(I242,Barem!$W$2:$Y$13,2,1),VLOOKUP(I242,Barem!$W$14:$Y$25,2,1)))</f>
        <v>0</v>
      </c>
      <c r="R242" s="27">
        <f>VLOOKUP(A242,Participanti!A:C,3,0)</f>
        <v>0</v>
      </c>
      <c r="S242" s="21">
        <f t="shared" si="80"/>
        <v>3.3571428571428572</v>
      </c>
      <c r="T242" s="82">
        <v>44492</v>
      </c>
      <c r="U242" s="143">
        <f>COUNTIFS(A:A,A242,C:C,C242)</f>
        <v>1</v>
      </c>
      <c r="V242" s="77" t="str">
        <f>VLOOKUP(A242,Data_echipe!A:U,21,0)</f>
        <v>All Stars</v>
      </c>
      <c r="X242" s="154">
        <v>1</v>
      </c>
    </row>
    <row r="243" spans="1:24" x14ac:dyDescent="0.25">
      <c r="A243" s="64" t="s">
        <v>66</v>
      </c>
      <c r="B243" s="77" t="str">
        <f>VLOOKUP(A243,Participanti!A:B,2,0)</f>
        <v>F</v>
      </c>
      <c r="C243" s="137">
        <v>7</v>
      </c>
      <c r="D243" s="66">
        <v>10</v>
      </c>
      <c r="E243" s="67">
        <v>5.0729166666666665E-2</v>
      </c>
      <c r="F243" s="67">
        <v>6.0914351851851851E-2</v>
      </c>
      <c r="G243" s="100">
        <f t="shared" si="68"/>
        <v>5.5821759259259258E-2</v>
      </c>
      <c r="H243" s="68">
        <v>7</v>
      </c>
      <c r="I243" s="14">
        <f t="shared" si="75"/>
        <v>5.5821759259259262E-3</v>
      </c>
      <c r="J243" s="92">
        <f t="shared" si="76"/>
        <v>2.5</v>
      </c>
      <c r="K243" s="92">
        <f>IF(J243=0,0,IF(B243="F",VLOOKUP(I243,Barem!$G$2:$H$11,2,1),VLOOKUP(I243,Barem!$G$12:$H$21,2,1)))</f>
        <v>1</v>
      </c>
      <c r="L243" s="65" t="str">
        <f>VLOOKUP(C243,Barem!L:Q,6,0)</f>
        <v>D</v>
      </c>
      <c r="M243" s="11">
        <f t="shared" si="77"/>
        <v>0.75</v>
      </c>
      <c r="N243" s="11">
        <f t="shared" si="78"/>
        <v>0.25</v>
      </c>
      <c r="O243" s="49">
        <f t="shared" si="79"/>
        <v>0</v>
      </c>
      <c r="P243" s="27">
        <f>IF(D243&gt;21,VLOOKUP(D243,Barem!$S$1:$T$141,2,1),0)</f>
        <v>0</v>
      </c>
      <c r="Q243" s="27">
        <f>IF(D243&lt;1.609,0,IF(B243="F",VLOOKUP(I243,Barem!$W$2:$Y$13,2,1),VLOOKUP(I243,Barem!$W$14:$Y$25,2,1)))</f>
        <v>0</v>
      </c>
      <c r="R243" s="27">
        <f>VLOOKUP(A243,Participanti!A:C,3,0)</f>
        <v>0.7</v>
      </c>
      <c r="S243" s="21">
        <f t="shared" si="80"/>
        <v>2.8250000000000002</v>
      </c>
      <c r="T243" s="82">
        <v>44491</v>
      </c>
      <c r="U243" s="143">
        <f>COUNTIFS(A:A,A243,C:C,C243)</f>
        <v>1</v>
      </c>
      <c r="V243" s="77" t="e">
        <f>VLOOKUP(A243,Data_echipe!A:U,21,0)</f>
        <v>#N/A</v>
      </c>
      <c r="X243" s="154">
        <v>1</v>
      </c>
    </row>
    <row r="244" spans="1:24" x14ac:dyDescent="0.25">
      <c r="A244" s="64" t="s">
        <v>202</v>
      </c>
      <c r="B244" s="77" t="str">
        <f>VLOOKUP(A244,Participanti!A:B,2,0)</f>
        <v>F</v>
      </c>
      <c r="C244" s="137">
        <v>7</v>
      </c>
      <c r="D244" s="66">
        <v>10.01</v>
      </c>
      <c r="E244" s="67">
        <v>4.4386574074074071E-2</v>
      </c>
      <c r="F244" s="67">
        <v>5.4085648148148147E-2</v>
      </c>
      <c r="G244" s="100">
        <f t="shared" si="68"/>
        <v>4.9236111111111105E-2</v>
      </c>
      <c r="H244" s="68">
        <v>17</v>
      </c>
      <c r="I244" s="14">
        <f t="shared" si="75"/>
        <v>4.9186924186924181E-3</v>
      </c>
      <c r="J244" s="92">
        <f t="shared" si="76"/>
        <v>2.5024999999999999</v>
      </c>
      <c r="K244" s="92">
        <f>IF(J244=0,0,IF(B244="F",VLOOKUP(I244,Barem!$G$2:$H$11,2,1),VLOOKUP(I244,Barem!$G$12:$H$21,2,1)))</f>
        <v>1</v>
      </c>
      <c r="L244" s="65" t="str">
        <f>VLOOKUP(C244,Barem!L:Q,6,0)</f>
        <v>D</v>
      </c>
      <c r="M244" s="11">
        <f t="shared" si="77"/>
        <v>0.75</v>
      </c>
      <c r="N244" s="11">
        <f t="shared" si="78"/>
        <v>0.25</v>
      </c>
      <c r="O244" s="49">
        <f t="shared" si="79"/>
        <v>0</v>
      </c>
      <c r="P244" s="27">
        <f>IF(D244&gt;21,VLOOKUP(D244,Barem!$S$1:$T$141,2,1),0)</f>
        <v>0</v>
      </c>
      <c r="Q244" s="27">
        <f>IF(D244&lt;1.609,0,IF(B244="F",VLOOKUP(I244,Barem!$W$2:$Y$13,2,1),VLOOKUP(I244,Barem!$W$14:$Y$25,2,1)))</f>
        <v>0</v>
      </c>
      <c r="R244" s="27">
        <f>VLOOKUP(A244,Participanti!A:C,3,0)</f>
        <v>0</v>
      </c>
      <c r="S244" s="21">
        <f t="shared" si="80"/>
        <v>2.1268750000000001</v>
      </c>
      <c r="T244" s="82">
        <v>44490</v>
      </c>
      <c r="U244" s="143">
        <f>COUNTIFS(A:A,A244,C:C,C244)</f>
        <v>1</v>
      </c>
      <c r="V244" s="77" t="e">
        <f>VLOOKUP(A244,Data_echipe!A:U,21,0)</f>
        <v>#N/A</v>
      </c>
      <c r="X244" s="154">
        <v>1</v>
      </c>
    </row>
    <row r="245" spans="1:24" x14ac:dyDescent="0.25">
      <c r="A245" s="64" t="s">
        <v>50</v>
      </c>
      <c r="B245" s="77" t="str">
        <f>VLOOKUP(A245,Participanti!A:B,2,0)</f>
        <v>M</v>
      </c>
      <c r="C245" s="137">
        <v>7</v>
      </c>
      <c r="D245" s="66">
        <v>13.18</v>
      </c>
      <c r="E245" s="67">
        <v>5.7060185185185186E-2</v>
      </c>
      <c r="F245" s="67">
        <v>7.239583333333334E-2</v>
      </c>
      <c r="G245" s="100">
        <f t="shared" si="68"/>
        <v>6.4728009259259256E-2</v>
      </c>
      <c r="H245" s="68">
        <v>297</v>
      </c>
      <c r="I245" s="14">
        <f t="shared" si="75"/>
        <v>4.9110780925082894E-3</v>
      </c>
      <c r="J245" s="92">
        <f t="shared" si="76"/>
        <v>3.138095238095238</v>
      </c>
      <c r="K245" s="92">
        <f>IF(J245=0,0,IF(B245="F",VLOOKUP(I245,Barem!$G$2:$H$11,2,1),VLOOKUP(I245,Barem!$G$12:$H$21,2,1)))</f>
        <v>1</v>
      </c>
      <c r="L245" s="65" t="str">
        <f>VLOOKUP(C245,Barem!L:Q,6,0)</f>
        <v>D</v>
      </c>
      <c r="M245" s="11">
        <f t="shared" si="77"/>
        <v>0.75</v>
      </c>
      <c r="N245" s="11">
        <f t="shared" si="78"/>
        <v>0.25</v>
      </c>
      <c r="O245" s="49">
        <f t="shared" si="79"/>
        <v>0.19800000000000001</v>
      </c>
      <c r="P245" s="27">
        <f>IF(D245&gt;21,VLOOKUP(D245,Barem!$S$1:$T$141,2,1),0)</f>
        <v>0</v>
      </c>
      <c r="Q245" s="27">
        <f>IF(D245&lt;1.609,0,IF(B245="F",VLOOKUP(I245,Barem!$W$2:$Y$13,2,1),VLOOKUP(I245,Barem!$W$14:$Y$25,2,1)))</f>
        <v>0</v>
      </c>
      <c r="R245" s="27">
        <f>VLOOKUP(A245,Participanti!A:C,3,0)</f>
        <v>0.4</v>
      </c>
      <c r="S245" s="21">
        <f t="shared" si="80"/>
        <v>3.2015714285714285</v>
      </c>
      <c r="T245" s="82">
        <v>44493</v>
      </c>
      <c r="U245" s="143">
        <f>COUNTIFS(A:A,A245,C:C,C245)</f>
        <v>1</v>
      </c>
      <c r="V245" s="77" t="str">
        <f>VLOOKUP(A245,Data_echipe!A:U,21,0)</f>
        <v>UltraSYR</v>
      </c>
      <c r="X245" s="154">
        <v>1</v>
      </c>
    </row>
    <row r="246" spans="1:24" x14ac:dyDescent="0.25">
      <c r="A246" s="64" t="s">
        <v>52</v>
      </c>
      <c r="B246" s="77" t="str">
        <f>VLOOKUP(A246,Participanti!A:B,2,0)</f>
        <v>M</v>
      </c>
      <c r="C246" s="137">
        <v>7</v>
      </c>
      <c r="D246" s="66">
        <v>20.89</v>
      </c>
      <c r="E246" s="67">
        <v>0.1230787037037037</v>
      </c>
      <c r="F246" s="67">
        <v>0.15589120370370371</v>
      </c>
      <c r="G246" s="100">
        <f t="shared" si="68"/>
        <v>0.1394849537037037</v>
      </c>
      <c r="H246" s="68">
        <v>1121</v>
      </c>
      <c r="I246" s="14">
        <f t="shared" si="75"/>
        <v>6.6771160221974005E-3</v>
      </c>
      <c r="J246" s="92">
        <f t="shared" si="76"/>
        <v>4.9738095238095239</v>
      </c>
      <c r="K246" s="92">
        <f>IF(J246=0,0,IF(B246="F",VLOOKUP(I246,Barem!$G$2:$H$11,2,1),VLOOKUP(I246,Barem!$G$12:$H$21,2,1)))</f>
        <v>0</v>
      </c>
      <c r="L246" s="65" t="str">
        <f>VLOOKUP(C246,Barem!L:Q,6,0)</f>
        <v>D</v>
      </c>
      <c r="M246" s="11">
        <f t="shared" si="77"/>
        <v>0.75</v>
      </c>
      <c r="N246" s="11">
        <f t="shared" si="78"/>
        <v>0.25</v>
      </c>
      <c r="O246" s="49">
        <f t="shared" si="79"/>
        <v>0.74733333333333329</v>
      </c>
      <c r="P246" s="27">
        <f>IF(D246&gt;21,VLOOKUP(D246,Barem!$S$1:$T$141,2,1),0)</f>
        <v>0</v>
      </c>
      <c r="Q246" s="27">
        <f>IF(D246&lt;1.609,0,IF(B246="F",VLOOKUP(I246,Barem!$W$2:$Y$13,2,1),VLOOKUP(I246,Barem!$W$14:$Y$25,2,1)))</f>
        <v>0</v>
      </c>
      <c r="R246" s="27">
        <f>VLOOKUP(A246,Participanti!A:C,3,0)</f>
        <v>0</v>
      </c>
      <c r="S246" s="21">
        <f t="shared" si="80"/>
        <v>4.4776904761904763</v>
      </c>
      <c r="T246" s="82">
        <v>44492</v>
      </c>
      <c r="U246" s="143">
        <f>COUNTIFS(A:A,A246,C:C,C246)</f>
        <v>1</v>
      </c>
      <c r="V246" s="77" t="e">
        <f>VLOOKUP(A246,Data_echipe!A:U,21,0)</f>
        <v>#N/A</v>
      </c>
      <c r="X246" s="154"/>
    </row>
    <row r="247" spans="1:24" x14ac:dyDescent="0.25">
      <c r="A247" s="64" t="s">
        <v>100</v>
      </c>
      <c r="B247" s="77" t="str">
        <f>VLOOKUP(A247,Participanti!A:B,2,0)</f>
        <v>F</v>
      </c>
      <c r="C247" s="137">
        <v>7</v>
      </c>
      <c r="D247" s="66">
        <v>10.01</v>
      </c>
      <c r="E247" s="67">
        <v>6.1979166666666669E-2</v>
      </c>
      <c r="F247" s="67">
        <v>6.2569444444444441E-2</v>
      </c>
      <c r="G247" s="100">
        <f t="shared" si="68"/>
        <v>6.2274305555555555E-2</v>
      </c>
      <c r="H247" s="68">
        <v>25</v>
      </c>
      <c r="I247" s="14">
        <f t="shared" si="75"/>
        <v>6.221209346209346E-3</v>
      </c>
      <c r="J247" s="92">
        <f t="shared" si="76"/>
        <v>2.5024999999999999</v>
      </c>
      <c r="K247" s="92">
        <f>IF(J247=0,0,IF(B247="F",VLOOKUP(I247,Barem!$G$2:$H$11,2,1),VLOOKUP(I247,Barem!$G$12:$H$21,2,1)))</f>
        <v>1</v>
      </c>
      <c r="L247" s="65" t="str">
        <f>VLOOKUP(C247,Barem!L:Q,6,0)</f>
        <v>D</v>
      </c>
      <c r="M247" s="11">
        <f t="shared" si="77"/>
        <v>0.75</v>
      </c>
      <c r="N247" s="11">
        <f t="shared" si="78"/>
        <v>0.25</v>
      </c>
      <c r="O247" s="49">
        <f t="shared" si="79"/>
        <v>0</v>
      </c>
      <c r="P247" s="27">
        <f>IF(D247&gt;21,VLOOKUP(D247,Barem!$S$1:$T$141,2,1),0)</f>
        <v>0</v>
      </c>
      <c r="Q247" s="27">
        <f>IF(D247&lt;1.609,0,IF(B247="F",VLOOKUP(I247,Barem!$W$2:$Y$13,2,1),VLOOKUP(I247,Barem!$W$14:$Y$25,2,1)))</f>
        <v>0</v>
      </c>
      <c r="R247" s="27">
        <f>VLOOKUP(A247,Participanti!A:C,3,0)</f>
        <v>0.4</v>
      </c>
      <c r="S247" s="21">
        <f t="shared" si="80"/>
        <v>2.526875</v>
      </c>
      <c r="T247" s="82">
        <v>44488</v>
      </c>
      <c r="U247" s="143">
        <f>COUNTIFS(A:A,A247,C:C,C247)</f>
        <v>1</v>
      </c>
      <c r="V247" s="77" t="str">
        <f>VLOOKUP(A247,Data_echipe!A:U,21,0)</f>
        <v>All Stars</v>
      </c>
      <c r="X247" s="154">
        <v>1</v>
      </c>
    </row>
    <row r="248" spans="1:24" x14ac:dyDescent="0.25">
      <c r="A248" s="64" t="s">
        <v>117</v>
      </c>
      <c r="B248" s="77" t="str">
        <f>VLOOKUP(A248,Participanti!A:B,2,0)</f>
        <v>M</v>
      </c>
      <c r="C248" s="137">
        <v>7</v>
      </c>
      <c r="D248" s="66">
        <v>8.3699999999999992</v>
      </c>
      <c r="E248" s="67">
        <v>4.02662037037037E-2</v>
      </c>
      <c r="F248" s="67">
        <v>4.02662037037037E-2</v>
      </c>
      <c r="G248" s="100">
        <f t="shared" si="68"/>
        <v>4.02662037037037E-2</v>
      </c>
      <c r="H248" s="68">
        <v>4</v>
      </c>
      <c r="I248" s="14">
        <f t="shared" si="75"/>
        <v>4.8107770255321029E-3</v>
      </c>
      <c r="J248" s="92">
        <f t="shared" si="76"/>
        <v>1.9928571428571427</v>
      </c>
      <c r="K248" s="92">
        <f>IF(J248=0,0,IF(B248="F",VLOOKUP(I248,Barem!$G$2:$H$11,2,1),VLOOKUP(I248,Barem!$G$12:$H$21,2,1)))</f>
        <v>1</v>
      </c>
      <c r="L248" s="65" t="str">
        <f>VLOOKUP(C248,Barem!L:Q,6,0)</f>
        <v>D</v>
      </c>
      <c r="M248" s="11">
        <f t="shared" si="77"/>
        <v>0.75</v>
      </c>
      <c r="N248" s="11">
        <f t="shared" si="78"/>
        <v>0.25</v>
      </c>
      <c r="O248" s="49">
        <f t="shared" si="79"/>
        <v>0</v>
      </c>
      <c r="P248" s="27">
        <f>IF(D248&gt;21,VLOOKUP(D248,Barem!$S$1:$T$141,2,1),0)</f>
        <v>0</v>
      </c>
      <c r="Q248" s="27">
        <f>IF(D248&lt;1.609,0,IF(B248="F",VLOOKUP(I248,Barem!$W$2:$Y$13,2,1),VLOOKUP(I248,Barem!$W$14:$Y$25,2,1)))</f>
        <v>0</v>
      </c>
      <c r="R248" s="27">
        <f>VLOOKUP(A248,Participanti!A:C,3,0)</f>
        <v>0</v>
      </c>
      <c r="S248" s="21">
        <f t="shared" si="80"/>
        <v>1.7446428571428569</v>
      </c>
      <c r="T248" s="82">
        <v>44492</v>
      </c>
      <c r="U248" s="143">
        <f>COUNTIFS(A:A,A248,C:C,C248)</f>
        <v>1</v>
      </c>
      <c r="V248" s="77" t="str">
        <f>VLOOKUP(A248,Data_echipe!A:U,21,0)</f>
        <v>UltraSYR</v>
      </c>
      <c r="X248" s="154">
        <v>1</v>
      </c>
    </row>
    <row r="249" spans="1:24" s="127" customFormat="1" x14ac:dyDescent="0.25">
      <c r="A249" s="113" t="s">
        <v>60</v>
      </c>
      <c r="B249" s="114" t="str">
        <f>VLOOKUP(A249,Participanti!A:B,2,0)</f>
        <v>M</v>
      </c>
      <c r="C249" s="138">
        <v>7</v>
      </c>
      <c r="D249" s="116">
        <v>10.029999999999999</v>
      </c>
      <c r="E249" s="117">
        <v>4.6828703703703706E-2</v>
      </c>
      <c r="F249" s="117">
        <v>4.6828703703703706E-2</v>
      </c>
      <c r="G249" s="118">
        <f t="shared" si="68"/>
        <v>4.6828703703703706E-2</v>
      </c>
      <c r="H249" s="119">
        <v>8</v>
      </c>
      <c r="I249" s="120">
        <f t="shared" si="75"/>
        <v>4.6688637790332707E-3</v>
      </c>
      <c r="J249" s="121">
        <f t="shared" si="76"/>
        <v>2.388095238095238</v>
      </c>
      <c r="K249" s="121">
        <f>IF(J249=0,0,IF(B249="F",VLOOKUP(I249,Barem!$G$2:$H$11,2,1),VLOOKUP(I249,Barem!$G$12:$H$21,2,1)))</f>
        <v>1</v>
      </c>
      <c r="L249" s="115" t="str">
        <f>VLOOKUP(C249,Barem!L:Q,6,0)</f>
        <v>D</v>
      </c>
      <c r="M249" s="122">
        <f t="shared" si="77"/>
        <v>0.75</v>
      </c>
      <c r="N249" s="122">
        <f t="shared" si="78"/>
        <v>0.25</v>
      </c>
      <c r="O249" s="123">
        <f t="shared" si="79"/>
        <v>0</v>
      </c>
      <c r="P249" s="124">
        <f>IF(D249&gt;21,VLOOKUP(D249,Barem!$S$1:$T$141,2,1),0)</f>
        <v>0</v>
      </c>
      <c r="Q249" s="124">
        <f>IF(D249&lt;1.609,0,IF(B249="F",VLOOKUP(I249,Barem!$W$2:$Y$13,2,1),VLOOKUP(I249,Barem!$W$14:$Y$25,2,1)))</f>
        <v>0</v>
      </c>
      <c r="R249" s="124">
        <f>VLOOKUP(A249,Participanti!A:C,3,0)</f>
        <v>0</v>
      </c>
      <c r="S249" s="125">
        <f t="shared" si="80"/>
        <v>2.0410714285714286</v>
      </c>
      <c r="T249" s="126">
        <v>44487</v>
      </c>
      <c r="U249" s="144">
        <f>COUNTIFS(A:A,A249,C:C,C249)</f>
        <v>1</v>
      </c>
      <c r="V249" s="114" t="e">
        <f>VLOOKUP(A249,Data_echipe!A:U,21,0)</f>
        <v>#N/A</v>
      </c>
      <c r="X249" s="154">
        <v>1</v>
      </c>
    </row>
    <row r="250" spans="1:24" x14ac:dyDescent="0.25">
      <c r="A250" s="64" t="s">
        <v>242</v>
      </c>
      <c r="B250" s="77" t="str">
        <f>VLOOKUP(A250,Participanti!A:B,2,0)</f>
        <v>M</v>
      </c>
      <c r="C250" s="137">
        <v>8</v>
      </c>
      <c r="D250" s="66">
        <v>35.01</v>
      </c>
      <c r="E250" s="67">
        <v>0.1038425925925926</v>
      </c>
      <c r="F250" s="67">
        <v>0.10393518518518519</v>
      </c>
      <c r="G250" s="100">
        <f t="shared" ref="G250:G306" si="81">AVERAGE(E250:F250)</f>
        <v>0.10388888888888889</v>
      </c>
      <c r="H250" s="68">
        <v>364</v>
      </c>
      <c r="I250" s="14">
        <f t="shared" ref="I250:I278" si="82">G250/D250</f>
        <v>2.967406137928846E-3</v>
      </c>
      <c r="J250" s="92">
        <f t="shared" ref="J250:J278" si="83">IF(B250="F",IF(D250&lt;2.5,0,IF(D250&gt;19.99,5,D250/4)),IF(D250&lt;3,0, IF(D250&gt;20.99,5,D250/4.2)))</f>
        <v>5</v>
      </c>
      <c r="K250" s="92">
        <f>IF(J250=0,0,IF(B250="F",VLOOKUP(I250,Barem!$G$2:$H$11,2,1),VLOOKUP(I250,Barem!$G$12:$H$21,2,1)))</f>
        <v>4</v>
      </c>
      <c r="L250" s="110" t="s">
        <v>109</v>
      </c>
      <c r="M250" s="11">
        <f t="shared" ref="M250:M278" si="84">IF(OR(L250="P1",L250="P2",L250="P3"),"",IF(C250=15,0.5,IF(L250="D",0.75,0.25)))</f>
        <v>0.75</v>
      </c>
      <c r="N250" s="11">
        <f t="shared" ref="N250:N278" si="85">IF(OR(L250="P1",L250="P2",L250="P3"),"",IF(C250=15,0.5,IF(L250="V",0.75,0.25)))</f>
        <v>0.25</v>
      </c>
      <c r="O250" s="49">
        <f t="shared" ref="O250:O278" si="86">IF(H250&lt;-49,H250/1500,IF(H250&gt;49,H250/1500,0))</f>
        <v>0.24266666666666667</v>
      </c>
      <c r="P250" s="27">
        <f>IF(D250&gt;21,VLOOKUP(D250,Barem!$S$1:$T$141,2,1),0)</f>
        <v>0.7</v>
      </c>
      <c r="Q250" s="27">
        <f>IF(D250&lt;1.609,0,IF(B250="F",VLOOKUP(I250,Barem!$W$2:$Y$13,2,1),VLOOKUP(I250,Barem!$W$14:$Y$25,2,1)))</f>
        <v>0</v>
      </c>
      <c r="R250" s="27">
        <f>VLOOKUP(A250,Participanti!A:C,3,0)</f>
        <v>0</v>
      </c>
      <c r="S250" s="21">
        <f t="shared" ref="S250:S278" si="87">J250*M250+K250*N250+O250+P250+Q250+R250</f>
        <v>5.6926666666666668</v>
      </c>
      <c r="T250" s="82">
        <v>44495</v>
      </c>
      <c r="U250" s="143">
        <f>COUNTIFS(A:A,A250,C:C,C250)</f>
        <v>1</v>
      </c>
      <c r="V250" s="77" t="str">
        <f>VLOOKUP(A250,Data_echipe!A:U,21,0)</f>
        <v>All Stars</v>
      </c>
      <c r="W250" s="23" t="s">
        <v>304</v>
      </c>
      <c r="X250" s="154">
        <v>1</v>
      </c>
    </row>
    <row r="251" spans="1:24" x14ac:dyDescent="0.25">
      <c r="A251" s="64" t="s">
        <v>152</v>
      </c>
      <c r="B251" s="77" t="str">
        <f>VLOOKUP(A251,Participanti!A:B,2,0)</f>
        <v>F</v>
      </c>
      <c r="C251" s="137">
        <v>8</v>
      </c>
      <c r="D251" s="66">
        <v>10.06</v>
      </c>
      <c r="E251" s="67">
        <v>3.2997685185185185E-2</v>
      </c>
      <c r="F251" s="67">
        <v>3.3275462962962958E-2</v>
      </c>
      <c r="G251" s="100">
        <f t="shared" si="81"/>
        <v>3.3136574074074068E-2</v>
      </c>
      <c r="H251" s="68">
        <v>75</v>
      </c>
      <c r="I251" s="14">
        <f t="shared" si="82"/>
        <v>3.2938940431485155E-3</v>
      </c>
      <c r="J251" s="92">
        <f t="shared" si="83"/>
        <v>2.5150000000000001</v>
      </c>
      <c r="K251" s="92">
        <f>IF(J251=0,0,IF(B251="F",VLOOKUP(I251,Barem!$G$2:$H$11,2,1),VLOOKUP(I251,Barem!$G$12:$H$21,2,1)))</f>
        <v>4.5</v>
      </c>
      <c r="L251" s="65" t="str">
        <f>VLOOKUP(C251,Barem!L:Q,6,0)</f>
        <v>V</v>
      </c>
      <c r="M251" s="11">
        <f t="shared" si="84"/>
        <v>0.25</v>
      </c>
      <c r="N251" s="11">
        <f t="shared" si="85"/>
        <v>0.75</v>
      </c>
      <c r="O251" s="49">
        <f t="shared" si="86"/>
        <v>0.05</v>
      </c>
      <c r="P251" s="27">
        <f>IF(D251&gt;21,VLOOKUP(D251,Barem!$S$1:$T$141,2,1),0)</f>
        <v>0</v>
      </c>
      <c r="Q251" s="27">
        <f>IF(D251&lt;1.609,0,IF(B251="F",VLOOKUP(I251,Barem!$W$2:$Y$13,2,1),VLOOKUP(I251,Barem!$W$14:$Y$25,2,1)))</f>
        <v>0</v>
      </c>
      <c r="R251" s="27">
        <f>VLOOKUP(A251,Participanti!A:C,3,0)</f>
        <v>0</v>
      </c>
      <c r="S251" s="21">
        <f t="shared" si="87"/>
        <v>4.05375</v>
      </c>
      <c r="T251" s="82">
        <v>44495</v>
      </c>
      <c r="U251" s="143">
        <f>COUNTIFS(A:A,A251,C:C,C251)</f>
        <v>1</v>
      </c>
      <c r="V251" s="77" t="str">
        <f>VLOOKUP(A251,Data_echipe!A:U,21,0)</f>
        <v>All Stars</v>
      </c>
      <c r="X251" s="154">
        <v>1</v>
      </c>
    </row>
    <row r="252" spans="1:24" x14ac:dyDescent="0.25">
      <c r="A252" s="64" t="s">
        <v>203</v>
      </c>
      <c r="B252" s="77" t="str">
        <f>VLOOKUP(A252,Participanti!A:B,2,0)</f>
        <v>M</v>
      </c>
      <c r="C252" s="137">
        <v>8</v>
      </c>
      <c r="D252" s="66">
        <v>10.050000000000001</v>
      </c>
      <c r="E252" s="67">
        <v>2.6006944444444447E-2</v>
      </c>
      <c r="F252" s="67">
        <v>2.6006944444444447E-2</v>
      </c>
      <c r="G252" s="100">
        <f t="shared" si="81"/>
        <v>2.6006944444444447E-2</v>
      </c>
      <c r="H252" s="68">
        <v>20</v>
      </c>
      <c r="I252" s="14">
        <f t="shared" si="82"/>
        <v>2.5877556661138752E-3</v>
      </c>
      <c r="J252" s="92">
        <f t="shared" si="83"/>
        <v>2.3928571428571428</v>
      </c>
      <c r="K252" s="92">
        <f>IF(J252=0,0,IF(B252="F",VLOOKUP(I252,Barem!$G$2:$H$11,2,1),VLOOKUP(I252,Barem!$G$12:$H$21,2,1)))</f>
        <v>5</v>
      </c>
      <c r="L252" s="65" t="str">
        <f>VLOOKUP(C252,Barem!L:Q,6,0)</f>
        <v>V</v>
      </c>
      <c r="M252" s="11">
        <f t="shared" si="84"/>
        <v>0.25</v>
      </c>
      <c r="N252" s="11">
        <f t="shared" si="85"/>
        <v>0.75</v>
      </c>
      <c r="O252" s="49">
        <f t="shared" si="86"/>
        <v>0</v>
      </c>
      <c r="P252" s="27">
        <f>IF(D252&gt;21,VLOOKUP(D252,Barem!$S$1:$T$141,2,1),0)</f>
        <v>0</v>
      </c>
      <c r="Q252" s="27">
        <f>IF(D252&lt;1.609,0,IF(B252="F",VLOOKUP(I252,Barem!$W$2:$Y$13,2,1),VLOOKUP(I252,Barem!$W$14:$Y$25,2,1)))</f>
        <v>1.4999999999999998</v>
      </c>
      <c r="R252" s="27">
        <f>VLOOKUP(A252,Participanti!A:C,3,0)</f>
        <v>0</v>
      </c>
      <c r="S252" s="21">
        <f t="shared" si="87"/>
        <v>5.8482142857142856</v>
      </c>
      <c r="T252" s="82">
        <v>44500</v>
      </c>
      <c r="U252" s="143">
        <f>COUNTIFS(A:A,A252,C:C,C252)</f>
        <v>1</v>
      </c>
      <c r="V252" s="77" t="str">
        <f>VLOOKUP(A252,Data_echipe!A:U,21,0)</f>
        <v>All Stars</v>
      </c>
      <c r="X252" s="154">
        <v>1</v>
      </c>
    </row>
    <row r="253" spans="1:24" x14ac:dyDescent="0.25">
      <c r="A253" s="64" t="s">
        <v>80</v>
      </c>
      <c r="B253" s="77" t="str">
        <f>VLOOKUP(A253,Participanti!A:B,2,0)</f>
        <v>M</v>
      </c>
      <c r="C253" s="137">
        <v>8</v>
      </c>
      <c r="D253" s="66">
        <v>36.43</v>
      </c>
      <c r="E253" s="67">
        <v>0.32087962962962963</v>
      </c>
      <c r="F253" s="67">
        <v>0.36140046296296297</v>
      </c>
      <c r="G253" s="100">
        <f>AVERAGE(E253:F253)</f>
        <v>0.3411400462962963</v>
      </c>
      <c r="H253" s="68">
        <v>2174</v>
      </c>
      <c r="I253" s="14">
        <f>G253/D253</f>
        <v>9.364261495918097E-3</v>
      </c>
      <c r="J253" s="92">
        <f>IF(B253="F",IF(D253&lt;2.5,0,IF(D253&gt;19.99,5,D253/4)),IF(D253&lt;3,0, IF(D253&gt;20.99,5,D253/4.2)))</f>
        <v>5</v>
      </c>
      <c r="K253" s="92">
        <f>IF(J253=0,0,IF(B253="F",VLOOKUP(I253,Barem!$G$2:$H$11,2,1),VLOOKUP(I253,Barem!$G$12:$H$21,2,1)))</f>
        <v>0</v>
      </c>
      <c r="L253" s="110" t="s">
        <v>109</v>
      </c>
      <c r="M253" s="11">
        <f>IF(OR(L253="P1",L253="P2",L253="P3"),"",IF(C253=15,0.5,IF(L253="D",0.75,0.25)))</f>
        <v>0.75</v>
      </c>
      <c r="N253" s="11">
        <f>IF(OR(L253="P1",L253="P2",L253="P3"),"",IF(C253=15,0.5,IF(L253="V",0.75,0.25)))</f>
        <v>0.25</v>
      </c>
      <c r="O253" s="49">
        <f>IF(H253&lt;-49,H253/1500,IF(H253&gt;49,H253/1500,0))</f>
        <v>1.4493333333333334</v>
      </c>
      <c r="P253" s="27">
        <f>IF(D253&gt;21,VLOOKUP(D253,Barem!$S$1:$T$141,2,1),0)</f>
        <v>0.7</v>
      </c>
      <c r="Q253" s="27">
        <f>IF(D253&lt;1.609,0,IF(B253="F",VLOOKUP(I253,Barem!$W$2:$Y$13,2,1),VLOOKUP(I253,Barem!$W$14:$Y$25,2,1)))</f>
        <v>0</v>
      </c>
      <c r="R253" s="27">
        <f>VLOOKUP(A253,Participanti!A:C,3,0)</f>
        <v>0.4</v>
      </c>
      <c r="S253" s="21">
        <f>J253*M253+K253*N253+O253+P253+Q253+R253</f>
        <v>6.2993333333333341</v>
      </c>
      <c r="T253" s="82">
        <v>44500</v>
      </c>
      <c r="U253" s="143">
        <f>COUNTIFS(A:A,A253,C:C,C253)</f>
        <v>1</v>
      </c>
      <c r="V253" s="77" t="str">
        <f>VLOOKUP(A253,Data_echipe!A:U,21,0)</f>
        <v>UltraSYR</v>
      </c>
      <c r="X253" s="154"/>
    </row>
    <row r="254" spans="1:24" x14ac:dyDescent="0.25">
      <c r="A254" s="64" t="s">
        <v>51</v>
      </c>
      <c r="B254" s="77" t="str">
        <f>VLOOKUP(A254,Participanti!A:B,2,0)</f>
        <v>M</v>
      </c>
      <c r="C254" s="137">
        <v>8</v>
      </c>
      <c r="D254" s="66">
        <v>21.22</v>
      </c>
      <c r="E254" s="67">
        <v>7.1840277777777781E-2</v>
      </c>
      <c r="F254" s="67">
        <v>7.1840277777777781E-2</v>
      </c>
      <c r="G254" s="100">
        <f t="shared" si="81"/>
        <v>7.1840277777777781E-2</v>
      </c>
      <c r="H254" s="68">
        <v>47</v>
      </c>
      <c r="I254" s="14">
        <f t="shared" si="82"/>
        <v>3.3854984815163895E-3</v>
      </c>
      <c r="J254" s="92">
        <f t="shared" si="83"/>
        <v>5</v>
      </c>
      <c r="K254" s="92">
        <f>IF(J254=0,0,IF(B254="F",VLOOKUP(I254,Barem!$G$2:$H$11,2,1),VLOOKUP(I254,Barem!$G$12:$H$21,2,1)))</f>
        <v>3</v>
      </c>
      <c r="L254" s="65" t="str">
        <f>VLOOKUP(C254,Barem!L:Q,6,0)</f>
        <v>V</v>
      </c>
      <c r="M254" s="11">
        <f t="shared" si="84"/>
        <v>0.25</v>
      </c>
      <c r="N254" s="11">
        <f t="shared" si="85"/>
        <v>0.75</v>
      </c>
      <c r="O254" s="49">
        <f t="shared" si="86"/>
        <v>0</v>
      </c>
      <c r="P254" s="27">
        <f>IF(D254&gt;21,VLOOKUP(D254,Barem!$S$1:$T$141,2,1),0)</f>
        <v>0</v>
      </c>
      <c r="Q254" s="27">
        <f>IF(D254&lt;1.609,0,IF(B254="F",VLOOKUP(I254,Barem!$W$2:$Y$13,2,1),VLOOKUP(I254,Barem!$W$14:$Y$25,2,1)))</f>
        <v>0</v>
      </c>
      <c r="R254" s="27">
        <f>VLOOKUP(A254,Participanti!A:C,3,0)</f>
        <v>0</v>
      </c>
      <c r="S254" s="21">
        <f t="shared" si="87"/>
        <v>3.5</v>
      </c>
      <c r="T254" s="82">
        <v>44500</v>
      </c>
      <c r="U254" s="143">
        <f>COUNTIFS(A:A,A254,C:C,C254)</f>
        <v>1</v>
      </c>
      <c r="V254" s="77" t="str">
        <f>VLOOKUP(A254,Data_echipe!A:U,21,0)</f>
        <v>UltraSYR</v>
      </c>
      <c r="X254" s="154">
        <v>1</v>
      </c>
    </row>
    <row r="255" spans="1:24" x14ac:dyDescent="0.25">
      <c r="A255" s="64" t="s">
        <v>53</v>
      </c>
      <c r="B255" s="77" t="str">
        <f>VLOOKUP(A255,Participanti!A:B,2,0)</f>
        <v>M</v>
      </c>
      <c r="C255" s="137">
        <v>8</v>
      </c>
      <c r="D255" s="66">
        <v>10.01</v>
      </c>
      <c r="E255" s="67">
        <v>2.7893518518518515E-2</v>
      </c>
      <c r="F255" s="67">
        <v>2.7893518518518515E-2</v>
      </c>
      <c r="G255" s="100">
        <f t="shared" si="81"/>
        <v>2.7893518518518515E-2</v>
      </c>
      <c r="H255" s="68">
        <v>30</v>
      </c>
      <c r="I255" s="14">
        <f t="shared" si="82"/>
        <v>2.7865652865652862E-3</v>
      </c>
      <c r="J255" s="92">
        <f t="shared" si="83"/>
        <v>2.3833333333333333</v>
      </c>
      <c r="K255" s="92">
        <f>IF(J255=0,0,IF(B255="F",VLOOKUP(I255,Barem!$G$2:$H$11,2,1),VLOOKUP(I255,Barem!$G$12:$H$21,2,1)))</f>
        <v>5</v>
      </c>
      <c r="L255" s="65" t="str">
        <f>VLOOKUP(C255,Barem!L:Q,6,0)</f>
        <v>V</v>
      </c>
      <c r="M255" s="11">
        <f t="shared" si="84"/>
        <v>0.25</v>
      </c>
      <c r="N255" s="11">
        <f t="shared" si="85"/>
        <v>0.75</v>
      </c>
      <c r="O255" s="49">
        <f t="shared" si="86"/>
        <v>0</v>
      </c>
      <c r="P255" s="27">
        <f>IF(D255&gt;21,VLOOKUP(D255,Barem!$S$1:$T$141,2,1),0)</f>
        <v>0</v>
      </c>
      <c r="Q255" s="27">
        <f>IF(D255&lt;1.609,0,IF(B255="F",VLOOKUP(I255,Barem!$W$2:$Y$13,2,1),VLOOKUP(I255,Barem!$W$14:$Y$25,2,1)))</f>
        <v>0</v>
      </c>
      <c r="R255" s="27">
        <f>VLOOKUP(A255,Participanti!A:C,3,0)</f>
        <v>0</v>
      </c>
      <c r="S255" s="21">
        <f t="shared" si="87"/>
        <v>4.3458333333333332</v>
      </c>
      <c r="T255" s="82">
        <v>44497</v>
      </c>
      <c r="U255" s="143">
        <f>COUNTIFS(A:A,A255,C:C,C255)</f>
        <v>1</v>
      </c>
      <c r="V255" s="77" t="str">
        <f>VLOOKUP(A255,Data_echipe!A:U,21,0)</f>
        <v>UltraSYR</v>
      </c>
      <c r="X255" s="154">
        <v>1</v>
      </c>
    </row>
    <row r="256" spans="1:24" x14ac:dyDescent="0.25">
      <c r="A256" s="64" t="s">
        <v>211</v>
      </c>
      <c r="B256" s="77" t="str">
        <f>VLOOKUP(A256,Participanti!A:B,2,0)</f>
        <v>F</v>
      </c>
      <c r="C256" s="137">
        <v>8</v>
      </c>
      <c r="D256" s="66">
        <v>20.45</v>
      </c>
      <c r="E256" s="67">
        <v>8.0428240740740745E-2</v>
      </c>
      <c r="F256" s="67">
        <v>8.8888888888888892E-2</v>
      </c>
      <c r="G256" s="100">
        <f t="shared" si="81"/>
        <v>8.4658564814814818E-2</v>
      </c>
      <c r="H256" s="68">
        <v>208</v>
      </c>
      <c r="I256" s="14">
        <f t="shared" si="82"/>
        <v>4.1397831205288423E-3</v>
      </c>
      <c r="J256" s="92">
        <f t="shared" si="83"/>
        <v>5</v>
      </c>
      <c r="K256" s="92">
        <f>IF(J256=0,0,IF(B256="F",VLOOKUP(I256,Barem!$G$2:$H$11,2,1),VLOOKUP(I256,Barem!$G$12:$H$21,2,1)))</f>
        <v>2</v>
      </c>
      <c r="L256" s="110" t="s">
        <v>109</v>
      </c>
      <c r="M256" s="11">
        <f t="shared" si="84"/>
        <v>0.75</v>
      </c>
      <c r="N256" s="11">
        <f t="shared" si="85"/>
        <v>0.25</v>
      </c>
      <c r="O256" s="49">
        <f t="shared" si="86"/>
        <v>0.13866666666666666</v>
      </c>
      <c r="P256" s="27">
        <f>IF(D256&gt;21,VLOOKUP(D256,Barem!$S$1:$T$141,2,1),0)</f>
        <v>0</v>
      </c>
      <c r="Q256" s="27">
        <f>IF(D256&lt;1.609,0,IF(B256="F",VLOOKUP(I256,Barem!$W$2:$Y$13,2,1),VLOOKUP(I256,Barem!$W$14:$Y$25,2,1)))</f>
        <v>0</v>
      </c>
      <c r="R256" s="27">
        <f>VLOOKUP(A256,Participanti!A:C,3,0)</f>
        <v>0</v>
      </c>
      <c r="S256" s="21">
        <f t="shared" si="87"/>
        <v>4.3886666666666665</v>
      </c>
      <c r="T256" s="82">
        <v>44499</v>
      </c>
      <c r="U256" s="143">
        <f>COUNTIFS(A:A,A256,C:C,C256)</f>
        <v>1</v>
      </c>
      <c r="V256" s="77" t="str">
        <f>VLOOKUP(A256,Data_echipe!A:U,21,0)</f>
        <v>UltraSYR</v>
      </c>
      <c r="X256" s="154">
        <v>1</v>
      </c>
    </row>
    <row r="257" spans="1:24" x14ac:dyDescent="0.25">
      <c r="A257" s="64" t="s">
        <v>119</v>
      </c>
      <c r="B257" s="77" t="str">
        <f>VLOOKUP(A257,Participanti!A:B,2,0)</f>
        <v>M</v>
      </c>
      <c r="C257" s="137">
        <v>8</v>
      </c>
      <c r="D257" s="66">
        <v>19.399999999999999</v>
      </c>
      <c r="E257" s="67">
        <v>6.7696759259259262E-2</v>
      </c>
      <c r="F257" s="67">
        <v>6.9375000000000006E-2</v>
      </c>
      <c r="G257" s="100">
        <f>AVERAGE(E257:F257)</f>
        <v>6.8535879629629634E-2</v>
      </c>
      <c r="H257" s="68">
        <v>4</v>
      </c>
      <c r="I257" s="14">
        <f>G257/D257</f>
        <v>3.532777300496373E-3</v>
      </c>
      <c r="J257" s="92">
        <f>IF(B257="F",IF(D257&lt;2.5,0,IF(D257&gt;19.99,5,D257/4)),IF(D257&lt;3,0, IF(D257&gt;20.99,5,D257/4.2)))</f>
        <v>4.6190476190476186</v>
      </c>
      <c r="K257" s="92">
        <f>IF(J257=0,0,IF(B257="F",VLOOKUP(I257,Barem!$G$2:$H$11,2,1),VLOOKUP(I257,Barem!$G$12:$H$21,2,1)))</f>
        <v>2.5</v>
      </c>
      <c r="L257" s="110" t="s">
        <v>109</v>
      </c>
      <c r="M257" s="11">
        <f>IF(OR(L257="P1",L257="P2",L257="P3"),"",IF(C257=15,0.5,IF(L257="D",0.75,0.25)))</f>
        <v>0.75</v>
      </c>
      <c r="N257" s="11">
        <f>IF(OR(L257="P1",L257="P2",L257="P3"),"",IF(C257=15,0.5,IF(L257="V",0.75,0.25)))</f>
        <v>0.25</v>
      </c>
      <c r="O257" s="49">
        <f>IF(H257&lt;-49,H257/1500,IF(H257&gt;49,H257/1500,0))</f>
        <v>0</v>
      </c>
      <c r="P257" s="27">
        <f>IF(D257&gt;21,VLOOKUP(D257,Barem!$S$1:$T$141,2,1),0)</f>
        <v>0</v>
      </c>
      <c r="Q257" s="27">
        <f>IF(D257&lt;1.609,0,IF(B257="F",VLOOKUP(I257,Barem!$W$2:$Y$13,2,1),VLOOKUP(I257,Barem!$W$14:$Y$25,2,1)))</f>
        <v>0</v>
      </c>
      <c r="R257" s="27">
        <f>VLOOKUP(A257,Participanti!A:C,3,0)</f>
        <v>0</v>
      </c>
      <c r="S257" s="21">
        <f>J257*M257+K257*N257+O257+P257+Q257+R257</f>
        <v>4.0892857142857135</v>
      </c>
      <c r="T257" s="82">
        <v>44500</v>
      </c>
      <c r="U257" s="143">
        <f>COUNTIFS(A:A,A257,C:C,C257)</f>
        <v>1</v>
      </c>
      <c r="V257" s="77" t="e">
        <f>VLOOKUP(A257,Data_echipe!A:U,21,0)</f>
        <v>#N/A</v>
      </c>
      <c r="X257" s="154">
        <v>1</v>
      </c>
    </row>
    <row r="258" spans="1:24" x14ac:dyDescent="0.25">
      <c r="A258" s="64" t="s">
        <v>111</v>
      </c>
      <c r="B258" s="77" t="str">
        <f>VLOOKUP(A258,Participanti!A:B,2,0)</f>
        <v>M</v>
      </c>
      <c r="C258" s="137">
        <v>8</v>
      </c>
      <c r="D258" s="66">
        <v>25.3</v>
      </c>
      <c r="E258" s="67">
        <v>8.6701388888888897E-2</v>
      </c>
      <c r="F258" s="67">
        <v>0.10164351851851851</v>
      </c>
      <c r="G258" s="100">
        <f t="shared" si="81"/>
        <v>9.4172453703703696E-2</v>
      </c>
      <c r="H258" s="68">
        <v>32</v>
      </c>
      <c r="I258" s="14">
        <f t="shared" si="82"/>
        <v>3.722231371687893E-3</v>
      </c>
      <c r="J258" s="92">
        <f t="shared" si="83"/>
        <v>5</v>
      </c>
      <c r="K258" s="92">
        <f>IF(J258=0,0,IF(B258="F",VLOOKUP(I258,Barem!$G$2:$H$11,2,1),VLOOKUP(I258,Barem!$G$12:$H$21,2,1)))</f>
        <v>2</v>
      </c>
      <c r="L258" s="110" t="s">
        <v>109</v>
      </c>
      <c r="M258" s="11">
        <f t="shared" si="84"/>
        <v>0.75</v>
      </c>
      <c r="N258" s="11">
        <f t="shared" si="85"/>
        <v>0.25</v>
      </c>
      <c r="O258" s="49">
        <f t="shared" si="86"/>
        <v>0</v>
      </c>
      <c r="P258" s="27">
        <f>IF(D258&gt;21,VLOOKUP(D258,Barem!$S$1:$T$141,2,1),0)</f>
        <v>0.2</v>
      </c>
      <c r="Q258" s="27">
        <f>IF(D258&lt;1.609,0,IF(B258="F",VLOOKUP(I258,Barem!$W$2:$Y$13,2,1),VLOOKUP(I258,Barem!$W$14:$Y$25,2,1)))</f>
        <v>0</v>
      </c>
      <c r="R258" s="27">
        <f>VLOOKUP(A258,Participanti!A:C,3,0)</f>
        <v>0</v>
      </c>
      <c r="S258" s="21">
        <f t="shared" si="87"/>
        <v>4.45</v>
      </c>
      <c r="T258" s="82">
        <v>44499</v>
      </c>
      <c r="U258" s="143">
        <f>COUNTIFS(A:A,A258,C:C,C258)</f>
        <v>1</v>
      </c>
      <c r="V258" s="77" t="str">
        <f>VLOOKUP(A258,Data_echipe!A:U,21,0)</f>
        <v>UltraSYR</v>
      </c>
      <c r="X258" s="154">
        <v>1</v>
      </c>
    </row>
    <row r="259" spans="1:24" x14ac:dyDescent="0.25">
      <c r="A259" s="64" t="s">
        <v>240</v>
      </c>
      <c r="B259" s="77" t="str">
        <f>VLOOKUP(A259,Participanti!A:B,2,0)</f>
        <v>M</v>
      </c>
      <c r="C259" s="137">
        <v>8</v>
      </c>
      <c r="D259" s="66">
        <v>30.03</v>
      </c>
      <c r="E259" s="67">
        <v>9.8182870370370365E-2</v>
      </c>
      <c r="F259" s="67">
        <v>0.10002314814814815</v>
      </c>
      <c r="G259" s="100">
        <f t="shared" si="81"/>
        <v>9.9103009259259259E-2</v>
      </c>
      <c r="H259" s="68">
        <v>91</v>
      </c>
      <c r="I259" s="14">
        <f t="shared" si="82"/>
        <v>3.3001335084668418E-3</v>
      </c>
      <c r="J259" s="92">
        <f t="shared" si="83"/>
        <v>5</v>
      </c>
      <c r="K259" s="92">
        <f>IF(J259=0,0,IF(B259="F",VLOOKUP(I259,Barem!$G$2:$H$11,2,1),VLOOKUP(I259,Barem!$G$12:$H$21,2,1)))</f>
        <v>3.5</v>
      </c>
      <c r="L259" s="110" t="s">
        <v>109</v>
      </c>
      <c r="M259" s="11">
        <f t="shared" si="84"/>
        <v>0.75</v>
      </c>
      <c r="N259" s="11">
        <f t="shared" si="85"/>
        <v>0.25</v>
      </c>
      <c r="O259" s="49">
        <f t="shared" si="86"/>
        <v>6.0666666666666667E-2</v>
      </c>
      <c r="P259" s="27">
        <f>IF(D259&gt;21,VLOOKUP(D259,Barem!$S$1:$T$141,2,1),0)</f>
        <v>0.4</v>
      </c>
      <c r="Q259" s="27">
        <f>IF(D259&lt;1.609,0,IF(B259="F",VLOOKUP(I259,Barem!$W$2:$Y$13,2,1),VLOOKUP(I259,Barem!$W$14:$Y$25,2,1)))</f>
        <v>0</v>
      </c>
      <c r="R259" s="27">
        <f>VLOOKUP(A259,Participanti!A:C,3,0)</f>
        <v>0</v>
      </c>
      <c r="S259" s="21">
        <f t="shared" si="87"/>
        <v>5.0856666666666674</v>
      </c>
      <c r="T259" s="82">
        <v>44499</v>
      </c>
      <c r="U259" s="143">
        <f>COUNTIFS(A:A,A259,C:C,C259)</f>
        <v>1</v>
      </c>
      <c r="V259" s="77" t="str">
        <f>VLOOKUP(A259,Data_echipe!A:U,21,0)</f>
        <v>All Stars</v>
      </c>
      <c r="X259" s="154">
        <v>1</v>
      </c>
    </row>
    <row r="260" spans="1:24" x14ac:dyDescent="0.25">
      <c r="A260" s="64" t="s">
        <v>67</v>
      </c>
      <c r="B260" s="77" t="str">
        <f>VLOOKUP(A260,Participanti!A:B,2,0)</f>
        <v>M</v>
      </c>
      <c r="C260" s="137">
        <v>8</v>
      </c>
      <c r="D260" s="66">
        <v>21.2</v>
      </c>
      <c r="E260" s="67">
        <v>8.245370370370371E-2</v>
      </c>
      <c r="F260" s="67">
        <v>8.2731481481481475E-2</v>
      </c>
      <c r="G260" s="100">
        <f t="shared" si="81"/>
        <v>8.2592592592592592E-2</v>
      </c>
      <c r="H260" s="68">
        <v>41</v>
      </c>
      <c r="I260" s="14">
        <f t="shared" si="82"/>
        <v>3.8958770090845563E-3</v>
      </c>
      <c r="J260" s="92">
        <f t="shared" si="83"/>
        <v>5</v>
      </c>
      <c r="K260" s="92">
        <f>IF(J260=0,0,IF(B260="F",VLOOKUP(I260,Barem!$G$2:$H$11,2,1),VLOOKUP(I260,Barem!$G$12:$H$21,2,1)))</f>
        <v>1.5</v>
      </c>
      <c r="L260" s="110" t="s">
        <v>109</v>
      </c>
      <c r="M260" s="11">
        <f t="shared" si="84"/>
        <v>0.75</v>
      </c>
      <c r="N260" s="11">
        <f t="shared" si="85"/>
        <v>0.25</v>
      </c>
      <c r="O260" s="49">
        <f t="shared" si="86"/>
        <v>0</v>
      </c>
      <c r="P260" s="27">
        <f>IF(D260&gt;21,VLOOKUP(D260,Barem!$S$1:$T$141,2,1),0)</f>
        <v>0</v>
      </c>
      <c r="Q260" s="27">
        <f>IF(D260&lt;1.609,0,IF(B260="F",VLOOKUP(I260,Barem!$W$2:$Y$13,2,1),VLOOKUP(I260,Barem!$W$14:$Y$25,2,1)))</f>
        <v>0</v>
      </c>
      <c r="R260" s="27">
        <f>VLOOKUP(A260,Participanti!A:C,3,0)</f>
        <v>0</v>
      </c>
      <c r="S260" s="21">
        <f t="shared" si="87"/>
        <v>4.125</v>
      </c>
      <c r="T260" s="82">
        <v>44500</v>
      </c>
      <c r="U260" s="143">
        <f>COUNTIFS(A:A,A260,C:C,C260)</f>
        <v>1</v>
      </c>
      <c r="V260" s="77" t="e">
        <f>VLOOKUP(A260,Data_echipe!A:U,21,0)</f>
        <v>#N/A</v>
      </c>
      <c r="X260" s="154">
        <v>1</v>
      </c>
    </row>
    <row r="261" spans="1:24" x14ac:dyDescent="0.25">
      <c r="A261" s="64" t="s">
        <v>102</v>
      </c>
      <c r="B261" s="77" t="str">
        <f>VLOOKUP(A261,Participanti!A:B,2,0)</f>
        <v>M</v>
      </c>
      <c r="C261" s="137">
        <v>8</v>
      </c>
      <c r="D261" s="66">
        <v>21.4</v>
      </c>
      <c r="E261" s="67">
        <v>5.7152777777777775E-2</v>
      </c>
      <c r="F261" s="67">
        <v>5.724537037037037E-2</v>
      </c>
      <c r="G261" s="100">
        <f t="shared" si="81"/>
        <v>5.7199074074074069E-2</v>
      </c>
      <c r="H261" s="68">
        <v>44</v>
      </c>
      <c r="I261" s="14">
        <f t="shared" si="82"/>
        <v>2.6728539286950503E-3</v>
      </c>
      <c r="J261" s="92">
        <f t="shared" si="83"/>
        <v>5</v>
      </c>
      <c r="K261" s="92">
        <f>IF(J261=0,0,IF(B261="F",VLOOKUP(I261,Barem!$G$2:$H$11,2,1),VLOOKUP(I261,Barem!$G$12:$H$21,2,1)))</f>
        <v>5</v>
      </c>
      <c r="L261" s="65" t="str">
        <f>VLOOKUP(C261,Barem!L:Q,6,0)</f>
        <v>V</v>
      </c>
      <c r="M261" s="11">
        <f t="shared" si="84"/>
        <v>0.25</v>
      </c>
      <c r="N261" s="11">
        <f t="shared" si="85"/>
        <v>0.75</v>
      </c>
      <c r="O261" s="49">
        <f t="shared" si="86"/>
        <v>0</v>
      </c>
      <c r="P261" s="27">
        <f>IF(D261&gt;21,VLOOKUP(D261,Barem!$S$1:$T$141,2,1),0)</f>
        <v>0</v>
      </c>
      <c r="Q261" s="27">
        <f>IF(D261&lt;1.609,0,IF(B261="F",VLOOKUP(I261,Barem!$W$2:$Y$13,2,1),VLOOKUP(I261,Barem!$W$14:$Y$25,2,1)))</f>
        <v>0.89999999999999991</v>
      </c>
      <c r="R261" s="27">
        <f>VLOOKUP(A261,Participanti!A:C,3,0)</f>
        <v>0</v>
      </c>
      <c r="S261" s="21">
        <f t="shared" si="87"/>
        <v>5.9</v>
      </c>
      <c r="T261" s="82">
        <v>44500</v>
      </c>
      <c r="U261" s="143">
        <f>COUNTIFS(A:A,A261,C:C,C261)</f>
        <v>1</v>
      </c>
      <c r="V261" s="77" t="str">
        <f>VLOOKUP(A261,Data_echipe!A:U,21,0)</f>
        <v>All Stars</v>
      </c>
      <c r="X261" s="154">
        <v>1</v>
      </c>
    </row>
    <row r="262" spans="1:24" x14ac:dyDescent="0.25">
      <c r="A262" s="64" t="s">
        <v>118</v>
      </c>
      <c r="B262" s="77" t="str">
        <f>VLOOKUP(A262,Participanti!A:B,2,0)</f>
        <v>M</v>
      </c>
      <c r="C262" s="137">
        <v>8</v>
      </c>
      <c r="D262" s="66">
        <v>21.53</v>
      </c>
      <c r="E262" s="67">
        <v>7.6226851851851851E-2</v>
      </c>
      <c r="F262" s="67">
        <v>8.5393518518518521E-2</v>
      </c>
      <c r="G262" s="100">
        <f>AVERAGE(E262:F262)</f>
        <v>8.0810185185185179E-2</v>
      </c>
      <c r="H262" s="68">
        <v>91</v>
      </c>
      <c r="I262" s="14">
        <f>G262/D262</f>
        <v>3.753375995596153E-3</v>
      </c>
      <c r="J262" s="92">
        <f>IF(B262="F",IF(D262&lt;2.5,0,IF(D262&gt;19.99,5,D262/4)),IF(D262&lt;3,0, IF(D262&gt;20.99,5,D262/4.2)))</f>
        <v>5</v>
      </c>
      <c r="K262" s="92">
        <f>IF(J262=0,0,IF(B262="F",VLOOKUP(I262,Barem!$G$2:$H$11,2,1),VLOOKUP(I262,Barem!$G$12:$H$21,2,1)))</f>
        <v>2</v>
      </c>
      <c r="L262" s="110" t="s">
        <v>109</v>
      </c>
      <c r="M262" s="11">
        <f>IF(OR(L262="P1",L262="P2",L262="P3"),"",IF(C262=15,0.5,IF(L262="D",0.75,0.25)))</f>
        <v>0.75</v>
      </c>
      <c r="N262" s="11">
        <f>IF(OR(L262="P1",L262="P2",L262="P3"),"",IF(C262=15,0.5,IF(L262="V",0.75,0.25)))</f>
        <v>0.25</v>
      </c>
      <c r="O262" s="49">
        <f>IF(H262&lt;-49,H262/1500,IF(H262&gt;49,H262/1500,0))</f>
        <v>6.0666666666666667E-2</v>
      </c>
      <c r="P262" s="27">
        <f>IF(D262&gt;21,VLOOKUP(D262,Barem!$S$1:$T$141,2,1),0)</f>
        <v>0</v>
      </c>
      <c r="Q262" s="27">
        <f>IF(D262&lt;1.609,0,IF(B262="F",VLOOKUP(I262,Barem!$W$2:$Y$13,2,1),VLOOKUP(I262,Barem!$W$14:$Y$25,2,1)))</f>
        <v>0</v>
      </c>
      <c r="R262" s="27">
        <f>VLOOKUP(A262,Participanti!A:C,3,0)</f>
        <v>0</v>
      </c>
      <c r="S262" s="21">
        <f>J262*M262+K262*N262+O262+P262+Q262+R262</f>
        <v>4.3106666666666671</v>
      </c>
      <c r="T262" s="82">
        <v>44500</v>
      </c>
      <c r="U262" s="143">
        <f>COUNTIFS(A:A,A262,C:C,C262)</f>
        <v>1</v>
      </c>
      <c r="V262" s="77" t="str">
        <f>VLOOKUP(A262,Data_echipe!A:U,21,0)</f>
        <v>UltraSYR</v>
      </c>
      <c r="X262" s="154">
        <v>1</v>
      </c>
    </row>
    <row r="263" spans="1:24" x14ac:dyDescent="0.25">
      <c r="A263" s="64" t="s">
        <v>154</v>
      </c>
      <c r="B263" s="77" t="str">
        <f>VLOOKUP(A263,Participanti!A:B,2,0)</f>
        <v>M</v>
      </c>
      <c r="C263" s="137">
        <v>8</v>
      </c>
      <c r="D263" s="66">
        <v>10.220000000000001</v>
      </c>
      <c r="E263" s="67">
        <v>3.5219907407407408E-2</v>
      </c>
      <c r="F263" s="67">
        <v>3.8576388888888889E-2</v>
      </c>
      <c r="G263" s="100">
        <f t="shared" si="81"/>
        <v>3.6898148148148152E-2</v>
      </c>
      <c r="H263" s="68">
        <v>28</v>
      </c>
      <c r="I263" s="14">
        <f t="shared" si="82"/>
        <v>3.6103863158657682E-3</v>
      </c>
      <c r="J263" s="92">
        <f t="shared" si="83"/>
        <v>2.4333333333333336</v>
      </c>
      <c r="K263" s="92">
        <f>IF(J263=0,0,IF(B263="F",VLOOKUP(I263,Barem!$G$2:$H$11,2,1),VLOOKUP(I263,Barem!$G$12:$H$21,2,1)))</f>
        <v>2.5</v>
      </c>
      <c r="L263" s="65" t="str">
        <f>VLOOKUP(C263,Barem!L:Q,6,0)</f>
        <v>V</v>
      </c>
      <c r="M263" s="11">
        <f t="shared" si="84"/>
        <v>0.25</v>
      </c>
      <c r="N263" s="11">
        <f t="shared" si="85"/>
        <v>0.75</v>
      </c>
      <c r="O263" s="49">
        <f t="shared" si="86"/>
        <v>0</v>
      </c>
      <c r="P263" s="27">
        <f>IF(D263&gt;21,VLOOKUP(D263,Barem!$S$1:$T$141,2,1),0)</f>
        <v>0</v>
      </c>
      <c r="Q263" s="27">
        <f>IF(D263&lt;1.609,0,IF(B263="F",VLOOKUP(I263,Barem!$W$2:$Y$13,2,1),VLOOKUP(I263,Barem!$W$14:$Y$25,2,1)))</f>
        <v>0</v>
      </c>
      <c r="R263" s="27">
        <f>VLOOKUP(A263,Participanti!A:C,3,0)</f>
        <v>0</v>
      </c>
      <c r="S263" s="21">
        <f t="shared" si="87"/>
        <v>2.4833333333333334</v>
      </c>
      <c r="T263" s="82">
        <v>44500</v>
      </c>
      <c r="U263" s="143">
        <f>COUNTIFS(A:A,A263,C:C,C263)</f>
        <v>1</v>
      </c>
      <c r="V263" s="77" t="str">
        <f>VLOOKUP(A263,Data_echipe!A:U,21,0)</f>
        <v>All Stars</v>
      </c>
      <c r="X263" s="154">
        <v>1</v>
      </c>
    </row>
    <row r="264" spans="1:24" x14ac:dyDescent="0.25">
      <c r="A264" s="64" t="s">
        <v>49</v>
      </c>
      <c r="B264" s="77" t="str">
        <f>VLOOKUP(A264,Participanti!A:B,2,0)</f>
        <v>M</v>
      </c>
      <c r="C264" s="137">
        <v>8</v>
      </c>
      <c r="D264" s="66">
        <v>21.1</v>
      </c>
      <c r="E264" s="67">
        <v>6.2465277777777772E-2</v>
      </c>
      <c r="F264" s="67">
        <v>6.2465277777777772E-2</v>
      </c>
      <c r="G264" s="100">
        <f t="shared" si="81"/>
        <v>6.2465277777777772E-2</v>
      </c>
      <c r="H264" s="68">
        <v>40</v>
      </c>
      <c r="I264" s="14">
        <f t="shared" si="82"/>
        <v>2.9604397051079512E-3</v>
      </c>
      <c r="J264" s="92">
        <f t="shared" si="83"/>
        <v>5</v>
      </c>
      <c r="K264" s="92">
        <f>IF(J264=0,0,IF(B264="F",VLOOKUP(I264,Barem!$G$2:$H$11,2,1),VLOOKUP(I264,Barem!$G$12:$H$21,2,1)))</f>
        <v>4.5</v>
      </c>
      <c r="L264" s="65" t="str">
        <f>VLOOKUP(C264,Barem!L:Q,6,0)</f>
        <v>V</v>
      </c>
      <c r="M264" s="11">
        <f t="shared" si="84"/>
        <v>0.25</v>
      </c>
      <c r="N264" s="11">
        <f t="shared" si="85"/>
        <v>0.75</v>
      </c>
      <c r="O264" s="49">
        <f t="shared" si="86"/>
        <v>0</v>
      </c>
      <c r="P264" s="27">
        <f>IF(D264&gt;21,VLOOKUP(D264,Barem!$S$1:$T$141,2,1),0)</f>
        <v>0</v>
      </c>
      <c r="Q264" s="27">
        <f>IF(D264&lt;1.609,0,IF(B264="F",VLOOKUP(I264,Barem!$W$2:$Y$13,2,1),VLOOKUP(I264,Barem!$W$14:$Y$25,2,1)))</f>
        <v>0</v>
      </c>
      <c r="R264" s="27">
        <f>VLOOKUP(A264,Participanti!A:C,3,0)</f>
        <v>0</v>
      </c>
      <c r="S264" s="21">
        <f t="shared" si="87"/>
        <v>4.625</v>
      </c>
      <c r="T264" s="82">
        <v>44500</v>
      </c>
      <c r="U264" s="143">
        <f>COUNTIFS(A:A,A264,C:C,C264)</f>
        <v>1</v>
      </c>
      <c r="V264" s="77" t="str">
        <f>VLOOKUP(A264,Data_echipe!A:U,21,0)</f>
        <v>All Stars</v>
      </c>
      <c r="X264" s="154">
        <v>1</v>
      </c>
    </row>
    <row r="265" spans="1:24" x14ac:dyDescent="0.25">
      <c r="A265" s="64" t="s">
        <v>196</v>
      </c>
      <c r="B265" s="77" t="str">
        <f>VLOOKUP(A265,Participanti!A:B,2,0)</f>
        <v>F</v>
      </c>
      <c r="C265" s="137">
        <v>8</v>
      </c>
      <c r="D265" s="66">
        <v>10.07</v>
      </c>
      <c r="E265" s="67">
        <v>3.7800925925925925E-2</v>
      </c>
      <c r="F265" s="67">
        <v>3.7800925925925925E-2</v>
      </c>
      <c r="G265" s="100">
        <f>AVERAGE(E265:F265)</f>
        <v>3.7800925925925925E-2</v>
      </c>
      <c r="H265" s="68">
        <v>11</v>
      </c>
      <c r="I265" s="14">
        <f>G265/D265</f>
        <v>3.7538158814226339E-3</v>
      </c>
      <c r="J265" s="92">
        <f>IF(B265="F",IF(D265&lt;2.5,0,IF(D265&gt;19.99,5,D265/4)),IF(D265&lt;3,0, IF(D265&gt;20.99,5,D265/4.2)))</f>
        <v>2.5175000000000001</v>
      </c>
      <c r="K265" s="92">
        <f>IF(J265=0,0,IF(B265="F",VLOOKUP(I265,Barem!$G$2:$H$11,2,1),VLOOKUP(I265,Barem!$G$12:$H$21,2,1)))</f>
        <v>3</v>
      </c>
      <c r="L265" s="65" t="str">
        <f>VLOOKUP(C265,Barem!L:Q,6,0)</f>
        <v>V</v>
      </c>
      <c r="M265" s="11">
        <f>IF(OR(L265="P1",L265="P2",L265="P3"),"",IF(C265=15,0.5,IF(L265="D",0.75,0.25)))</f>
        <v>0.25</v>
      </c>
      <c r="N265" s="11">
        <f>IF(OR(L265="P1",L265="P2",L265="P3"),"",IF(C265=15,0.5,IF(L265="V",0.75,0.25)))</f>
        <v>0.75</v>
      </c>
      <c r="O265" s="49">
        <f>IF(H265&lt;-49,H265/1500,IF(H265&gt;49,H265/1500,0))</f>
        <v>0</v>
      </c>
      <c r="P265" s="27">
        <f>IF(D265&gt;21,VLOOKUP(D265,Barem!$S$1:$T$141,2,1),0)</f>
        <v>0</v>
      </c>
      <c r="Q265" s="27">
        <f>IF(D265&lt;1.609,0,IF(B265="F",VLOOKUP(I265,Barem!$W$2:$Y$13,2,1),VLOOKUP(I265,Barem!$W$14:$Y$25,2,1)))</f>
        <v>0</v>
      </c>
      <c r="R265" s="27">
        <f>VLOOKUP(A265,Participanti!A:C,3,0)</f>
        <v>0</v>
      </c>
      <c r="S265" s="21">
        <f>J265*M265+K265*N265+O265+P265+Q265+R265</f>
        <v>2.879375</v>
      </c>
      <c r="T265" s="82">
        <v>44499</v>
      </c>
      <c r="U265" s="143">
        <f>COUNTIFS(A:A,A265,C:C,C265)</f>
        <v>1</v>
      </c>
      <c r="V265" s="77" t="str">
        <f>VLOOKUP(A265,Data_echipe!A:U,21,0)</f>
        <v>UltraSYR</v>
      </c>
      <c r="X265" s="154">
        <v>1</v>
      </c>
    </row>
    <row r="266" spans="1:24" x14ac:dyDescent="0.25">
      <c r="A266" s="64" t="s">
        <v>61</v>
      </c>
      <c r="B266" s="77" t="str">
        <f>VLOOKUP(A266,Participanti!A:B,2,0)</f>
        <v>M</v>
      </c>
      <c r="C266" s="137">
        <v>8</v>
      </c>
      <c r="D266" s="66">
        <v>7.34</v>
      </c>
      <c r="E266" s="67">
        <v>2.2962962962962966E-2</v>
      </c>
      <c r="F266" s="67">
        <v>2.3078703703703702E-2</v>
      </c>
      <c r="G266" s="100">
        <f t="shared" si="81"/>
        <v>2.3020833333333334E-2</v>
      </c>
      <c r="H266" s="68">
        <v>45</v>
      </c>
      <c r="I266" s="14">
        <f t="shared" si="82"/>
        <v>3.1363533151680294E-3</v>
      </c>
      <c r="J266" s="92">
        <f t="shared" si="83"/>
        <v>1.7476190476190474</v>
      </c>
      <c r="K266" s="92">
        <f>IF(J266=0,0,IF(B266="F",VLOOKUP(I266,Barem!$G$2:$H$11,2,1),VLOOKUP(I266,Barem!$G$12:$H$21,2,1)))</f>
        <v>4</v>
      </c>
      <c r="L266" s="65" t="str">
        <f>VLOOKUP(C266,Barem!L:Q,6,0)</f>
        <v>V</v>
      </c>
      <c r="M266" s="11">
        <f t="shared" si="84"/>
        <v>0.25</v>
      </c>
      <c r="N266" s="11">
        <f t="shared" si="85"/>
        <v>0.75</v>
      </c>
      <c r="O266" s="49">
        <f t="shared" si="86"/>
        <v>0</v>
      </c>
      <c r="P266" s="27">
        <f>IF(D266&gt;21,VLOOKUP(D266,Barem!$S$1:$T$141,2,1),0)</f>
        <v>0</v>
      </c>
      <c r="Q266" s="27">
        <f>IF(D266&lt;1.609,0,IF(B266="F",VLOOKUP(I266,Barem!$W$2:$Y$13,2,1),VLOOKUP(I266,Barem!$W$14:$Y$25,2,1)))</f>
        <v>0</v>
      </c>
      <c r="R266" s="27">
        <f>VLOOKUP(A266,Participanti!A:C,3,0)</f>
        <v>0</v>
      </c>
      <c r="S266" s="21">
        <f t="shared" si="87"/>
        <v>3.4369047619047617</v>
      </c>
      <c r="T266" s="82">
        <v>44499</v>
      </c>
      <c r="U266" s="143">
        <f>COUNTIFS(A:A,A266,C:C,C266)</f>
        <v>1</v>
      </c>
      <c r="V266" s="77" t="str">
        <f>VLOOKUP(A266,Data_echipe!A:U,21,0)</f>
        <v>UltraSYR</v>
      </c>
      <c r="X266" s="154">
        <v>1</v>
      </c>
    </row>
    <row r="267" spans="1:24" x14ac:dyDescent="0.25">
      <c r="A267" s="64" t="s">
        <v>153</v>
      </c>
      <c r="B267" s="77" t="str">
        <f>VLOOKUP(A267,Participanti!A:B,2,0)</f>
        <v>F</v>
      </c>
      <c r="C267" s="137">
        <v>8</v>
      </c>
      <c r="D267" s="66">
        <v>3.02</v>
      </c>
      <c r="E267" s="67">
        <v>7.8819444444444432E-3</v>
      </c>
      <c r="F267" s="67">
        <v>7.8819444444444432E-3</v>
      </c>
      <c r="G267" s="100">
        <f t="shared" si="81"/>
        <v>7.8819444444444432E-3</v>
      </c>
      <c r="H267" s="68">
        <v>0</v>
      </c>
      <c r="I267" s="14">
        <f t="shared" si="82"/>
        <v>2.6099153789551138E-3</v>
      </c>
      <c r="J267" s="92">
        <f t="shared" si="83"/>
        <v>0.755</v>
      </c>
      <c r="K267" s="92">
        <f>IF(J267=0,0,IF(B267="F",VLOOKUP(I267,Barem!$G$2:$H$11,2,1),VLOOKUP(I267,Barem!$G$12:$H$21,2,1)))</f>
        <v>5</v>
      </c>
      <c r="L267" s="65" t="str">
        <f>VLOOKUP(C267,Barem!L:Q,6,0)</f>
        <v>V</v>
      </c>
      <c r="M267" s="11">
        <f t="shared" si="84"/>
        <v>0.25</v>
      </c>
      <c r="N267" s="11">
        <f t="shared" si="85"/>
        <v>0.75</v>
      </c>
      <c r="O267" s="49">
        <f t="shared" si="86"/>
        <v>0</v>
      </c>
      <c r="P267" s="27">
        <f>IF(D267&gt;21,VLOOKUP(D267,Barem!$S$1:$T$141,2,1),0)</f>
        <v>0</v>
      </c>
      <c r="Q267" s="27">
        <f>IF(D267&lt;1.609,0,IF(B267="F",VLOOKUP(I267,Barem!$W$2:$Y$13,2,1),VLOOKUP(I267,Barem!$W$14:$Y$25,2,1)))</f>
        <v>8.25</v>
      </c>
      <c r="R267" s="27">
        <f>VLOOKUP(A267,Participanti!A:C,3,0)</f>
        <v>0</v>
      </c>
      <c r="S267" s="21">
        <f t="shared" si="87"/>
        <v>12.188750000000001</v>
      </c>
      <c r="T267" s="82">
        <v>44498</v>
      </c>
      <c r="U267" s="143">
        <f>COUNTIFS(A:A,A267,C:C,C267)</f>
        <v>1</v>
      </c>
      <c r="V267" s="77" t="str">
        <f>VLOOKUP(A267,Data_echipe!A:U,21,0)</f>
        <v>All Stars</v>
      </c>
      <c r="X267" s="154">
        <v>1</v>
      </c>
    </row>
    <row r="268" spans="1:24" x14ac:dyDescent="0.25">
      <c r="A268" s="64" t="s">
        <v>55</v>
      </c>
      <c r="B268" s="77" t="str">
        <f>VLOOKUP(A268,Participanti!A:B,2,0)</f>
        <v>M</v>
      </c>
      <c r="C268" s="137">
        <v>8</v>
      </c>
      <c r="D268" s="66">
        <v>31</v>
      </c>
      <c r="E268" s="67">
        <v>0.14004629629629631</v>
      </c>
      <c r="F268" s="67">
        <v>0.15587962962962962</v>
      </c>
      <c r="G268" s="100">
        <f t="shared" si="81"/>
        <v>0.14796296296296296</v>
      </c>
      <c r="H268" s="68">
        <v>99</v>
      </c>
      <c r="I268" s="14">
        <f t="shared" si="82"/>
        <v>4.7729988052568695E-3</v>
      </c>
      <c r="J268" s="92">
        <f t="shared" si="83"/>
        <v>5</v>
      </c>
      <c r="K268" s="92">
        <f>IF(J268=0,0,IF(B268="F",VLOOKUP(I268,Barem!$G$2:$H$11,2,1),VLOOKUP(I268,Barem!$G$12:$H$21,2,1)))</f>
        <v>1</v>
      </c>
      <c r="L268" s="65" t="str">
        <f>VLOOKUP(C268,Barem!L:Q,6,0)</f>
        <v>V</v>
      </c>
      <c r="M268" s="11">
        <f t="shared" si="84"/>
        <v>0.25</v>
      </c>
      <c r="N268" s="11">
        <f t="shared" si="85"/>
        <v>0.75</v>
      </c>
      <c r="O268" s="49">
        <f t="shared" si="86"/>
        <v>6.6000000000000003E-2</v>
      </c>
      <c r="P268" s="27">
        <f>IF(D268&gt;21,VLOOKUP(D268,Barem!$S$1:$T$141,2,1),0)</f>
        <v>0.5</v>
      </c>
      <c r="Q268" s="27">
        <f>IF(D268&lt;1.609,0,IF(B268="F",VLOOKUP(I268,Barem!$W$2:$Y$13,2,1),VLOOKUP(I268,Barem!$W$14:$Y$25,2,1)))</f>
        <v>0</v>
      </c>
      <c r="R268" s="27">
        <f>VLOOKUP(A268,Participanti!A:C,3,0)</f>
        <v>0</v>
      </c>
      <c r="S268" s="21">
        <f t="shared" si="87"/>
        <v>2.5659999999999998</v>
      </c>
      <c r="T268" s="82">
        <v>44500</v>
      </c>
      <c r="U268" s="143">
        <f>COUNTIFS(A:A,A268,C:C,C268)</f>
        <v>1</v>
      </c>
      <c r="V268" s="77" t="e">
        <f>VLOOKUP(A268,Data_echipe!A:U,21,0)</f>
        <v>#N/A</v>
      </c>
      <c r="X268" s="154">
        <v>1</v>
      </c>
    </row>
    <row r="269" spans="1:24" x14ac:dyDescent="0.25">
      <c r="A269" s="64" t="s">
        <v>239</v>
      </c>
      <c r="B269" s="77" t="str">
        <f>VLOOKUP(A269,Participanti!A:B,2,0)</f>
        <v>M</v>
      </c>
      <c r="C269" s="137">
        <v>8</v>
      </c>
      <c r="D269" s="66">
        <v>3.13</v>
      </c>
      <c r="E269" s="67">
        <v>9.4097222222222238E-3</v>
      </c>
      <c r="F269" s="67">
        <v>9.5486111111111101E-3</v>
      </c>
      <c r="G269" s="100">
        <f t="shared" si="81"/>
        <v>9.479166666666667E-3</v>
      </c>
      <c r="H269" s="68">
        <v>31</v>
      </c>
      <c r="I269" s="14">
        <f t="shared" si="82"/>
        <v>3.0284877529286477E-3</v>
      </c>
      <c r="J269" s="92">
        <f t="shared" si="83"/>
        <v>0.74523809523809514</v>
      </c>
      <c r="K269" s="92">
        <f>IF(J269=0,0,IF(B269="F",VLOOKUP(I269,Barem!$G$2:$H$11,2,1),VLOOKUP(I269,Barem!$G$12:$H$21,2,1)))</f>
        <v>4</v>
      </c>
      <c r="L269" s="65" t="str">
        <f>VLOOKUP(C269,Barem!L:Q,6,0)</f>
        <v>V</v>
      </c>
      <c r="M269" s="11">
        <f t="shared" si="84"/>
        <v>0.25</v>
      </c>
      <c r="N269" s="11">
        <f t="shared" si="85"/>
        <v>0.75</v>
      </c>
      <c r="O269" s="49">
        <f t="shared" si="86"/>
        <v>0</v>
      </c>
      <c r="P269" s="27">
        <f>IF(D269&gt;21,VLOOKUP(D269,Barem!$S$1:$T$141,2,1),0)</f>
        <v>0</v>
      </c>
      <c r="Q269" s="27">
        <f>IF(D269&lt;1.609,0,IF(B269="F",VLOOKUP(I269,Barem!$W$2:$Y$13,2,1),VLOOKUP(I269,Barem!$W$14:$Y$25,2,1)))</f>
        <v>0</v>
      </c>
      <c r="R269" s="27">
        <f>VLOOKUP(A269,Participanti!A:C,3,0)</f>
        <v>0</v>
      </c>
      <c r="S269" s="21">
        <f t="shared" si="87"/>
        <v>3.1863095238095238</v>
      </c>
      <c r="T269" s="82">
        <v>44497</v>
      </c>
      <c r="U269" s="143">
        <f>COUNTIFS(A:A,A269,C:C,C269)</f>
        <v>1</v>
      </c>
      <c r="V269" s="77" t="str">
        <f>VLOOKUP(A269,Data_echipe!A:U,21,0)</f>
        <v>All Stars</v>
      </c>
      <c r="X269" s="154">
        <v>1</v>
      </c>
    </row>
    <row r="270" spans="1:24" x14ac:dyDescent="0.25">
      <c r="A270" s="64" t="s">
        <v>7</v>
      </c>
      <c r="B270" s="77" t="str">
        <f>VLOOKUP(A270,Participanti!A:B,2,0)</f>
        <v>M</v>
      </c>
      <c r="C270" s="137">
        <v>8</v>
      </c>
      <c r="D270" s="66">
        <v>12.1</v>
      </c>
      <c r="E270" s="67">
        <v>4.1770833333333333E-2</v>
      </c>
      <c r="F270" s="67">
        <v>4.1770833333333333E-2</v>
      </c>
      <c r="G270" s="100">
        <f t="shared" si="81"/>
        <v>4.1770833333333333E-2</v>
      </c>
      <c r="H270" s="68">
        <v>78</v>
      </c>
      <c r="I270" s="14">
        <f t="shared" si="82"/>
        <v>3.4521349862258956E-3</v>
      </c>
      <c r="J270" s="92">
        <f t="shared" si="83"/>
        <v>2.8809523809523809</v>
      </c>
      <c r="K270" s="92">
        <f>IF(J270=0,0,IF(B270="F",VLOOKUP(I270,Barem!$G$2:$H$11,2,1),VLOOKUP(I270,Barem!$G$12:$H$21,2,1)))</f>
        <v>3</v>
      </c>
      <c r="L270" s="110" t="s">
        <v>109</v>
      </c>
      <c r="M270" s="11">
        <f t="shared" si="84"/>
        <v>0.75</v>
      </c>
      <c r="N270" s="11">
        <f t="shared" si="85"/>
        <v>0.25</v>
      </c>
      <c r="O270" s="49">
        <f t="shared" si="86"/>
        <v>5.1999999999999998E-2</v>
      </c>
      <c r="P270" s="27">
        <f>IF(D270&gt;21,VLOOKUP(D270,Barem!$S$1:$T$141,2,1),0)</f>
        <v>0</v>
      </c>
      <c r="Q270" s="27">
        <f>IF(D270&lt;1.609,0,IF(B270="F",VLOOKUP(I270,Barem!$W$2:$Y$13,2,1),VLOOKUP(I270,Barem!$W$14:$Y$25,2,1)))</f>
        <v>0</v>
      </c>
      <c r="R270" s="27">
        <f>VLOOKUP(A270,Participanti!A:C,3,0)</f>
        <v>0</v>
      </c>
      <c r="S270" s="21">
        <f t="shared" si="87"/>
        <v>2.9627142857142856</v>
      </c>
      <c r="T270" s="82">
        <v>44499</v>
      </c>
      <c r="U270" s="143">
        <f>COUNTIFS(A:A,A270,C:C,C270)</f>
        <v>1</v>
      </c>
      <c r="V270" s="77" t="str">
        <f>VLOOKUP(A270,Data_echipe!A:U,21,0)</f>
        <v>All Stars</v>
      </c>
      <c r="X270" s="154">
        <v>1</v>
      </c>
    </row>
    <row r="271" spans="1:24" x14ac:dyDescent="0.25">
      <c r="A271" s="64" t="s">
        <v>66</v>
      </c>
      <c r="B271" s="77" t="str">
        <f>VLOOKUP(A271,Participanti!A:B,2,0)</f>
        <v>F</v>
      </c>
      <c r="C271" s="137">
        <v>8</v>
      </c>
      <c r="D271" s="66">
        <v>8</v>
      </c>
      <c r="E271" s="67">
        <v>3.8530092592592595E-2</v>
      </c>
      <c r="F271" s="67">
        <v>5.3622685185185183E-2</v>
      </c>
      <c r="G271" s="100">
        <f t="shared" si="81"/>
        <v>4.6076388888888889E-2</v>
      </c>
      <c r="H271" s="68">
        <v>0</v>
      </c>
      <c r="I271" s="14">
        <f t="shared" si="82"/>
        <v>5.7595486111111111E-3</v>
      </c>
      <c r="J271" s="92">
        <f t="shared" si="83"/>
        <v>2</v>
      </c>
      <c r="K271" s="92">
        <f>IF(J271=0,0,IF(B271="F",VLOOKUP(I271,Barem!$G$2:$H$11,2,1),VLOOKUP(I271,Barem!$G$12:$H$21,2,1)))</f>
        <v>1</v>
      </c>
      <c r="L271" s="65" t="str">
        <f>VLOOKUP(C271,Barem!L:Q,6,0)</f>
        <v>V</v>
      </c>
      <c r="M271" s="11">
        <f t="shared" si="84"/>
        <v>0.25</v>
      </c>
      <c r="N271" s="11">
        <f t="shared" si="85"/>
        <v>0.75</v>
      </c>
      <c r="O271" s="49">
        <f t="shared" si="86"/>
        <v>0</v>
      </c>
      <c r="P271" s="27">
        <f>IF(D271&gt;21,VLOOKUP(D271,Barem!$S$1:$T$141,2,1),0)</f>
        <v>0</v>
      </c>
      <c r="Q271" s="27">
        <f>IF(D271&lt;1.609,0,IF(B271="F",VLOOKUP(I271,Barem!$W$2:$Y$13,2,1),VLOOKUP(I271,Barem!$W$14:$Y$25,2,1)))</f>
        <v>0</v>
      </c>
      <c r="R271" s="27">
        <f>VLOOKUP(A271,Participanti!A:C,3,0)</f>
        <v>0.7</v>
      </c>
      <c r="S271" s="21">
        <f t="shared" si="87"/>
        <v>1.95</v>
      </c>
      <c r="T271" s="82">
        <v>44494</v>
      </c>
      <c r="U271" s="143">
        <f>COUNTIFS(A:A,A271,C:C,C271)</f>
        <v>1</v>
      </c>
      <c r="V271" s="77" t="e">
        <f>VLOOKUP(A271,Data_echipe!A:U,21,0)</f>
        <v>#N/A</v>
      </c>
      <c r="X271" s="154">
        <v>1</v>
      </c>
    </row>
    <row r="272" spans="1:24" x14ac:dyDescent="0.25">
      <c r="A272" s="64" t="s">
        <v>202</v>
      </c>
      <c r="B272" s="77" t="str">
        <f>VLOOKUP(A272,Participanti!A:B,2,0)</f>
        <v>F</v>
      </c>
      <c r="C272" s="137">
        <v>8</v>
      </c>
      <c r="D272" s="66">
        <v>8.4499999999999993</v>
      </c>
      <c r="E272" s="67">
        <v>3.7199074074074072E-2</v>
      </c>
      <c r="F272" s="67">
        <v>4.1157407407407406E-2</v>
      </c>
      <c r="G272" s="100">
        <f t="shared" si="81"/>
        <v>3.9178240740740736E-2</v>
      </c>
      <c r="H272" s="68">
        <v>25</v>
      </c>
      <c r="I272" s="14">
        <f t="shared" si="82"/>
        <v>4.636478194170502E-3</v>
      </c>
      <c r="J272" s="92">
        <f t="shared" si="83"/>
        <v>2.1124999999999998</v>
      </c>
      <c r="K272" s="92">
        <f>IF(J272=0,0,IF(B272="F",VLOOKUP(I272,Barem!$G$2:$H$11,2,1),VLOOKUP(I272,Barem!$G$12:$H$21,2,1)))</f>
        <v>1</v>
      </c>
      <c r="L272" s="65" t="str">
        <f>VLOOKUP(C272,Barem!L:Q,6,0)</f>
        <v>V</v>
      </c>
      <c r="M272" s="11">
        <f t="shared" si="84"/>
        <v>0.25</v>
      </c>
      <c r="N272" s="11">
        <f t="shared" si="85"/>
        <v>0.75</v>
      </c>
      <c r="O272" s="49">
        <f t="shared" si="86"/>
        <v>0</v>
      </c>
      <c r="P272" s="27">
        <f>IF(D272&gt;21,VLOOKUP(D272,Barem!$S$1:$T$141,2,1),0)</f>
        <v>0</v>
      </c>
      <c r="Q272" s="27">
        <f>IF(D272&lt;1.609,0,IF(B272="F",VLOOKUP(I272,Barem!$W$2:$Y$13,2,1),VLOOKUP(I272,Barem!$W$14:$Y$25,2,1)))</f>
        <v>0</v>
      </c>
      <c r="R272" s="27">
        <f>VLOOKUP(A272,Participanti!A:C,3,0)</f>
        <v>0</v>
      </c>
      <c r="S272" s="21">
        <f t="shared" si="87"/>
        <v>1.278125</v>
      </c>
      <c r="T272" s="82">
        <v>44500</v>
      </c>
      <c r="U272" s="143">
        <f>COUNTIFS(A:A,A272,C:C,C272)</f>
        <v>1</v>
      </c>
      <c r="V272" s="77" t="e">
        <f>VLOOKUP(A272,Data_echipe!A:U,21,0)</f>
        <v>#N/A</v>
      </c>
      <c r="X272" s="154">
        <v>1</v>
      </c>
    </row>
    <row r="273" spans="1:24" x14ac:dyDescent="0.25">
      <c r="A273" s="64" t="s">
        <v>101</v>
      </c>
      <c r="B273" s="77" t="str">
        <f>VLOOKUP(A273,Participanti!A:B,2,0)</f>
        <v>M</v>
      </c>
      <c r="C273" s="137">
        <v>8</v>
      </c>
      <c r="D273" s="66">
        <v>42.3</v>
      </c>
      <c r="E273" s="67">
        <v>0.16300925925925927</v>
      </c>
      <c r="F273" s="67">
        <v>0.16340277777777779</v>
      </c>
      <c r="G273" s="100">
        <f>AVERAGE(E273:F273)</f>
        <v>0.16320601851851851</v>
      </c>
      <c r="H273" s="68">
        <v>63</v>
      </c>
      <c r="I273" s="14">
        <f>G273/D273</f>
        <v>3.8582983101304617E-3</v>
      </c>
      <c r="J273" s="92">
        <f>IF(B273="F",IF(D273&lt;2.5,0,IF(D273&gt;19.99,5,D273/4)),IF(D273&lt;3,0, IF(D273&gt;20.99,5,D273/4.2)))</f>
        <v>5</v>
      </c>
      <c r="K273" s="92">
        <f>IF(J273=0,0,IF(B273="F",VLOOKUP(I273,Barem!$G$2:$H$11,2,1),VLOOKUP(I273,Barem!$G$12:$H$21,2,1)))</f>
        <v>1.5</v>
      </c>
      <c r="L273" s="65" t="str">
        <f>VLOOKUP(C273,Barem!L:Q,6,0)</f>
        <v>V</v>
      </c>
      <c r="M273" s="11">
        <f>IF(OR(L273="P1",L273="P2",L273="P3"),"",IF(C273=15,0.5,IF(L273="D",0.75,0.25)))</f>
        <v>0.25</v>
      </c>
      <c r="N273" s="11">
        <f>IF(OR(L273="P1",L273="P2",L273="P3"),"",IF(C273=15,0.5,IF(L273="V",0.75,0.25)))</f>
        <v>0.75</v>
      </c>
      <c r="O273" s="49">
        <f>IF(H273&lt;-49,H273/1500,IF(H273&gt;49,H273/1500,0))</f>
        <v>4.2000000000000003E-2</v>
      </c>
      <c r="P273" s="27">
        <f>IF(D273&gt;21,VLOOKUP(D273,Barem!$S$1:$T$141,2,1),0)</f>
        <v>1</v>
      </c>
      <c r="Q273" s="27">
        <f>IF(D273&lt;1.609,0,IF(B273="F",VLOOKUP(I273,Barem!$W$2:$Y$13,2,1),VLOOKUP(I273,Barem!$W$14:$Y$25,2,1)))</f>
        <v>0</v>
      </c>
      <c r="R273" s="27">
        <f>VLOOKUP(A273,Participanti!A:C,3,0)</f>
        <v>0</v>
      </c>
      <c r="S273" s="21">
        <f>J273*M273+K273*N273+O273+P273+Q273+R273</f>
        <v>3.4169999999999998</v>
      </c>
      <c r="T273" s="82">
        <v>44500</v>
      </c>
      <c r="U273" s="143">
        <f>COUNTIFS(A:A,A273,C:C,C273)</f>
        <v>1</v>
      </c>
      <c r="V273" s="77" t="e">
        <f>VLOOKUP(A273,Data_echipe!A:U,21,0)</f>
        <v>#N/A</v>
      </c>
      <c r="X273" s="154">
        <v>1</v>
      </c>
    </row>
    <row r="274" spans="1:24" x14ac:dyDescent="0.25">
      <c r="A274" s="64" t="s">
        <v>50</v>
      </c>
      <c r="B274" s="77" t="str">
        <f>VLOOKUP(A274,Participanti!A:B,2,0)</f>
        <v>M</v>
      </c>
      <c r="C274" s="137">
        <v>8</v>
      </c>
      <c r="D274" s="66">
        <v>11.49</v>
      </c>
      <c r="E274" s="67">
        <v>4.4328703703703703E-2</v>
      </c>
      <c r="F274" s="67">
        <v>5.0844907407407408E-2</v>
      </c>
      <c r="G274" s="100">
        <f t="shared" si="81"/>
        <v>4.7586805555555556E-2</v>
      </c>
      <c r="H274" s="68">
        <v>174</v>
      </c>
      <c r="I274" s="14">
        <f t="shared" si="82"/>
        <v>4.1415844695870804E-3</v>
      </c>
      <c r="J274" s="92">
        <f t="shared" si="83"/>
        <v>2.7357142857142858</v>
      </c>
      <c r="K274" s="92">
        <f>IF(J274=0,0,IF(B274="F",VLOOKUP(I274,Barem!$G$2:$H$11,2,1),VLOOKUP(I274,Barem!$G$12:$H$21,2,1)))</f>
        <v>1.5</v>
      </c>
      <c r="L274" s="65" t="str">
        <f>VLOOKUP(C274,Barem!L:Q,6,0)</f>
        <v>V</v>
      </c>
      <c r="M274" s="11">
        <f t="shared" si="84"/>
        <v>0.25</v>
      </c>
      <c r="N274" s="11">
        <f t="shared" si="85"/>
        <v>0.75</v>
      </c>
      <c r="O274" s="49">
        <f t="shared" si="86"/>
        <v>0.11600000000000001</v>
      </c>
      <c r="P274" s="27">
        <f>IF(D274&gt;21,VLOOKUP(D274,Barem!$S$1:$T$141,2,1),0)</f>
        <v>0</v>
      </c>
      <c r="Q274" s="27">
        <f>IF(D274&lt;1.609,0,IF(B274="F",VLOOKUP(I274,Barem!$W$2:$Y$13,2,1),VLOOKUP(I274,Barem!$W$14:$Y$25,2,1)))</f>
        <v>0</v>
      </c>
      <c r="R274" s="27">
        <f>VLOOKUP(A274,Participanti!A:C,3,0)</f>
        <v>0.4</v>
      </c>
      <c r="S274" s="21">
        <f t="shared" si="87"/>
        <v>2.3249285714285715</v>
      </c>
      <c r="T274" s="82">
        <v>44496</v>
      </c>
      <c r="U274" s="143">
        <f>COUNTIFS(A:A,A274,C:C,C274)</f>
        <v>1</v>
      </c>
      <c r="V274" s="77" t="str">
        <f>VLOOKUP(A274,Data_echipe!A:U,21,0)</f>
        <v>UltraSYR</v>
      </c>
      <c r="X274" s="154">
        <v>1</v>
      </c>
    </row>
    <row r="275" spans="1:24" x14ac:dyDescent="0.25">
      <c r="A275" s="64" t="s">
        <v>52</v>
      </c>
      <c r="B275" s="77" t="str">
        <f>VLOOKUP(A275,Participanti!A:B,2,0)</f>
        <v>M</v>
      </c>
      <c r="C275" s="137">
        <v>8</v>
      </c>
      <c r="D275" s="66">
        <v>10.41</v>
      </c>
      <c r="E275" s="67">
        <v>4.0231481481481479E-2</v>
      </c>
      <c r="F275" s="67">
        <v>4.4236111111111115E-2</v>
      </c>
      <c r="G275" s="100">
        <f t="shared" si="81"/>
        <v>4.2233796296296297E-2</v>
      </c>
      <c r="H275" s="68">
        <v>3</v>
      </c>
      <c r="I275" s="14">
        <f t="shared" si="82"/>
        <v>4.0570409506528625E-3</v>
      </c>
      <c r="J275" s="92">
        <f t="shared" si="83"/>
        <v>2.4785714285714286</v>
      </c>
      <c r="K275" s="92">
        <f>IF(J275=0,0,IF(B275="F",VLOOKUP(I275,Barem!$G$2:$H$11,2,1),VLOOKUP(I275,Barem!$G$12:$H$21,2,1)))</f>
        <v>1.5</v>
      </c>
      <c r="L275" s="65" t="str">
        <f>VLOOKUP(C275,Barem!L:Q,6,0)</f>
        <v>V</v>
      </c>
      <c r="M275" s="11">
        <f t="shared" si="84"/>
        <v>0.25</v>
      </c>
      <c r="N275" s="11">
        <f t="shared" si="85"/>
        <v>0.75</v>
      </c>
      <c r="O275" s="49">
        <f t="shared" si="86"/>
        <v>0</v>
      </c>
      <c r="P275" s="27">
        <f>IF(D275&gt;21,VLOOKUP(D275,Barem!$S$1:$T$141,2,1),0)</f>
        <v>0</v>
      </c>
      <c r="Q275" s="27">
        <f>IF(D275&lt;1.609,0,IF(B275="F",VLOOKUP(I275,Barem!$W$2:$Y$13,2,1),VLOOKUP(I275,Barem!$W$14:$Y$25,2,1)))</f>
        <v>0</v>
      </c>
      <c r="R275" s="27">
        <f>VLOOKUP(A275,Participanti!A:C,3,0)</f>
        <v>0</v>
      </c>
      <c r="S275" s="21">
        <f t="shared" si="87"/>
        <v>1.7446428571428572</v>
      </c>
      <c r="T275" s="82">
        <v>44500</v>
      </c>
      <c r="U275" s="143">
        <f>COUNTIFS(A:A,A275,C:C,C275)</f>
        <v>1</v>
      </c>
      <c r="V275" s="77" t="e">
        <f>VLOOKUP(A275,Data_echipe!A:U,21,0)</f>
        <v>#N/A</v>
      </c>
      <c r="X275" s="154">
        <v>1</v>
      </c>
    </row>
    <row r="276" spans="1:24" x14ac:dyDescent="0.25">
      <c r="A276" s="64" t="s">
        <v>100</v>
      </c>
      <c r="B276" s="77" t="str">
        <f>VLOOKUP(A276,Participanti!A:B,2,0)</f>
        <v>F</v>
      </c>
      <c r="C276" s="137">
        <v>8</v>
      </c>
      <c r="D276" s="66">
        <v>6.37</v>
      </c>
      <c r="E276" s="67">
        <v>4.1087962962962958E-2</v>
      </c>
      <c r="F276" s="67">
        <v>4.1701388888888885E-2</v>
      </c>
      <c r="G276" s="100">
        <f t="shared" si="81"/>
        <v>4.1394675925925925E-2</v>
      </c>
      <c r="H276" s="68">
        <v>23</v>
      </c>
      <c r="I276" s="14">
        <f t="shared" si="82"/>
        <v>6.4983792662364091E-3</v>
      </c>
      <c r="J276" s="92">
        <f t="shared" si="83"/>
        <v>1.5925</v>
      </c>
      <c r="K276" s="92">
        <f>IF(J276=0,0,IF(B276="F",VLOOKUP(I276,Barem!$G$2:$H$11,2,1),VLOOKUP(I276,Barem!$G$12:$H$21,2,1)))</f>
        <v>0</v>
      </c>
      <c r="L276" s="65" t="str">
        <f>VLOOKUP(C276,Barem!L:Q,6,0)</f>
        <v>V</v>
      </c>
      <c r="M276" s="11">
        <f t="shared" si="84"/>
        <v>0.25</v>
      </c>
      <c r="N276" s="11">
        <f t="shared" si="85"/>
        <v>0.75</v>
      </c>
      <c r="O276" s="49">
        <f t="shared" si="86"/>
        <v>0</v>
      </c>
      <c r="P276" s="27">
        <f>IF(D276&gt;21,VLOOKUP(D276,Barem!$S$1:$T$141,2,1),0)</f>
        <v>0</v>
      </c>
      <c r="Q276" s="27">
        <f>IF(D276&lt;1.609,0,IF(B276="F",VLOOKUP(I276,Barem!$W$2:$Y$13,2,1),VLOOKUP(I276,Barem!$W$14:$Y$25,2,1)))</f>
        <v>0</v>
      </c>
      <c r="R276" s="27">
        <f>VLOOKUP(A276,Participanti!A:C,3,0)</f>
        <v>0.4</v>
      </c>
      <c r="S276" s="21">
        <f t="shared" si="87"/>
        <v>0.79812499999999997</v>
      </c>
      <c r="T276" s="82">
        <v>44495</v>
      </c>
      <c r="U276" s="143">
        <f>COUNTIFS(A:A,A276,C:C,C276)</f>
        <v>1</v>
      </c>
      <c r="V276" s="77" t="str">
        <f>VLOOKUP(A276,Data_echipe!A:U,21,0)</f>
        <v>All Stars</v>
      </c>
      <c r="X276" s="154"/>
    </row>
    <row r="277" spans="1:24" x14ac:dyDescent="0.25">
      <c r="A277" s="64" t="s">
        <v>117</v>
      </c>
      <c r="B277" s="77" t="str">
        <f>VLOOKUP(A277,Participanti!A:B,2,0)</f>
        <v>M</v>
      </c>
      <c r="C277" s="137">
        <v>8</v>
      </c>
      <c r="D277" s="66">
        <v>21.27</v>
      </c>
      <c r="E277" s="67">
        <v>8.6550925925925934E-2</v>
      </c>
      <c r="F277" s="67">
        <v>8.6550925925925934E-2</v>
      </c>
      <c r="G277" s="100">
        <f t="shared" si="81"/>
        <v>8.6550925925925934E-2</v>
      </c>
      <c r="H277" s="68">
        <v>43</v>
      </c>
      <c r="I277" s="14">
        <f t="shared" si="82"/>
        <v>4.0691549565550506E-3</v>
      </c>
      <c r="J277" s="92">
        <f t="shared" si="83"/>
        <v>5</v>
      </c>
      <c r="K277" s="92">
        <f>IF(J277=0,0,IF(B277="F",VLOOKUP(I277,Barem!$G$2:$H$11,2,1),VLOOKUP(I277,Barem!$G$12:$H$21,2,1)))</f>
        <v>1.5</v>
      </c>
      <c r="L277" s="110" t="s">
        <v>109</v>
      </c>
      <c r="M277" s="11">
        <f t="shared" si="84"/>
        <v>0.75</v>
      </c>
      <c r="N277" s="11">
        <f t="shared" si="85"/>
        <v>0.25</v>
      </c>
      <c r="O277" s="49">
        <f t="shared" si="86"/>
        <v>0</v>
      </c>
      <c r="P277" s="27">
        <f>IF(D277&gt;21,VLOOKUP(D277,Barem!$S$1:$T$141,2,1),0)</f>
        <v>0</v>
      </c>
      <c r="Q277" s="27">
        <f>IF(D277&lt;1.609,0,IF(B277="F",VLOOKUP(I277,Barem!$W$2:$Y$13,2,1),VLOOKUP(I277,Barem!$W$14:$Y$25,2,1)))</f>
        <v>0</v>
      </c>
      <c r="R277" s="27">
        <f>VLOOKUP(A277,Participanti!A:C,3,0)</f>
        <v>0</v>
      </c>
      <c r="S277" s="21">
        <f t="shared" si="87"/>
        <v>4.125</v>
      </c>
      <c r="T277" s="82">
        <v>44500</v>
      </c>
      <c r="U277" s="143">
        <f>COUNTIFS(A:A,A277,C:C,C277)</f>
        <v>1</v>
      </c>
      <c r="V277" s="77" t="str">
        <f>VLOOKUP(A277,Data_echipe!A:U,21,0)</f>
        <v>UltraSYR</v>
      </c>
      <c r="X277" s="154">
        <v>1</v>
      </c>
    </row>
    <row r="278" spans="1:24" x14ac:dyDescent="0.25">
      <c r="A278" s="113" t="s">
        <v>60</v>
      </c>
      <c r="B278" s="114" t="str">
        <f>VLOOKUP(A278,Participanti!A:B,2,0)</f>
        <v>M</v>
      </c>
      <c r="C278" s="138">
        <v>8</v>
      </c>
      <c r="D278" s="116">
        <v>10.08</v>
      </c>
      <c r="E278" s="117">
        <v>5.1192129629629629E-2</v>
      </c>
      <c r="F278" s="117">
        <v>5.1875000000000004E-2</v>
      </c>
      <c r="G278" s="118">
        <f t="shared" si="81"/>
        <v>5.1533564814814817E-2</v>
      </c>
      <c r="H278" s="119">
        <v>2</v>
      </c>
      <c r="I278" s="120">
        <f t="shared" si="82"/>
        <v>5.1124568268665497E-3</v>
      </c>
      <c r="J278" s="121">
        <f t="shared" si="83"/>
        <v>2.4</v>
      </c>
      <c r="K278" s="121">
        <f>IF(J278=0,0,IF(B278="F",VLOOKUP(I278,Barem!$G$2:$H$11,2,1),VLOOKUP(I278,Barem!$G$12:$H$21,2,1)))</f>
        <v>1</v>
      </c>
      <c r="L278" s="115" t="str">
        <f>VLOOKUP(C278,Barem!L:Q,6,0)</f>
        <v>V</v>
      </c>
      <c r="M278" s="122">
        <f t="shared" si="84"/>
        <v>0.25</v>
      </c>
      <c r="N278" s="122">
        <f t="shared" si="85"/>
        <v>0.75</v>
      </c>
      <c r="O278" s="123">
        <f t="shared" si="86"/>
        <v>0</v>
      </c>
      <c r="P278" s="124">
        <f>IF(D278&gt;21,VLOOKUP(D278,Barem!$S$1:$T$141,2,1),0)</f>
        <v>0</v>
      </c>
      <c r="Q278" s="124">
        <f>IF(D278&lt;1.609,0,IF(B278="F",VLOOKUP(I278,Barem!$W$2:$Y$13,2,1),VLOOKUP(I278,Barem!$W$14:$Y$25,2,1)))</f>
        <v>0</v>
      </c>
      <c r="R278" s="124">
        <f>VLOOKUP(A278,Participanti!A:C,3,0)</f>
        <v>0</v>
      </c>
      <c r="S278" s="125">
        <f t="shared" si="87"/>
        <v>1.35</v>
      </c>
      <c r="T278" s="126">
        <v>44499</v>
      </c>
      <c r="U278" s="144">
        <f>COUNTIFS(A:A,A278,C:C,C278)</f>
        <v>1</v>
      </c>
      <c r="V278" s="114" t="e">
        <f>VLOOKUP(A278,Data_echipe!A:U,21,0)</f>
        <v>#N/A</v>
      </c>
      <c r="W278" s="127"/>
      <c r="X278" s="154">
        <v>1</v>
      </c>
    </row>
    <row r="279" spans="1:24" x14ac:dyDescent="0.25">
      <c r="A279" s="64" t="s">
        <v>242</v>
      </c>
      <c r="B279" s="77" t="str">
        <f>VLOOKUP(A279,Participanti!A:B,2,0)</f>
        <v>M</v>
      </c>
      <c r="C279" s="139">
        <v>9</v>
      </c>
      <c r="D279" s="66">
        <v>10.01</v>
      </c>
      <c r="E279" s="67">
        <v>2.5312500000000002E-2</v>
      </c>
      <c r="F279" s="67">
        <v>2.5312500000000002E-2</v>
      </c>
      <c r="G279" s="100">
        <f t="shared" si="81"/>
        <v>2.5312500000000002E-2</v>
      </c>
      <c r="H279" s="68">
        <v>49</v>
      </c>
      <c r="I279" s="112">
        <f t="shared" ref="I279:I306" si="88">G279/D279</f>
        <v>2.528721278721279E-3</v>
      </c>
      <c r="J279" s="92">
        <f t="shared" ref="J279:J306" si="89">IF(B279="F",IF(D279&lt;2.5,0,IF(D279&gt;19.99,5,D279/4)),IF(D279&lt;3,0, IF(D279&gt;20.99,5,D279/4.2)))</f>
        <v>2.3833333333333333</v>
      </c>
      <c r="K279" s="92">
        <f>IF(J279=0,0,IF(B279="F",VLOOKUP(I279,Barem!$G$2:$H$11,2,1),VLOOKUP(I279,Barem!$G$12:$H$21,2,1)))</f>
        <v>5</v>
      </c>
      <c r="L279" s="110" t="s">
        <v>110</v>
      </c>
      <c r="M279" s="11">
        <f t="shared" ref="M279:M306" si="90">IF(OR(L279="P1",L279="P2",L279="P3"),"",IF(C279=15,0.5,IF(L279="D",0.75,0.25)))</f>
        <v>0.25</v>
      </c>
      <c r="N279" s="11">
        <f t="shared" ref="N279:N306" si="91">IF(OR(L279="P1",L279="P2",L279="P3"),"",IF(C279=15,0.5,IF(L279="V",0.75,0.25)))</f>
        <v>0.75</v>
      </c>
      <c r="O279" s="49">
        <f t="shared" ref="O279:O306" si="92">IF(H279&lt;-49,H279/1500,IF(H279&gt;49,H279/1500,0))</f>
        <v>0</v>
      </c>
      <c r="P279" s="27">
        <f>IF(D279&gt;21,VLOOKUP(D279,Barem!$S$1:$T$141,2,1),0)</f>
        <v>0</v>
      </c>
      <c r="Q279" s="27">
        <f>IF(D279&lt;1.609,0,IF(B279="F",VLOOKUP(I279,Barem!$W$2:$Y$13,2,1),VLOOKUP(I279,Barem!$W$14:$Y$25,2,1)))</f>
        <v>2.25</v>
      </c>
      <c r="R279" s="27">
        <f>VLOOKUP(A279,Participanti!A:C,3,0)</f>
        <v>0</v>
      </c>
      <c r="S279" s="21">
        <f t="shared" ref="S279:S306" si="93">J279*M279+K279*N279+O279+P279+Q279+R279</f>
        <v>6.5958333333333332</v>
      </c>
      <c r="T279" s="82">
        <v>44502</v>
      </c>
      <c r="U279" s="143">
        <f>COUNTIFS(A:A,A279,C:C,C279)</f>
        <v>1</v>
      </c>
      <c r="V279" s="77" t="str">
        <f>VLOOKUP(A279,Data_echipe!A:U,21,0)</f>
        <v>All Stars</v>
      </c>
      <c r="W279" s="23" t="s">
        <v>305</v>
      </c>
      <c r="X279" s="154">
        <v>1</v>
      </c>
    </row>
    <row r="280" spans="1:24" x14ac:dyDescent="0.25">
      <c r="A280" s="64" t="s">
        <v>152</v>
      </c>
      <c r="B280" s="77" t="str">
        <f>VLOOKUP(A280,Participanti!A:B,2,0)</f>
        <v>F</v>
      </c>
      <c r="C280" s="139">
        <v>9</v>
      </c>
      <c r="D280" s="66">
        <v>42.86</v>
      </c>
      <c r="E280" s="67">
        <v>0.1655439814814815</v>
      </c>
      <c r="F280" s="67">
        <v>0.16585648148148149</v>
      </c>
      <c r="G280" s="100">
        <f t="shared" si="81"/>
        <v>0.1657002314814815</v>
      </c>
      <c r="H280" s="68">
        <v>77</v>
      </c>
      <c r="I280" s="112">
        <f t="shared" si="88"/>
        <v>3.866080995834846E-3</v>
      </c>
      <c r="J280" s="92">
        <f t="shared" si="89"/>
        <v>5</v>
      </c>
      <c r="K280" s="92">
        <f>IF(J280=0,0,IF(B280="F",VLOOKUP(I280,Barem!$G$2:$H$11,2,1),VLOOKUP(I280,Barem!$G$12:$H$21,2,1)))</f>
        <v>2.5</v>
      </c>
      <c r="L280" s="65" t="str">
        <f>VLOOKUP(C280,Barem!L:Q,6,0)</f>
        <v>D</v>
      </c>
      <c r="M280" s="11">
        <f t="shared" si="90"/>
        <v>0.75</v>
      </c>
      <c r="N280" s="11">
        <f t="shared" si="91"/>
        <v>0.25</v>
      </c>
      <c r="O280" s="49">
        <f t="shared" si="92"/>
        <v>5.1333333333333335E-2</v>
      </c>
      <c r="P280" s="27">
        <f>IF(D280&gt;21,VLOOKUP(D280,Barem!$S$1:$T$141,2,1),0)</f>
        <v>1</v>
      </c>
      <c r="Q280" s="27">
        <f>IF(D280&lt;1.609,0,IF(B280="F",VLOOKUP(I280,Barem!$W$2:$Y$13,2,1),VLOOKUP(I280,Barem!$W$14:$Y$25,2,1)))</f>
        <v>0</v>
      </c>
      <c r="R280" s="27">
        <f>VLOOKUP(A280,Participanti!A:C,3,0)</f>
        <v>0</v>
      </c>
      <c r="S280" s="21">
        <f t="shared" si="93"/>
        <v>5.426333333333333</v>
      </c>
      <c r="T280" s="82">
        <v>44507</v>
      </c>
      <c r="U280" s="143">
        <f>COUNTIFS(A:A,A280,C:C,C280)</f>
        <v>1</v>
      </c>
      <c r="V280" s="77" t="str">
        <f>VLOOKUP(A280,Data_echipe!A:U,21,0)</f>
        <v>All Stars</v>
      </c>
      <c r="X280" s="154">
        <v>1</v>
      </c>
    </row>
    <row r="281" spans="1:24" x14ac:dyDescent="0.25">
      <c r="A281" s="64" t="s">
        <v>203</v>
      </c>
      <c r="B281" s="77" t="str">
        <f>VLOOKUP(A281,Participanti!A:B,2,0)</f>
        <v>M</v>
      </c>
      <c r="C281" s="139">
        <v>9</v>
      </c>
      <c r="D281" s="66">
        <v>14.11</v>
      </c>
      <c r="E281" s="67">
        <v>4.0057870370370369E-2</v>
      </c>
      <c r="F281" s="67">
        <v>4.0057870370370369E-2</v>
      </c>
      <c r="G281" s="100">
        <f t="shared" si="81"/>
        <v>4.0057870370370369E-2</v>
      </c>
      <c r="H281" s="68">
        <v>94</v>
      </c>
      <c r="I281" s="112">
        <f t="shared" si="88"/>
        <v>2.838970260125469E-3</v>
      </c>
      <c r="J281" s="92">
        <f t="shared" si="89"/>
        <v>3.3595238095238091</v>
      </c>
      <c r="K281" s="92">
        <f>IF(J281=0,0,IF(B281="F",VLOOKUP(I281,Barem!$G$2:$H$11,2,1),VLOOKUP(I281,Barem!$G$12:$H$21,2,1)))</f>
        <v>4.5</v>
      </c>
      <c r="L281" s="65" t="str">
        <f>VLOOKUP(C281,Barem!L:Q,6,0)</f>
        <v>D</v>
      </c>
      <c r="M281" s="11">
        <f t="shared" si="90"/>
        <v>0.75</v>
      </c>
      <c r="N281" s="11">
        <f t="shared" si="91"/>
        <v>0.25</v>
      </c>
      <c r="O281" s="49">
        <f t="shared" si="92"/>
        <v>6.2666666666666662E-2</v>
      </c>
      <c r="P281" s="27">
        <f>IF(D281&gt;21,VLOOKUP(D281,Barem!$S$1:$T$141,2,1),0)</f>
        <v>0</v>
      </c>
      <c r="Q281" s="27">
        <f>IF(D281&lt;1.609,0,IF(B281="F",VLOOKUP(I281,Barem!$W$2:$Y$13,2,1),VLOOKUP(I281,Barem!$W$14:$Y$25,2,1)))</f>
        <v>0</v>
      </c>
      <c r="R281" s="27">
        <f>VLOOKUP(A281,Participanti!A:C,3,0)</f>
        <v>0</v>
      </c>
      <c r="S281" s="21">
        <f t="shared" si="93"/>
        <v>3.7073095238095237</v>
      </c>
      <c r="T281" s="82">
        <v>44507</v>
      </c>
      <c r="U281" s="143">
        <f>COUNTIFS(A:A,A281,C:C,C281)</f>
        <v>1</v>
      </c>
      <c r="V281" s="77" t="str">
        <f>VLOOKUP(A281,Data_echipe!A:U,21,0)</f>
        <v>All Stars</v>
      </c>
      <c r="X281" s="154">
        <v>1</v>
      </c>
    </row>
    <row r="282" spans="1:24" x14ac:dyDescent="0.25">
      <c r="A282" s="64" t="s">
        <v>51</v>
      </c>
      <c r="B282" s="77" t="str">
        <f>VLOOKUP(A282,Participanti!A:B,2,0)</f>
        <v>M</v>
      </c>
      <c r="C282" s="139">
        <v>9</v>
      </c>
      <c r="D282" s="66">
        <v>31.01</v>
      </c>
      <c r="E282" s="67">
        <v>0.15604166666666666</v>
      </c>
      <c r="F282" s="67">
        <v>0.18552083333333333</v>
      </c>
      <c r="G282" s="100">
        <f t="shared" si="81"/>
        <v>0.17078125</v>
      </c>
      <c r="H282" s="68">
        <v>1504</v>
      </c>
      <c r="I282" s="112">
        <f t="shared" si="88"/>
        <v>5.5072960335375678E-3</v>
      </c>
      <c r="J282" s="92">
        <f t="shared" si="89"/>
        <v>5</v>
      </c>
      <c r="K282" s="92">
        <f>IF(J282=0,0,IF(B282="F",VLOOKUP(I282,Barem!$G$2:$H$11,2,1),VLOOKUP(I282,Barem!$G$12:$H$21,2,1)))</f>
        <v>1</v>
      </c>
      <c r="L282" s="65" t="str">
        <f>VLOOKUP(C282,Barem!L:Q,6,0)</f>
        <v>D</v>
      </c>
      <c r="M282" s="11">
        <f t="shared" si="90"/>
        <v>0.75</v>
      </c>
      <c r="N282" s="11">
        <f t="shared" si="91"/>
        <v>0.25</v>
      </c>
      <c r="O282" s="49">
        <f t="shared" si="92"/>
        <v>1.0026666666666666</v>
      </c>
      <c r="P282" s="27">
        <f>IF(D282&gt;21,VLOOKUP(D282,Barem!$S$1:$T$141,2,1),0)</f>
        <v>0.5</v>
      </c>
      <c r="Q282" s="27">
        <f>IF(D282&lt;1.609,0,IF(B282="F",VLOOKUP(I282,Barem!$W$2:$Y$13,2,1),VLOOKUP(I282,Barem!$W$14:$Y$25,2,1)))</f>
        <v>0</v>
      </c>
      <c r="R282" s="27">
        <f>VLOOKUP(A282,Participanti!A:C,3,0)</f>
        <v>0</v>
      </c>
      <c r="S282" s="21">
        <f t="shared" si="93"/>
        <v>5.5026666666666664</v>
      </c>
      <c r="T282" s="82">
        <v>44506</v>
      </c>
      <c r="U282" s="143">
        <f>COUNTIFS(A:A,A282,C:C,C282)</f>
        <v>1</v>
      </c>
      <c r="V282" s="77" t="str">
        <f>VLOOKUP(A282,Data_echipe!A:U,21,0)</f>
        <v>UltraSYR</v>
      </c>
      <c r="X282" s="154">
        <v>1</v>
      </c>
    </row>
    <row r="283" spans="1:24" x14ac:dyDescent="0.25">
      <c r="A283" s="64" t="s">
        <v>53</v>
      </c>
      <c r="B283" s="77" t="str">
        <f>VLOOKUP(A283,Participanti!A:B,2,0)</f>
        <v>M</v>
      </c>
      <c r="C283" s="139">
        <v>9</v>
      </c>
      <c r="D283" s="66">
        <v>43.03</v>
      </c>
      <c r="E283" s="67">
        <v>0.1328125</v>
      </c>
      <c r="F283" s="67">
        <v>0.13291666666666666</v>
      </c>
      <c r="G283" s="100">
        <f t="shared" si="81"/>
        <v>0.13286458333333334</v>
      </c>
      <c r="H283" s="68">
        <v>185</v>
      </c>
      <c r="I283" s="112">
        <f t="shared" si="88"/>
        <v>3.0877198078859713E-3</v>
      </c>
      <c r="J283" s="92">
        <f t="shared" si="89"/>
        <v>5</v>
      </c>
      <c r="K283" s="92">
        <f>IF(J283=0,0,IF(B283="F",VLOOKUP(I283,Barem!$G$2:$H$11,2,1),VLOOKUP(I283,Barem!$G$12:$H$21,2,1)))</f>
        <v>4</v>
      </c>
      <c r="L283" s="65" t="str">
        <f>VLOOKUP(C283,Barem!L:Q,6,0)</f>
        <v>D</v>
      </c>
      <c r="M283" s="11">
        <f t="shared" si="90"/>
        <v>0.75</v>
      </c>
      <c r="N283" s="11">
        <f t="shared" si="91"/>
        <v>0.25</v>
      </c>
      <c r="O283" s="49">
        <f t="shared" si="92"/>
        <v>0.12333333333333334</v>
      </c>
      <c r="P283" s="27">
        <f>IF(D283&gt;21,VLOOKUP(D283,Barem!$S$1:$T$141,2,1),0)</f>
        <v>1.1000000000000001</v>
      </c>
      <c r="Q283" s="27">
        <f>IF(D283&lt;1.609,0,IF(B283="F",VLOOKUP(I283,Barem!$W$2:$Y$13,2,1),VLOOKUP(I283,Barem!$W$14:$Y$25,2,1)))</f>
        <v>0</v>
      </c>
      <c r="R283" s="27">
        <f>VLOOKUP(A283,Participanti!A:C,3,0)</f>
        <v>0</v>
      </c>
      <c r="S283" s="21">
        <f t="shared" si="93"/>
        <v>5.9733333333333327</v>
      </c>
      <c r="T283" s="82">
        <v>44507</v>
      </c>
      <c r="U283" s="143">
        <f>COUNTIFS(A:A,A283,C:C,C283)</f>
        <v>1</v>
      </c>
      <c r="V283" s="77" t="str">
        <f>VLOOKUP(A283,Data_echipe!A:U,21,0)</f>
        <v>UltraSYR</v>
      </c>
      <c r="X283" s="154">
        <v>1</v>
      </c>
    </row>
    <row r="284" spans="1:24" x14ac:dyDescent="0.25">
      <c r="A284" s="64" t="s">
        <v>211</v>
      </c>
      <c r="B284" s="77" t="str">
        <f>VLOOKUP(A284,Participanti!A:B,2,0)</f>
        <v>F</v>
      </c>
      <c r="C284" s="139">
        <v>9</v>
      </c>
      <c r="D284" s="66">
        <v>4.01</v>
      </c>
      <c r="E284" s="67">
        <v>1.2094907407407408E-2</v>
      </c>
      <c r="F284" s="67">
        <v>1.2164351851851852E-2</v>
      </c>
      <c r="G284" s="100">
        <f t="shared" si="81"/>
        <v>1.2129629629629629E-2</v>
      </c>
      <c r="H284" s="68">
        <v>0</v>
      </c>
      <c r="I284" s="112">
        <f t="shared" si="88"/>
        <v>3.0248452941719775E-3</v>
      </c>
      <c r="J284" s="92">
        <f t="shared" si="89"/>
        <v>1.0024999999999999</v>
      </c>
      <c r="K284" s="92">
        <f>IF(J284=0,0,IF(B284="F",VLOOKUP(I284,Barem!$G$2:$H$11,2,1),VLOOKUP(I284,Barem!$G$12:$H$21,2,1)))</f>
        <v>5</v>
      </c>
      <c r="L284" s="110" t="s">
        <v>110</v>
      </c>
      <c r="M284" s="11">
        <f t="shared" si="90"/>
        <v>0.25</v>
      </c>
      <c r="N284" s="11">
        <f t="shared" si="91"/>
        <v>0.75</v>
      </c>
      <c r="O284" s="49">
        <f t="shared" si="92"/>
        <v>0</v>
      </c>
      <c r="P284" s="27">
        <f>IF(D284&gt;21,VLOOKUP(D284,Barem!$S$1:$T$141,2,1),0)</f>
        <v>0</v>
      </c>
      <c r="Q284" s="27">
        <f>IF(D284&lt;1.609,0,IF(B284="F",VLOOKUP(I284,Barem!$W$2:$Y$13,2,1),VLOOKUP(I284,Barem!$W$14:$Y$25,2,1)))</f>
        <v>0.45000000000000007</v>
      </c>
      <c r="R284" s="27">
        <f>VLOOKUP(A284,Participanti!A:C,3,0)</f>
        <v>0</v>
      </c>
      <c r="S284" s="21">
        <f t="shared" si="93"/>
        <v>4.4506250000000005</v>
      </c>
      <c r="T284" s="82">
        <v>44475</v>
      </c>
      <c r="U284" s="143">
        <f>COUNTIFS(A:A,A284,C:C,C284)</f>
        <v>1</v>
      </c>
      <c r="V284" s="77" t="str">
        <f>VLOOKUP(A284,Data_echipe!A:U,21,0)</f>
        <v>UltraSYR</v>
      </c>
      <c r="X284" s="154">
        <v>1</v>
      </c>
    </row>
    <row r="285" spans="1:24" x14ac:dyDescent="0.25">
      <c r="A285" s="64" t="s">
        <v>80</v>
      </c>
      <c r="B285" s="77" t="str">
        <f>VLOOKUP(A285,Participanti!A:B,2,0)</f>
        <v>M</v>
      </c>
      <c r="C285" s="139">
        <v>9</v>
      </c>
      <c r="D285" s="66">
        <v>88.83</v>
      </c>
      <c r="E285" s="67">
        <v>0.76126157407407413</v>
      </c>
      <c r="F285" s="67">
        <v>0.89237268518518509</v>
      </c>
      <c r="G285" s="100">
        <f t="shared" si="81"/>
        <v>0.82681712962962961</v>
      </c>
      <c r="H285" s="68">
        <v>2606</v>
      </c>
      <c r="I285" s="112">
        <f t="shared" si="88"/>
        <v>9.3078591650301665E-3</v>
      </c>
      <c r="J285" s="92">
        <f t="shared" si="89"/>
        <v>5</v>
      </c>
      <c r="K285" s="92">
        <f>IF(J285=0,0,IF(B285="F",VLOOKUP(I285,Barem!$G$2:$H$11,2,1),VLOOKUP(I285,Barem!$G$12:$H$21,2,1)))</f>
        <v>0</v>
      </c>
      <c r="L285" s="65" t="str">
        <f>VLOOKUP(C285,Barem!L:Q,6,0)</f>
        <v>D</v>
      </c>
      <c r="M285" s="11">
        <f t="shared" si="90"/>
        <v>0.75</v>
      </c>
      <c r="N285" s="11">
        <f t="shared" si="91"/>
        <v>0.25</v>
      </c>
      <c r="O285" s="49">
        <f t="shared" si="92"/>
        <v>1.7373333333333334</v>
      </c>
      <c r="P285" s="27">
        <f>IF(D285&gt;21,VLOOKUP(D285,Barem!$S$1:$T$141,2,1),0)</f>
        <v>3.3</v>
      </c>
      <c r="Q285" s="27">
        <f>IF(D285&lt;1.609,0,IF(B285="F",VLOOKUP(I285,Barem!$W$2:$Y$13,2,1),VLOOKUP(I285,Barem!$W$14:$Y$25,2,1)))</f>
        <v>0</v>
      </c>
      <c r="R285" s="27">
        <f>VLOOKUP(A285,Participanti!A:C,3,0)</f>
        <v>0.4</v>
      </c>
      <c r="S285" s="21">
        <f t="shared" si="93"/>
        <v>9.1873333333333331</v>
      </c>
      <c r="T285" s="82">
        <v>44475</v>
      </c>
      <c r="U285" s="143">
        <f>COUNTIFS(A:A,A285,C:C,C285)</f>
        <v>1</v>
      </c>
      <c r="V285" s="77" t="str">
        <f>VLOOKUP(A285,Data_echipe!A:U,21,0)</f>
        <v>UltraSYR</v>
      </c>
      <c r="X285" s="154"/>
    </row>
    <row r="286" spans="1:24" x14ac:dyDescent="0.25">
      <c r="A286" s="64" t="s">
        <v>118</v>
      </c>
      <c r="B286" s="77" t="str">
        <f>VLOOKUP(A286,Participanti!A:B,2,0)</f>
        <v>M</v>
      </c>
      <c r="C286" s="139">
        <v>9</v>
      </c>
      <c r="D286" s="66">
        <v>12.4</v>
      </c>
      <c r="E286" s="67">
        <v>3.6967592592592594E-2</v>
      </c>
      <c r="F286" s="67">
        <v>3.9247685185185184E-2</v>
      </c>
      <c r="G286" s="100">
        <f t="shared" si="81"/>
        <v>3.8107638888888892E-2</v>
      </c>
      <c r="H286" s="68">
        <v>40</v>
      </c>
      <c r="I286" s="112">
        <f t="shared" si="88"/>
        <v>3.0731966845878138E-3</v>
      </c>
      <c r="J286" s="92">
        <f t="shared" si="89"/>
        <v>2.9523809523809526</v>
      </c>
      <c r="K286" s="92">
        <f>IF(J286=0,0,IF(B286="F",VLOOKUP(I286,Barem!$G$2:$H$11,2,1),VLOOKUP(I286,Barem!$G$12:$H$21,2,1)))</f>
        <v>4</v>
      </c>
      <c r="L286" s="110" t="s">
        <v>110</v>
      </c>
      <c r="M286" s="11">
        <f t="shared" si="90"/>
        <v>0.25</v>
      </c>
      <c r="N286" s="11">
        <f t="shared" si="91"/>
        <v>0.75</v>
      </c>
      <c r="O286" s="49">
        <f t="shared" si="92"/>
        <v>0</v>
      </c>
      <c r="P286" s="27">
        <f>IF(D286&gt;21,VLOOKUP(D286,Barem!$S$1:$T$141,2,1),0)</f>
        <v>0</v>
      </c>
      <c r="Q286" s="27">
        <f>IF(D286&lt;1.609,0,IF(B286="F",VLOOKUP(I286,Barem!$W$2:$Y$13,2,1),VLOOKUP(I286,Barem!$W$14:$Y$25,2,1)))</f>
        <v>0</v>
      </c>
      <c r="R286" s="27">
        <f>VLOOKUP(A286,Participanti!A:C,3,0)</f>
        <v>0</v>
      </c>
      <c r="S286" s="21">
        <f t="shared" si="93"/>
        <v>3.7380952380952381</v>
      </c>
      <c r="T286" s="82">
        <v>44507</v>
      </c>
      <c r="U286" s="143">
        <f>COUNTIFS(A:A,A286,C:C,C286)</f>
        <v>1</v>
      </c>
      <c r="V286" s="77" t="str">
        <f>VLOOKUP(A286,Data_echipe!A:U,21,0)</f>
        <v>UltraSYR</v>
      </c>
      <c r="X286" s="154">
        <v>1</v>
      </c>
    </row>
    <row r="287" spans="1:24" x14ac:dyDescent="0.25">
      <c r="A287" s="64" t="s">
        <v>119</v>
      </c>
      <c r="B287" s="77" t="str">
        <f>VLOOKUP(A287,Participanti!A:B,2,0)</f>
        <v>M</v>
      </c>
      <c r="C287" s="139">
        <v>9</v>
      </c>
      <c r="D287" s="66">
        <v>21.39</v>
      </c>
      <c r="E287" s="67">
        <v>6.0092592592592593E-2</v>
      </c>
      <c r="F287" s="67">
        <v>6.0092592592592593E-2</v>
      </c>
      <c r="G287" s="100">
        <f t="shared" si="81"/>
        <v>6.0092592592592593E-2</v>
      </c>
      <c r="H287" s="68">
        <v>28</v>
      </c>
      <c r="I287" s="112">
        <f t="shared" si="88"/>
        <v>2.8093778678163904E-3</v>
      </c>
      <c r="J287" s="92">
        <f t="shared" si="89"/>
        <v>5</v>
      </c>
      <c r="K287" s="92">
        <f>IF(J287=0,0,IF(B287="F",VLOOKUP(I287,Barem!$G$2:$H$11,2,1),VLOOKUP(I287,Barem!$G$12:$H$21,2,1)))</f>
        <v>4.5</v>
      </c>
      <c r="L287" s="110" t="s">
        <v>110</v>
      </c>
      <c r="M287" s="11">
        <f t="shared" si="90"/>
        <v>0.25</v>
      </c>
      <c r="N287" s="11">
        <f t="shared" si="91"/>
        <v>0.75</v>
      </c>
      <c r="O287" s="49">
        <f t="shared" si="92"/>
        <v>0</v>
      </c>
      <c r="P287" s="27">
        <f>IF(D287&gt;21,VLOOKUP(D287,Barem!$S$1:$T$141,2,1),0)</f>
        <v>0</v>
      </c>
      <c r="Q287" s="27">
        <f>IF(D287&lt;1.609,0,IF(B287="F",VLOOKUP(I287,Barem!$W$2:$Y$13,2,1),VLOOKUP(I287,Barem!$W$14:$Y$25,2,1)))</f>
        <v>0</v>
      </c>
      <c r="R287" s="27">
        <f>VLOOKUP(A287,Participanti!A:C,3,0)</f>
        <v>0</v>
      </c>
      <c r="S287" s="21">
        <f t="shared" si="93"/>
        <v>4.625</v>
      </c>
      <c r="T287" s="82">
        <v>44507</v>
      </c>
      <c r="U287" s="143">
        <f>COUNTIFS(A:A,A287,C:C,C287)</f>
        <v>1</v>
      </c>
      <c r="V287" s="77" t="e">
        <f>VLOOKUP(A287,Data_echipe!A:U,21,0)</f>
        <v>#N/A</v>
      </c>
      <c r="X287" s="154">
        <v>1</v>
      </c>
    </row>
    <row r="288" spans="1:24" x14ac:dyDescent="0.25">
      <c r="A288" s="64" t="s">
        <v>111</v>
      </c>
      <c r="B288" s="77" t="str">
        <f>VLOOKUP(A288,Participanti!A:B,2,0)</f>
        <v>M</v>
      </c>
      <c r="C288" s="139">
        <v>9</v>
      </c>
      <c r="D288" s="66">
        <v>12.3</v>
      </c>
      <c r="E288" s="67">
        <v>0.04</v>
      </c>
      <c r="F288" s="67">
        <v>0.04</v>
      </c>
      <c r="G288" s="100">
        <f t="shared" si="81"/>
        <v>0.04</v>
      </c>
      <c r="H288" s="68">
        <v>9</v>
      </c>
      <c r="I288" s="112">
        <f t="shared" si="88"/>
        <v>3.2520325203252032E-3</v>
      </c>
      <c r="J288" s="92">
        <f t="shared" si="89"/>
        <v>2.9285714285714288</v>
      </c>
      <c r="K288" s="92">
        <f>IF(J288=0,0,IF(B288="F",VLOOKUP(I288,Barem!$G$2:$H$11,2,1),VLOOKUP(I288,Barem!$G$12:$H$21,2,1)))</f>
        <v>3.5</v>
      </c>
      <c r="L288" s="110" t="s">
        <v>110</v>
      </c>
      <c r="M288" s="11">
        <f t="shared" si="90"/>
        <v>0.25</v>
      </c>
      <c r="N288" s="11">
        <f t="shared" si="91"/>
        <v>0.75</v>
      </c>
      <c r="O288" s="49">
        <f t="shared" si="92"/>
        <v>0</v>
      </c>
      <c r="P288" s="27">
        <f>IF(D288&gt;21,VLOOKUP(D288,Barem!$S$1:$T$141,2,1),0)</f>
        <v>0</v>
      </c>
      <c r="Q288" s="27">
        <f>IF(D288&lt;1.609,0,IF(B288="F",VLOOKUP(I288,Barem!$W$2:$Y$13,2,1),VLOOKUP(I288,Barem!$W$14:$Y$25,2,1)))</f>
        <v>0</v>
      </c>
      <c r="R288" s="27">
        <f>VLOOKUP(A288,Participanti!A:C,3,0)</f>
        <v>0</v>
      </c>
      <c r="S288" s="21">
        <f t="shared" si="93"/>
        <v>3.3571428571428572</v>
      </c>
      <c r="T288" s="82">
        <v>44505</v>
      </c>
      <c r="U288" s="143">
        <f>COUNTIFS(A:A,A288,C:C,C288)</f>
        <v>1</v>
      </c>
      <c r="V288" s="77" t="str">
        <f>VLOOKUP(A288,Data_echipe!A:U,21,0)</f>
        <v>UltraSYR</v>
      </c>
      <c r="X288" s="154">
        <v>1</v>
      </c>
    </row>
    <row r="289" spans="1:24" x14ac:dyDescent="0.25">
      <c r="A289" s="64" t="s">
        <v>240</v>
      </c>
      <c r="B289" s="77" t="str">
        <f>VLOOKUP(A289,Participanti!A:B,2,0)</f>
        <v>M</v>
      </c>
      <c r="C289" s="139">
        <v>9</v>
      </c>
      <c r="D289" s="66">
        <v>17.57</v>
      </c>
      <c r="E289" s="67">
        <v>8.9351851851851849E-2</v>
      </c>
      <c r="F289" s="67">
        <v>9.5775462962962965E-2</v>
      </c>
      <c r="G289" s="100">
        <f t="shared" si="81"/>
        <v>9.2563657407407407E-2</v>
      </c>
      <c r="H289" s="68">
        <v>942</v>
      </c>
      <c r="I289" s="112">
        <f t="shared" si="88"/>
        <v>5.2682787369042351E-3</v>
      </c>
      <c r="J289" s="92">
        <f t="shared" si="89"/>
        <v>4.1833333333333336</v>
      </c>
      <c r="K289" s="92">
        <f>IF(J289=0,0,IF(B289="F",VLOOKUP(I289,Barem!$G$2:$H$11,2,1),VLOOKUP(I289,Barem!$G$12:$H$21,2,1)))</f>
        <v>1</v>
      </c>
      <c r="L289" s="65" t="str">
        <f>VLOOKUP(C289,Barem!L:Q,6,0)</f>
        <v>D</v>
      </c>
      <c r="M289" s="11">
        <f t="shared" si="90"/>
        <v>0.75</v>
      </c>
      <c r="N289" s="11">
        <f t="shared" si="91"/>
        <v>0.25</v>
      </c>
      <c r="O289" s="49">
        <f t="shared" si="92"/>
        <v>0.628</v>
      </c>
      <c r="P289" s="27">
        <f>IF(D289&gt;21,VLOOKUP(D289,Barem!$S$1:$T$141,2,1),0)</f>
        <v>0</v>
      </c>
      <c r="Q289" s="27">
        <f>IF(D289&lt;1.609,0,IF(B289="F",VLOOKUP(I289,Barem!$W$2:$Y$13,2,1),VLOOKUP(I289,Barem!$W$14:$Y$25,2,1)))</f>
        <v>0</v>
      </c>
      <c r="R289" s="27">
        <f>VLOOKUP(A289,Participanti!A:C,3,0)</f>
        <v>0</v>
      </c>
      <c r="S289" s="21">
        <f t="shared" si="93"/>
        <v>4.0155000000000003</v>
      </c>
      <c r="T289" s="82">
        <v>44506</v>
      </c>
      <c r="U289" s="143">
        <f>COUNTIFS(A:A,A289,C:C,C289)</f>
        <v>1</v>
      </c>
      <c r="V289" s="77" t="str">
        <f>VLOOKUP(A289,Data_echipe!A:U,21,0)</f>
        <v>All Stars</v>
      </c>
      <c r="X289" s="154">
        <v>1</v>
      </c>
    </row>
    <row r="290" spans="1:24" x14ac:dyDescent="0.25">
      <c r="A290" s="64" t="s">
        <v>102</v>
      </c>
      <c r="B290" s="77" t="str">
        <f>VLOOKUP(A290,Participanti!A:B,2,0)</f>
        <v>M</v>
      </c>
      <c r="C290" s="139">
        <v>9</v>
      </c>
      <c r="D290" s="66">
        <v>17.72</v>
      </c>
      <c r="E290" s="67">
        <v>8.0810185185185179E-2</v>
      </c>
      <c r="F290" s="67">
        <v>8.1747685185185187E-2</v>
      </c>
      <c r="G290" s="100">
        <f t="shared" si="81"/>
        <v>8.1278935185185183E-2</v>
      </c>
      <c r="H290" s="68">
        <v>934</v>
      </c>
      <c r="I290" s="112">
        <f t="shared" si="88"/>
        <v>4.586847358080428E-3</v>
      </c>
      <c r="J290" s="92">
        <f t="shared" si="89"/>
        <v>4.2190476190476183</v>
      </c>
      <c r="K290" s="92">
        <f>IF(J290=0,0,IF(B290="F",VLOOKUP(I290,Barem!$G$2:$H$11,2,1),VLOOKUP(I290,Barem!$G$12:$H$21,2,1)))</f>
        <v>1</v>
      </c>
      <c r="L290" s="65" t="str">
        <f>VLOOKUP(C290,Barem!L:Q,6,0)</f>
        <v>D</v>
      </c>
      <c r="M290" s="11">
        <f t="shared" si="90"/>
        <v>0.75</v>
      </c>
      <c r="N290" s="11">
        <f t="shared" si="91"/>
        <v>0.25</v>
      </c>
      <c r="O290" s="49">
        <f t="shared" si="92"/>
        <v>0.6226666666666667</v>
      </c>
      <c r="P290" s="27">
        <f>IF(D290&gt;21,VLOOKUP(D290,Barem!$S$1:$T$141,2,1),0)</f>
        <v>0</v>
      </c>
      <c r="Q290" s="27">
        <f>IF(D290&lt;1.609,0,IF(B290="F",VLOOKUP(I290,Barem!$W$2:$Y$13,2,1),VLOOKUP(I290,Barem!$W$14:$Y$25,2,1)))</f>
        <v>0</v>
      </c>
      <c r="R290" s="27">
        <f>VLOOKUP(A290,Participanti!A:C,3,0)</f>
        <v>0</v>
      </c>
      <c r="S290" s="21">
        <f t="shared" si="93"/>
        <v>4.0369523809523802</v>
      </c>
      <c r="T290" s="82">
        <v>44506</v>
      </c>
      <c r="U290" s="143">
        <f>COUNTIFS(A:A,A290,C:C,C290)</f>
        <v>1</v>
      </c>
      <c r="V290" s="77" t="str">
        <f>VLOOKUP(A290,Data_echipe!A:U,21,0)</f>
        <v>All Stars</v>
      </c>
      <c r="X290" s="154">
        <v>1</v>
      </c>
    </row>
    <row r="291" spans="1:24" x14ac:dyDescent="0.25">
      <c r="A291" s="64" t="s">
        <v>154</v>
      </c>
      <c r="B291" s="77" t="str">
        <f>VLOOKUP(A291,Participanti!A:B,2,0)</f>
        <v>M</v>
      </c>
      <c r="C291" s="139">
        <v>9</v>
      </c>
      <c r="D291" s="66">
        <v>11.07</v>
      </c>
      <c r="E291" s="67">
        <v>4.010416666666667E-2</v>
      </c>
      <c r="F291" s="67">
        <v>4.0625000000000001E-2</v>
      </c>
      <c r="G291" s="100">
        <f t="shared" si="81"/>
        <v>4.0364583333333336E-2</v>
      </c>
      <c r="H291" s="68">
        <v>23</v>
      </c>
      <c r="I291" s="112">
        <f t="shared" si="88"/>
        <v>3.6463038241493525E-3</v>
      </c>
      <c r="J291" s="92">
        <f t="shared" si="89"/>
        <v>2.6357142857142857</v>
      </c>
      <c r="K291" s="92">
        <f>IF(J291=0,0,IF(B291="F",VLOOKUP(I291,Barem!$G$2:$H$11,2,1),VLOOKUP(I291,Barem!$G$12:$H$21,2,1)))</f>
        <v>2.5</v>
      </c>
      <c r="L291" s="65" t="str">
        <f>VLOOKUP(C291,Barem!L:Q,6,0)</f>
        <v>D</v>
      </c>
      <c r="M291" s="11">
        <f t="shared" si="90"/>
        <v>0.75</v>
      </c>
      <c r="N291" s="11">
        <f t="shared" si="91"/>
        <v>0.25</v>
      </c>
      <c r="O291" s="49">
        <f t="shared" si="92"/>
        <v>0</v>
      </c>
      <c r="P291" s="27">
        <f>IF(D291&gt;21,VLOOKUP(D291,Barem!$S$1:$T$141,2,1),0)</f>
        <v>0</v>
      </c>
      <c r="Q291" s="27">
        <f>IF(D291&lt;1.609,0,IF(B291="F",VLOOKUP(I291,Barem!$W$2:$Y$13,2,1),VLOOKUP(I291,Barem!$W$14:$Y$25,2,1)))</f>
        <v>0</v>
      </c>
      <c r="R291" s="27">
        <f>VLOOKUP(A291,Participanti!A:C,3,0)</f>
        <v>0</v>
      </c>
      <c r="S291" s="21">
        <f t="shared" si="93"/>
        <v>2.6017857142857141</v>
      </c>
      <c r="T291" s="82">
        <v>44503</v>
      </c>
      <c r="U291" s="143">
        <f>COUNTIFS(A:A,A291,C:C,C291)</f>
        <v>1</v>
      </c>
      <c r="V291" s="77" t="str">
        <f>VLOOKUP(A291,Data_echipe!A:U,21,0)</f>
        <v>All Stars</v>
      </c>
      <c r="X291" s="154">
        <v>1</v>
      </c>
    </row>
    <row r="292" spans="1:24" x14ac:dyDescent="0.25">
      <c r="A292" s="64" t="s">
        <v>49</v>
      </c>
      <c r="B292" s="77" t="str">
        <f>VLOOKUP(A292,Participanti!A:B,2,0)</f>
        <v>M</v>
      </c>
      <c r="C292" s="139">
        <v>9</v>
      </c>
      <c r="D292" s="66">
        <v>15.73</v>
      </c>
      <c r="E292" s="67">
        <v>6.0162037037037042E-2</v>
      </c>
      <c r="F292" s="67">
        <v>6.2743055555555552E-2</v>
      </c>
      <c r="G292" s="100">
        <f t="shared" si="81"/>
        <v>6.1452546296296297E-2</v>
      </c>
      <c r="H292" s="68">
        <v>211</v>
      </c>
      <c r="I292" s="112">
        <f t="shared" si="88"/>
        <v>3.9067098726189636E-3</v>
      </c>
      <c r="J292" s="92">
        <f t="shared" si="89"/>
        <v>3.7452380952380953</v>
      </c>
      <c r="K292" s="92">
        <f>IF(J292=0,0,IF(B292="F",VLOOKUP(I292,Barem!$G$2:$H$11,2,1),VLOOKUP(I292,Barem!$G$12:$H$21,2,1)))</f>
        <v>1.5</v>
      </c>
      <c r="L292" s="110" t="s">
        <v>110</v>
      </c>
      <c r="M292" s="11">
        <f t="shared" si="90"/>
        <v>0.25</v>
      </c>
      <c r="N292" s="11">
        <f t="shared" si="91"/>
        <v>0.75</v>
      </c>
      <c r="O292" s="49">
        <f t="shared" si="92"/>
        <v>0.14066666666666666</v>
      </c>
      <c r="P292" s="27">
        <f>IF(D292&gt;21,VLOOKUP(D292,Barem!$S$1:$T$141,2,1),0)</f>
        <v>0</v>
      </c>
      <c r="Q292" s="27">
        <f>IF(D292&lt;1.609,0,IF(B292="F",VLOOKUP(I292,Barem!$W$2:$Y$13,2,1),VLOOKUP(I292,Barem!$W$14:$Y$25,2,1)))</f>
        <v>0</v>
      </c>
      <c r="R292" s="27">
        <f>VLOOKUP(A292,Participanti!A:C,3,0)</f>
        <v>0</v>
      </c>
      <c r="S292" s="21">
        <f t="shared" si="93"/>
        <v>2.2019761904761905</v>
      </c>
      <c r="T292" s="82">
        <v>44507</v>
      </c>
      <c r="U292" s="143">
        <f>COUNTIFS(A:A,A292,C:C,C292)</f>
        <v>1</v>
      </c>
      <c r="V292" s="77" t="str">
        <f>VLOOKUP(A292,Data_echipe!A:U,21,0)</f>
        <v>All Stars</v>
      </c>
      <c r="X292" s="154">
        <v>1</v>
      </c>
    </row>
    <row r="293" spans="1:24" x14ac:dyDescent="0.25">
      <c r="A293" s="64" t="s">
        <v>241</v>
      </c>
      <c r="B293" s="77" t="str">
        <f>VLOOKUP(A293,Participanti!A:B,2,0)</f>
        <v>M</v>
      </c>
      <c r="C293" s="139">
        <v>9</v>
      </c>
      <c r="D293" s="66">
        <v>10.85</v>
      </c>
      <c r="E293" s="67">
        <v>3.3587962962962965E-2</v>
      </c>
      <c r="F293" s="67">
        <v>3.4363425925925929E-2</v>
      </c>
      <c r="G293" s="100">
        <f t="shared" si="81"/>
        <v>3.3975694444444447E-2</v>
      </c>
      <c r="H293" s="68">
        <v>22</v>
      </c>
      <c r="I293" s="112">
        <f t="shared" si="88"/>
        <v>3.1314004096262165E-3</v>
      </c>
      <c r="J293" s="92">
        <f t="shared" si="89"/>
        <v>2.583333333333333</v>
      </c>
      <c r="K293" s="92">
        <f>IF(J293=0,0,IF(B293="F",VLOOKUP(I293,Barem!$G$2:$H$11,2,1),VLOOKUP(I293,Barem!$G$12:$H$21,2,1)))</f>
        <v>4</v>
      </c>
      <c r="L293" s="65" t="str">
        <f>VLOOKUP(C293,Barem!L:Q,6,0)</f>
        <v>D</v>
      </c>
      <c r="M293" s="11">
        <f t="shared" si="90"/>
        <v>0.75</v>
      </c>
      <c r="N293" s="11">
        <f t="shared" si="91"/>
        <v>0.25</v>
      </c>
      <c r="O293" s="49">
        <f t="shared" si="92"/>
        <v>0</v>
      </c>
      <c r="P293" s="27">
        <f>IF(D293&gt;21,VLOOKUP(D293,Barem!$S$1:$T$141,2,1),0)</f>
        <v>0</v>
      </c>
      <c r="Q293" s="27">
        <f>IF(D293&lt;1.609,0,IF(B293="F",VLOOKUP(I293,Barem!$W$2:$Y$13,2,1),VLOOKUP(I293,Barem!$W$14:$Y$25,2,1)))</f>
        <v>0</v>
      </c>
      <c r="R293" s="27">
        <f>VLOOKUP(A293,Participanti!A:C,3,0)</f>
        <v>0</v>
      </c>
      <c r="S293" s="21">
        <f t="shared" si="93"/>
        <v>2.9375</v>
      </c>
      <c r="T293" s="82">
        <v>44507</v>
      </c>
      <c r="U293" s="143">
        <f>COUNTIFS(A:A,A293,C:C,C293)</f>
        <v>1</v>
      </c>
      <c r="V293" s="77" t="e">
        <f>VLOOKUP(A293,Data_echipe!A:U,21,0)</f>
        <v>#N/A</v>
      </c>
      <c r="X293" s="154">
        <v>1</v>
      </c>
    </row>
    <row r="294" spans="1:24" x14ac:dyDescent="0.25">
      <c r="A294" s="64" t="s">
        <v>61</v>
      </c>
      <c r="B294" s="77" t="str">
        <f>VLOOKUP(A294,Participanti!A:B,2,0)</f>
        <v>M</v>
      </c>
      <c r="C294" s="139">
        <v>9</v>
      </c>
      <c r="D294" s="66">
        <v>21.14</v>
      </c>
      <c r="E294" s="67">
        <v>6.7465277777777777E-2</v>
      </c>
      <c r="F294" s="67">
        <v>6.8206018518518527E-2</v>
      </c>
      <c r="G294" s="100">
        <f t="shared" si="81"/>
        <v>6.7835648148148159E-2</v>
      </c>
      <c r="H294" s="68">
        <v>110</v>
      </c>
      <c r="I294" s="112">
        <f t="shared" si="88"/>
        <v>3.2088764497704898E-3</v>
      </c>
      <c r="J294" s="92">
        <f t="shared" si="89"/>
        <v>5</v>
      </c>
      <c r="K294" s="92">
        <f>IF(J294=0,0,IF(B294="F",VLOOKUP(I294,Barem!$G$2:$H$11,2,1),VLOOKUP(I294,Barem!$G$12:$H$21,2,1)))</f>
        <v>3.5</v>
      </c>
      <c r="L294" s="65" t="str">
        <f>VLOOKUP(C294,Barem!L:Q,6,0)</f>
        <v>D</v>
      </c>
      <c r="M294" s="11">
        <f t="shared" si="90"/>
        <v>0.75</v>
      </c>
      <c r="N294" s="11">
        <f t="shared" si="91"/>
        <v>0.25</v>
      </c>
      <c r="O294" s="49">
        <f t="shared" si="92"/>
        <v>7.3333333333333334E-2</v>
      </c>
      <c r="P294" s="27">
        <f>IF(D294&gt;21,VLOOKUP(D294,Barem!$S$1:$T$141,2,1),0)</f>
        <v>0</v>
      </c>
      <c r="Q294" s="27">
        <f>IF(D294&lt;1.609,0,IF(B294="F",VLOOKUP(I294,Barem!$W$2:$Y$13,2,1),VLOOKUP(I294,Barem!$W$14:$Y$25,2,1)))</f>
        <v>0</v>
      </c>
      <c r="R294" s="27">
        <f>VLOOKUP(A294,Participanti!A:C,3,0)</f>
        <v>0</v>
      </c>
      <c r="S294" s="21">
        <f t="shared" si="93"/>
        <v>4.6983333333333333</v>
      </c>
      <c r="T294" s="82">
        <v>44507</v>
      </c>
      <c r="U294" s="143">
        <f>COUNTIFS(A:A,A294,C:C,C294)</f>
        <v>1</v>
      </c>
      <c r="V294" s="77" t="str">
        <f>VLOOKUP(A294,Data_echipe!A:U,21,0)</f>
        <v>UltraSYR</v>
      </c>
      <c r="X294" s="154">
        <v>1</v>
      </c>
    </row>
    <row r="295" spans="1:24" x14ac:dyDescent="0.25">
      <c r="A295" s="64" t="s">
        <v>153</v>
      </c>
      <c r="B295" s="77" t="str">
        <f>VLOOKUP(A295,Participanti!A:B,2,0)</f>
        <v>F</v>
      </c>
      <c r="C295" s="139">
        <v>9</v>
      </c>
      <c r="D295" s="66">
        <v>7.01</v>
      </c>
      <c r="E295" s="67">
        <v>2.6967592592592595E-2</v>
      </c>
      <c r="F295" s="67">
        <v>2.8020833333333332E-2</v>
      </c>
      <c r="G295" s="100">
        <f t="shared" si="81"/>
        <v>2.7494212962962963E-2</v>
      </c>
      <c r="H295" s="68">
        <v>59</v>
      </c>
      <c r="I295" s="112">
        <f t="shared" si="88"/>
        <v>3.9221416494954302E-3</v>
      </c>
      <c r="J295" s="92">
        <f t="shared" si="89"/>
        <v>1.7524999999999999</v>
      </c>
      <c r="K295" s="92">
        <f>IF(J295=0,0,IF(B295="F",VLOOKUP(I295,Barem!$G$2:$H$11,2,1),VLOOKUP(I295,Barem!$G$12:$H$21,2,1)))</f>
        <v>2.5</v>
      </c>
      <c r="L295" s="65" t="str">
        <f>VLOOKUP(C295,Barem!L:Q,6,0)</f>
        <v>D</v>
      </c>
      <c r="M295" s="11">
        <f t="shared" si="90"/>
        <v>0.75</v>
      </c>
      <c r="N295" s="11">
        <f t="shared" si="91"/>
        <v>0.25</v>
      </c>
      <c r="O295" s="49">
        <f t="shared" si="92"/>
        <v>3.9333333333333331E-2</v>
      </c>
      <c r="P295" s="27">
        <f>IF(D295&gt;21,VLOOKUP(D295,Barem!$S$1:$T$141,2,1),0)</f>
        <v>0</v>
      </c>
      <c r="Q295" s="27">
        <f>IF(D295&lt;1.609,0,IF(B295="F",VLOOKUP(I295,Barem!$W$2:$Y$13,2,1),VLOOKUP(I295,Barem!$W$14:$Y$25,2,1)))</f>
        <v>0</v>
      </c>
      <c r="R295" s="27">
        <f>VLOOKUP(A295,Participanti!A:C,3,0)</f>
        <v>0</v>
      </c>
      <c r="S295" s="21">
        <f t="shared" si="93"/>
        <v>1.9787083333333335</v>
      </c>
      <c r="T295" s="82">
        <v>44503</v>
      </c>
      <c r="U295" s="143">
        <f>COUNTIFS(A:A,A295,C:C,C295)</f>
        <v>1</v>
      </c>
      <c r="V295" s="77" t="str">
        <f>VLOOKUP(A295,Data_echipe!A:U,21,0)</f>
        <v>All Stars</v>
      </c>
      <c r="X295" s="154">
        <v>1</v>
      </c>
    </row>
    <row r="296" spans="1:24" x14ac:dyDescent="0.25">
      <c r="A296" s="64" t="s">
        <v>55</v>
      </c>
      <c r="B296" s="77" t="str">
        <f>VLOOKUP(A296,Participanti!A:B,2,0)</f>
        <v>M</v>
      </c>
      <c r="C296" s="139">
        <v>9</v>
      </c>
      <c r="D296" s="66">
        <v>10.33</v>
      </c>
      <c r="E296" s="67">
        <v>4.4699074074074079E-2</v>
      </c>
      <c r="F296" s="67">
        <v>4.4895833333333329E-2</v>
      </c>
      <c r="G296" s="100">
        <f t="shared" si="81"/>
        <v>4.4797453703703707E-2</v>
      </c>
      <c r="H296" s="68">
        <v>13</v>
      </c>
      <c r="I296" s="112">
        <f t="shared" si="88"/>
        <v>4.3366363701552472E-3</v>
      </c>
      <c r="J296" s="92">
        <f t="shared" si="89"/>
        <v>2.4595238095238092</v>
      </c>
      <c r="K296" s="92">
        <f>IF(J296=0,0,IF(B296="F",VLOOKUP(I296,Barem!$G$2:$H$11,2,1),VLOOKUP(I296,Barem!$G$12:$H$21,2,1)))</f>
        <v>1</v>
      </c>
      <c r="L296" s="65" t="str">
        <f>VLOOKUP(C296,Barem!L:Q,6,0)</f>
        <v>D</v>
      </c>
      <c r="M296" s="11">
        <f t="shared" si="90"/>
        <v>0.75</v>
      </c>
      <c r="N296" s="11">
        <f t="shared" si="91"/>
        <v>0.25</v>
      </c>
      <c r="O296" s="49">
        <f t="shared" si="92"/>
        <v>0</v>
      </c>
      <c r="P296" s="27">
        <f>IF(D296&gt;21,VLOOKUP(D296,Barem!$S$1:$T$141,2,1),0)</f>
        <v>0</v>
      </c>
      <c r="Q296" s="27">
        <f>IF(D296&lt;1.609,0,IF(B296="F",VLOOKUP(I296,Barem!$W$2:$Y$13,2,1),VLOOKUP(I296,Barem!$W$14:$Y$25,2,1)))</f>
        <v>0</v>
      </c>
      <c r="R296" s="27">
        <f>VLOOKUP(A296,Participanti!A:C,3,0)</f>
        <v>0</v>
      </c>
      <c r="S296" s="21">
        <f t="shared" si="93"/>
        <v>2.094642857142857</v>
      </c>
      <c r="T296" s="82">
        <v>44504</v>
      </c>
      <c r="U296" s="143">
        <f>COUNTIFS(A:A,A296,C:C,C296)</f>
        <v>1</v>
      </c>
      <c r="V296" s="77" t="e">
        <f>VLOOKUP(A296,Data_echipe!A:U,21,0)</f>
        <v>#N/A</v>
      </c>
      <c r="X296" s="154">
        <v>1</v>
      </c>
    </row>
    <row r="297" spans="1:24" x14ac:dyDescent="0.25">
      <c r="A297" s="64" t="s">
        <v>239</v>
      </c>
      <c r="B297" s="77" t="str">
        <f>VLOOKUP(A297,Participanti!A:B,2,0)</f>
        <v>M</v>
      </c>
      <c r="C297" s="139">
        <v>9</v>
      </c>
      <c r="D297" s="66">
        <v>6.89</v>
      </c>
      <c r="E297" s="67">
        <v>2.193287037037037E-2</v>
      </c>
      <c r="F297" s="67">
        <v>2.2083333333333333E-2</v>
      </c>
      <c r="G297" s="100">
        <f t="shared" si="81"/>
        <v>2.2008101851851852E-2</v>
      </c>
      <c r="H297" s="68">
        <v>2</v>
      </c>
      <c r="I297" s="112">
        <f t="shared" si="88"/>
        <v>3.1942092673224749E-3</v>
      </c>
      <c r="J297" s="92">
        <f t="shared" si="89"/>
        <v>1.6404761904761904</v>
      </c>
      <c r="K297" s="92">
        <f>IF(J297=0,0,IF(B297="F",VLOOKUP(I297,Barem!$G$2:$H$11,2,1),VLOOKUP(I297,Barem!$G$12:$H$21,2,1)))</f>
        <v>3.5</v>
      </c>
      <c r="L297" s="110" t="s">
        <v>110</v>
      </c>
      <c r="M297" s="11">
        <f t="shared" si="90"/>
        <v>0.25</v>
      </c>
      <c r="N297" s="11">
        <f t="shared" si="91"/>
        <v>0.75</v>
      </c>
      <c r="O297" s="49">
        <f t="shared" si="92"/>
        <v>0</v>
      </c>
      <c r="P297" s="27">
        <f>IF(D297&gt;21,VLOOKUP(D297,Barem!$S$1:$T$141,2,1),0)</f>
        <v>0</v>
      </c>
      <c r="Q297" s="27">
        <f>IF(D297&lt;1.609,0,IF(B297="F",VLOOKUP(I297,Barem!$W$2:$Y$13,2,1),VLOOKUP(I297,Barem!$W$14:$Y$25,2,1)))</f>
        <v>0</v>
      </c>
      <c r="R297" s="27">
        <f>VLOOKUP(A297,Participanti!A:C,3,0)</f>
        <v>0</v>
      </c>
      <c r="S297" s="21">
        <f t="shared" si="93"/>
        <v>3.0351190476190477</v>
      </c>
      <c r="T297" s="82">
        <v>44504</v>
      </c>
      <c r="U297" s="143">
        <f>COUNTIFS(A:A,A297,C:C,C297)</f>
        <v>1</v>
      </c>
      <c r="V297" s="77" t="str">
        <f>VLOOKUP(A297,Data_echipe!A:U,21,0)</f>
        <v>All Stars</v>
      </c>
      <c r="X297" s="154">
        <v>1</v>
      </c>
    </row>
    <row r="298" spans="1:24" x14ac:dyDescent="0.25">
      <c r="A298" s="64" t="s">
        <v>103</v>
      </c>
      <c r="B298" s="77" t="str">
        <f>VLOOKUP(A298,Participanti!A:B,2,0)</f>
        <v>F</v>
      </c>
      <c r="C298" s="139">
        <v>9</v>
      </c>
      <c r="D298" s="66"/>
      <c r="E298" s="67"/>
      <c r="F298" s="67"/>
      <c r="G298" s="100"/>
      <c r="H298" s="68"/>
      <c r="I298" s="14"/>
      <c r="J298" s="92"/>
      <c r="K298" s="92"/>
      <c r="L298" s="65"/>
      <c r="M298" s="11"/>
      <c r="N298" s="11"/>
      <c r="O298" s="49"/>
      <c r="S298" s="128">
        <v>1.5</v>
      </c>
      <c r="T298" s="82"/>
      <c r="U298" s="143">
        <f>COUNTIFS(A:A,A298,C:C,C298)</f>
        <v>1</v>
      </c>
      <c r="V298" s="77" t="str">
        <f>VLOOKUP(A298,Data_echipe!A:U,21,0)</f>
        <v>UltraSYR</v>
      </c>
      <c r="X298" s="154"/>
    </row>
    <row r="299" spans="1:24" x14ac:dyDescent="0.25">
      <c r="A299" s="64" t="s">
        <v>196</v>
      </c>
      <c r="B299" s="77" t="str">
        <f>VLOOKUP(A299,Participanti!A:B,2,0)</f>
        <v>F</v>
      </c>
      <c r="C299" s="139">
        <v>9</v>
      </c>
      <c r="D299" s="66">
        <v>15</v>
      </c>
      <c r="E299" s="67">
        <v>5.9108796296296291E-2</v>
      </c>
      <c r="F299" s="67">
        <v>7.9085648148148155E-2</v>
      </c>
      <c r="G299" s="100">
        <f t="shared" si="81"/>
        <v>6.9097222222222227E-2</v>
      </c>
      <c r="H299" s="68">
        <v>33</v>
      </c>
      <c r="I299" s="112">
        <f t="shared" si="88"/>
        <v>4.6064814814814814E-3</v>
      </c>
      <c r="J299" s="92">
        <f t="shared" si="89"/>
        <v>3.75</v>
      </c>
      <c r="K299" s="92">
        <f>IF(J299=0,0,IF(B299="F",VLOOKUP(I299,Barem!$G$2:$H$11,2,1),VLOOKUP(I299,Barem!$G$12:$H$21,2,1)))</f>
        <v>1</v>
      </c>
      <c r="L299" s="110" t="s">
        <v>110</v>
      </c>
      <c r="M299" s="11">
        <f t="shared" si="90"/>
        <v>0.25</v>
      </c>
      <c r="N299" s="11">
        <f t="shared" si="91"/>
        <v>0.75</v>
      </c>
      <c r="O299" s="49">
        <f t="shared" si="92"/>
        <v>0</v>
      </c>
      <c r="P299" s="27">
        <f>IF(D299&gt;21,VLOOKUP(D299,Barem!$S$1:$T$141,2,1),0)</f>
        <v>0</v>
      </c>
      <c r="Q299" s="27">
        <f>IF(D299&lt;1.609,0,IF(B299="F",VLOOKUP(I299,Barem!$W$2:$Y$13,2,1),VLOOKUP(I299,Barem!$W$14:$Y$25,2,1)))</f>
        <v>0</v>
      </c>
      <c r="R299" s="27">
        <f>VLOOKUP(A299,Participanti!A:C,3,0)</f>
        <v>0</v>
      </c>
      <c r="S299" s="21">
        <f t="shared" si="93"/>
        <v>1.6875</v>
      </c>
      <c r="T299" s="82">
        <v>44506</v>
      </c>
      <c r="U299" s="143">
        <f>COUNTIFS(A:A,A299,C:C,C299)</f>
        <v>1</v>
      </c>
      <c r="V299" s="77" t="str">
        <f>VLOOKUP(A299,Data_echipe!A:U,21,0)</f>
        <v>UltraSYR</v>
      </c>
      <c r="X299" s="154">
        <v>1</v>
      </c>
    </row>
    <row r="300" spans="1:24" x14ac:dyDescent="0.25">
      <c r="A300" s="64" t="s">
        <v>7</v>
      </c>
      <c r="B300" s="77" t="str">
        <f>VLOOKUP(A300,Participanti!A:B,2,0)</f>
        <v>M</v>
      </c>
      <c r="C300" s="139">
        <v>9</v>
      </c>
      <c r="D300" s="66">
        <v>15.05</v>
      </c>
      <c r="E300" s="67">
        <v>5.2789351851851851E-2</v>
      </c>
      <c r="F300" s="67">
        <v>5.2789351851851851E-2</v>
      </c>
      <c r="G300" s="100">
        <f t="shared" si="81"/>
        <v>5.2789351851851851E-2</v>
      </c>
      <c r="H300" s="68">
        <v>39</v>
      </c>
      <c r="I300" s="112">
        <f t="shared" si="88"/>
        <v>3.5075981296911526E-3</v>
      </c>
      <c r="J300" s="92">
        <f t="shared" si="89"/>
        <v>3.5833333333333335</v>
      </c>
      <c r="K300" s="92">
        <f>IF(J300=0,0,IF(B300="F",VLOOKUP(I300,Barem!$G$2:$H$11,2,1),VLOOKUP(I300,Barem!$G$12:$H$21,2,1)))</f>
        <v>2.5</v>
      </c>
      <c r="L300" s="65" t="str">
        <f>VLOOKUP(C300,Barem!L:Q,6,0)</f>
        <v>D</v>
      </c>
      <c r="M300" s="11">
        <f t="shared" si="90"/>
        <v>0.75</v>
      </c>
      <c r="N300" s="11">
        <f t="shared" si="91"/>
        <v>0.25</v>
      </c>
      <c r="O300" s="49">
        <f t="shared" si="92"/>
        <v>0</v>
      </c>
      <c r="P300" s="27">
        <f>IF(D300&gt;21,VLOOKUP(D300,Barem!$S$1:$T$141,2,1),0)</f>
        <v>0</v>
      </c>
      <c r="Q300" s="27">
        <f>IF(D300&lt;1.609,0,IF(B300="F",VLOOKUP(I300,Barem!$W$2:$Y$13,2,1),VLOOKUP(I300,Barem!$W$14:$Y$25,2,1)))</f>
        <v>0</v>
      </c>
      <c r="R300" s="27">
        <f>VLOOKUP(A300,Participanti!A:C,3,0)</f>
        <v>0</v>
      </c>
      <c r="S300" s="21">
        <f t="shared" si="93"/>
        <v>3.3125</v>
      </c>
      <c r="T300" s="82">
        <v>44506</v>
      </c>
      <c r="U300" s="143">
        <f>COUNTIFS(A:A,A300,C:C,C300)</f>
        <v>1</v>
      </c>
      <c r="V300" s="77" t="str">
        <f>VLOOKUP(A300,Data_echipe!A:U,21,0)</f>
        <v>All Stars</v>
      </c>
      <c r="X300" s="154">
        <v>1</v>
      </c>
    </row>
    <row r="301" spans="1:24" x14ac:dyDescent="0.25">
      <c r="A301" s="64" t="s">
        <v>66</v>
      </c>
      <c r="B301" s="77" t="str">
        <f>VLOOKUP(A301,Participanti!A:B,2,0)</f>
        <v>F</v>
      </c>
      <c r="C301" s="139">
        <v>9</v>
      </c>
      <c r="D301" s="66">
        <v>8.06</v>
      </c>
      <c r="E301" s="67">
        <v>3.8425925925925926E-2</v>
      </c>
      <c r="F301" s="67">
        <v>5.3842592592592588E-2</v>
      </c>
      <c r="G301" s="100">
        <f t="shared" si="81"/>
        <v>4.6134259259259257E-2</v>
      </c>
      <c r="H301" s="68">
        <v>0</v>
      </c>
      <c r="I301" s="112">
        <f t="shared" si="88"/>
        <v>5.7238535061115703E-3</v>
      </c>
      <c r="J301" s="92">
        <f t="shared" si="89"/>
        <v>2.0150000000000001</v>
      </c>
      <c r="K301" s="92">
        <f>IF(J301=0,0,IF(B301="F",VLOOKUP(I301,Barem!$G$2:$H$11,2,1),VLOOKUP(I301,Barem!$G$12:$H$21,2,1)))</f>
        <v>1</v>
      </c>
      <c r="L301" s="65" t="str">
        <f>VLOOKUP(C301,Barem!L:Q,6,0)</f>
        <v>D</v>
      </c>
      <c r="M301" s="11">
        <f t="shared" si="90"/>
        <v>0.75</v>
      </c>
      <c r="N301" s="11">
        <f t="shared" si="91"/>
        <v>0.25</v>
      </c>
      <c r="O301" s="49">
        <f t="shared" si="92"/>
        <v>0</v>
      </c>
      <c r="P301" s="27">
        <f>IF(D301&gt;21,VLOOKUP(D301,Barem!$S$1:$T$141,2,1),0)</f>
        <v>0</v>
      </c>
      <c r="Q301" s="27">
        <f>IF(D301&lt;1.609,0,IF(B301="F",VLOOKUP(I301,Barem!$W$2:$Y$13,2,1),VLOOKUP(I301,Barem!$W$14:$Y$25,2,1)))</f>
        <v>0</v>
      </c>
      <c r="R301" s="27">
        <f>VLOOKUP(A301,Participanti!A:C,3,0)</f>
        <v>0.7</v>
      </c>
      <c r="S301" s="21">
        <f t="shared" si="93"/>
        <v>2.4612499999999997</v>
      </c>
      <c r="T301" s="82">
        <v>44503</v>
      </c>
      <c r="U301" s="143">
        <f>COUNTIFS(A:A,A301,C:C,C301)</f>
        <v>1</v>
      </c>
      <c r="V301" s="77" t="e">
        <f>VLOOKUP(A301,Data_echipe!A:U,21,0)</f>
        <v>#N/A</v>
      </c>
      <c r="X301" s="154">
        <v>1</v>
      </c>
    </row>
    <row r="302" spans="1:24" x14ac:dyDescent="0.25">
      <c r="A302" s="64" t="s">
        <v>202</v>
      </c>
      <c r="B302" s="77" t="str">
        <f>VLOOKUP(A302,Participanti!A:B,2,0)</f>
        <v>F</v>
      </c>
      <c r="C302" s="139">
        <v>9</v>
      </c>
      <c r="D302" s="66">
        <v>21.16</v>
      </c>
      <c r="E302" s="67">
        <v>9.0995370370370365E-2</v>
      </c>
      <c r="F302" s="67">
        <v>0.10377314814814814</v>
      </c>
      <c r="G302" s="100">
        <f t="shared" si="81"/>
        <v>9.7384259259259254E-2</v>
      </c>
      <c r="H302" s="68">
        <v>13</v>
      </c>
      <c r="I302" s="112">
        <f t="shared" si="88"/>
        <v>4.6022806833298322E-3</v>
      </c>
      <c r="J302" s="92">
        <f t="shared" si="89"/>
        <v>5</v>
      </c>
      <c r="K302" s="92">
        <f>IF(J302=0,0,IF(B302="F",VLOOKUP(I302,Barem!$G$2:$H$11,2,1),VLOOKUP(I302,Barem!$G$12:$H$21,2,1)))</f>
        <v>1</v>
      </c>
      <c r="L302" s="65" t="str">
        <f>VLOOKUP(C302,Barem!L:Q,6,0)</f>
        <v>D</v>
      </c>
      <c r="M302" s="11">
        <f t="shared" si="90"/>
        <v>0.75</v>
      </c>
      <c r="N302" s="11">
        <f t="shared" si="91"/>
        <v>0.25</v>
      </c>
      <c r="O302" s="49">
        <f t="shared" si="92"/>
        <v>0</v>
      </c>
      <c r="P302" s="27">
        <f>IF(D302&gt;21,VLOOKUP(D302,Barem!$S$1:$T$141,2,1),0)</f>
        <v>0</v>
      </c>
      <c r="Q302" s="27">
        <f>IF(D302&lt;1.609,0,IF(B302="F",VLOOKUP(I302,Barem!$W$2:$Y$13,2,1),VLOOKUP(I302,Barem!$W$14:$Y$25,2,1)))</f>
        <v>0</v>
      </c>
      <c r="R302" s="27">
        <f>VLOOKUP(A302,Participanti!A:C,3,0)</f>
        <v>0</v>
      </c>
      <c r="S302" s="21">
        <f t="shared" si="93"/>
        <v>4</v>
      </c>
      <c r="T302" s="82">
        <v>44506</v>
      </c>
      <c r="U302" s="143">
        <f>COUNTIFS(A:A,A302,C:C,C302)</f>
        <v>1</v>
      </c>
      <c r="V302" s="77" t="e">
        <f>VLOOKUP(A302,Data_echipe!A:U,21,0)</f>
        <v>#N/A</v>
      </c>
      <c r="X302" s="154">
        <v>1</v>
      </c>
    </row>
    <row r="303" spans="1:24" x14ac:dyDescent="0.25">
      <c r="A303" s="64" t="s">
        <v>50</v>
      </c>
      <c r="B303" s="77" t="str">
        <f>VLOOKUP(A303,Participanti!A:B,2,0)</f>
        <v>M</v>
      </c>
      <c r="C303" s="139">
        <v>9</v>
      </c>
      <c r="D303" s="66">
        <v>8.84</v>
      </c>
      <c r="E303" s="67">
        <v>3.4131944444444444E-2</v>
      </c>
      <c r="F303" s="67">
        <v>4.5636574074074072E-2</v>
      </c>
      <c r="G303" s="100">
        <f t="shared" si="81"/>
        <v>3.9884259259259258E-2</v>
      </c>
      <c r="H303" s="68">
        <v>12</v>
      </c>
      <c r="I303" s="112">
        <f t="shared" si="88"/>
        <v>4.5117940338528575E-3</v>
      </c>
      <c r="J303" s="92">
        <f t="shared" si="89"/>
        <v>2.1047619047619048</v>
      </c>
      <c r="K303" s="92">
        <f>IF(J303=0,0,IF(B303="F",VLOOKUP(I303,Barem!$G$2:$H$11,2,1),VLOOKUP(I303,Barem!$G$12:$H$21,2,1)))</f>
        <v>1</v>
      </c>
      <c r="L303" s="65" t="str">
        <f>VLOOKUP(C303,Barem!L:Q,6,0)</f>
        <v>D</v>
      </c>
      <c r="M303" s="11">
        <f t="shared" si="90"/>
        <v>0.75</v>
      </c>
      <c r="N303" s="11">
        <f t="shared" si="91"/>
        <v>0.25</v>
      </c>
      <c r="O303" s="49">
        <f t="shared" si="92"/>
        <v>0</v>
      </c>
      <c r="P303" s="27">
        <f>IF(D303&gt;21,VLOOKUP(D303,Barem!$S$1:$T$141,2,1),0)</f>
        <v>0</v>
      </c>
      <c r="Q303" s="27">
        <f>IF(D303&lt;1.609,0,IF(B303="F",VLOOKUP(I303,Barem!$W$2:$Y$13,2,1),VLOOKUP(I303,Barem!$W$14:$Y$25,2,1)))</f>
        <v>0</v>
      </c>
      <c r="R303" s="27">
        <f>VLOOKUP(A303,Participanti!A:C,3,0)</f>
        <v>0.4</v>
      </c>
      <c r="S303" s="21">
        <f t="shared" si="93"/>
        <v>2.2285714285714286</v>
      </c>
      <c r="T303" s="82">
        <v>44507</v>
      </c>
      <c r="U303" s="143">
        <f>COUNTIFS(A:A,A303,C:C,C303)</f>
        <v>1</v>
      </c>
      <c r="V303" s="77" t="str">
        <f>VLOOKUP(A303,Data_echipe!A:U,21,0)</f>
        <v>UltraSYR</v>
      </c>
      <c r="X303" s="154">
        <v>1</v>
      </c>
    </row>
    <row r="304" spans="1:24" x14ac:dyDescent="0.25">
      <c r="A304" s="64" t="s">
        <v>52</v>
      </c>
      <c r="B304" s="77" t="str">
        <f>VLOOKUP(A304,Participanti!A:B,2,0)</f>
        <v>M</v>
      </c>
      <c r="C304" s="139">
        <v>9</v>
      </c>
      <c r="D304" s="66">
        <v>18.59</v>
      </c>
      <c r="E304" s="67">
        <v>0.10859953703703702</v>
      </c>
      <c r="F304" s="67">
        <v>0.14310185185185184</v>
      </c>
      <c r="G304" s="100">
        <f t="shared" si="81"/>
        <v>0.12585069444444444</v>
      </c>
      <c r="H304" s="68">
        <v>982</v>
      </c>
      <c r="I304" s="112">
        <f t="shared" si="88"/>
        <v>6.7698060486522027E-3</v>
      </c>
      <c r="J304" s="92">
        <f t="shared" si="89"/>
        <v>4.4261904761904756</v>
      </c>
      <c r="K304" s="92">
        <f>IF(J304=0,0,IF(B304="F",VLOOKUP(I304,Barem!$G$2:$H$11,2,1),VLOOKUP(I304,Barem!$G$12:$H$21,2,1)))</f>
        <v>0</v>
      </c>
      <c r="L304" s="65" t="str">
        <f>VLOOKUP(C304,Barem!L:Q,6,0)</f>
        <v>D</v>
      </c>
      <c r="M304" s="11">
        <f t="shared" si="90"/>
        <v>0.75</v>
      </c>
      <c r="N304" s="11">
        <f t="shared" si="91"/>
        <v>0.25</v>
      </c>
      <c r="O304" s="49">
        <f t="shared" si="92"/>
        <v>0.65466666666666662</v>
      </c>
      <c r="P304" s="27">
        <f>IF(D304&gt;21,VLOOKUP(D304,Barem!$S$1:$T$141,2,1),0)</f>
        <v>0</v>
      </c>
      <c r="Q304" s="27">
        <f>IF(D304&lt;1.609,0,IF(B304="F",VLOOKUP(I304,Barem!$W$2:$Y$13,2,1),VLOOKUP(I304,Barem!$W$14:$Y$25,2,1)))</f>
        <v>0</v>
      </c>
      <c r="R304" s="27">
        <f>VLOOKUP(A304,Participanti!A:C,3,0)</f>
        <v>0</v>
      </c>
      <c r="S304" s="21">
        <f t="shared" si="93"/>
        <v>3.9743095238095232</v>
      </c>
      <c r="T304" s="82">
        <v>44506</v>
      </c>
      <c r="U304" s="143">
        <f>COUNTIFS(A:A,A304,C:C,C304)</f>
        <v>1</v>
      </c>
      <c r="V304" s="77" t="e">
        <f>VLOOKUP(A304,Data_echipe!A:U,21,0)</f>
        <v>#N/A</v>
      </c>
      <c r="X304" s="154"/>
    </row>
    <row r="305" spans="1:24" x14ac:dyDescent="0.25">
      <c r="A305" s="64" t="s">
        <v>100</v>
      </c>
      <c r="B305" s="77" t="str">
        <f>VLOOKUP(A305,Participanti!A:B,2,0)</f>
        <v>F</v>
      </c>
      <c r="C305" s="139">
        <v>9</v>
      </c>
      <c r="D305" s="66">
        <v>8</v>
      </c>
      <c r="E305" s="67">
        <v>5.618055555555556E-2</v>
      </c>
      <c r="F305" s="67">
        <v>5.9004629629629629E-2</v>
      </c>
      <c r="G305" s="100">
        <f t="shared" si="81"/>
        <v>5.7592592592592598E-2</v>
      </c>
      <c r="H305" s="68">
        <v>44</v>
      </c>
      <c r="I305" s="112">
        <f t="shared" si="88"/>
        <v>7.1990740740740747E-3</v>
      </c>
      <c r="J305" s="92">
        <f t="shared" si="89"/>
        <v>2</v>
      </c>
      <c r="K305" s="92">
        <f>IF(J305=0,0,IF(B305="F",VLOOKUP(I305,Barem!$G$2:$H$11,2,1),VLOOKUP(I305,Barem!$G$12:$H$21,2,1)))</f>
        <v>0</v>
      </c>
      <c r="L305" s="65" t="str">
        <f>VLOOKUP(C305,Barem!L:Q,6,0)</f>
        <v>D</v>
      </c>
      <c r="M305" s="11">
        <f t="shared" si="90"/>
        <v>0.75</v>
      </c>
      <c r="N305" s="11">
        <f t="shared" si="91"/>
        <v>0.25</v>
      </c>
      <c r="O305" s="49">
        <f t="shared" si="92"/>
        <v>0</v>
      </c>
      <c r="P305" s="27">
        <f>IF(D305&gt;21,VLOOKUP(D305,Barem!$S$1:$T$141,2,1),0)</f>
        <v>0</v>
      </c>
      <c r="Q305" s="27">
        <f>IF(D305&lt;1.609,0,IF(B305="F",VLOOKUP(I305,Barem!$W$2:$Y$13,2,1),VLOOKUP(I305,Barem!$W$14:$Y$25,2,1)))</f>
        <v>0</v>
      </c>
      <c r="R305" s="27">
        <f>VLOOKUP(A305,Participanti!A:C,3,0)</f>
        <v>0.4</v>
      </c>
      <c r="S305" s="21">
        <f t="shared" si="93"/>
        <v>1.9</v>
      </c>
      <c r="T305" s="82">
        <v>44506</v>
      </c>
      <c r="U305" s="143">
        <f>COUNTIFS(A:A,A305,C:C,C305)</f>
        <v>1</v>
      </c>
      <c r="V305" s="77" t="str">
        <f>VLOOKUP(A305,Data_echipe!A:U,21,0)</f>
        <v>All Stars</v>
      </c>
      <c r="X305" s="154"/>
    </row>
    <row r="306" spans="1:24" x14ac:dyDescent="0.25">
      <c r="A306" s="113" t="s">
        <v>117</v>
      </c>
      <c r="B306" s="114" t="str">
        <f>VLOOKUP(A306,Participanti!A:B,2,0)</f>
        <v>M</v>
      </c>
      <c r="C306" s="140">
        <v>9</v>
      </c>
      <c r="D306" s="116">
        <v>10.02</v>
      </c>
      <c r="E306" s="117">
        <v>3.8715277777777779E-2</v>
      </c>
      <c r="F306" s="117">
        <v>3.8715277777777779E-2</v>
      </c>
      <c r="G306" s="118">
        <f t="shared" si="81"/>
        <v>3.8715277777777779E-2</v>
      </c>
      <c r="H306" s="119">
        <v>19</v>
      </c>
      <c r="I306" s="120">
        <f t="shared" si="88"/>
        <v>3.8638001774229324E-3</v>
      </c>
      <c r="J306" s="121">
        <f t="shared" si="89"/>
        <v>2.3857142857142857</v>
      </c>
      <c r="K306" s="121">
        <f>IF(J306=0,0,IF(B306="F",VLOOKUP(I306,Barem!$G$2:$H$11,2,1),VLOOKUP(I306,Barem!$G$12:$H$21,2,1)))</f>
        <v>1.5</v>
      </c>
      <c r="L306" s="115" t="str">
        <f>VLOOKUP(C306,Barem!L:Q,6,0)</f>
        <v>D</v>
      </c>
      <c r="M306" s="122">
        <f t="shared" si="90"/>
        <v>0.75</v>
      </c>
      <c r="N306" s="122">
        <f t="shared" si="91"/>
        <v>0.25</v>
      </c>
      <c r="O306" s="123">
        <f t="shared" si="92"/>
        <v>0</v>
      </c>
      <c r="P306" s="124">
        <f>IF(D306&gt;21,VLOOKUP(D306,Barem!$S$1:$T$141,2,1),0)</f>
        <v>0</v>
      </c>
      <c r="Q306" s="124">
        <f>IF(D306&lt;1.609,0,IF(B306="F",VLOOKUP(I306,Barem!$W$2:$Y$13,2,1),VLOOKUP(I306,Barem!$W$14:$Y$25,2,1)))</f>
        <v>0</v>
      </c>
      <c r="R306" s="124">
        <f>VLOOKUP(A306,Participanti!A:C,3,0)</f>
        <v>0</v>
      </c>
      <c r="S306" s="125">
        <f t="shared" si="93"/>
        <v>2.1642857142857141</v>
      </c>
      <c r="T306" s="126">
        <v>44507</v>
      </c>
      <c r="U306" s="144">
        <f>COUNTIFS(A:A,A306,C:C,C306)</f>
        <v>1</v>
      </c>
      <c r="V306" s="114" t="str">
        <f>VLOOKUP(A306,Data_echipe!A:U,21,0)</f>
        <v>UltraSYR</v>
      </c>
      <c r="W306" s="127"/>
      <c r="X306" s="154">
        <v>1</v>
      </c>
    </row>
    <row r="307" spans="1:24" x14ac:dyDescent="0.25">
      <c r="A307" s="64" t="s">
        <v>242</v>
      </c>
      <c r="B307" s="77" t="str">
        <f>VLOOKUP(A307,Participanti!A:B,2,0)</f>
        <v>M</v>
      </c>
      <c r="C307" s="139">
        <v>10</v>
      </c>
      <c r="D307" s="66">
        <v>10.01</v>
      </c>
      <c r="E307" s="67">
        <v>2.4062500000000001E-2</v>
      </c>
      <c r="F307" s="67">
        <v>2.4062500000000001E-2</v>
      </c>
      <c r="G307" s="100">
        <f t="shared" ref="G307:G332" si="94">AVERAGE(E307:F307)</f>
        <v>2.4062500000000001E-2</v>
      </c>
      <c r="H307" s="68">
        <v>0</v>
      </c>
      <c r="I307" s="112">
        <f t="shared" ref="I307:I332" si="95">G307/D307</f>
        <v>2.403846153846154E-3</v>
      </c>
      <c r="J307" s="92">
        <f t="shared" ref="J307:J332" si="96">IF(B307="F",IF(D307&lt;2.5,0,IF(D307&gt;19.99,5,D307/4)),IF(D307&lt;3,0, IF(D307&gt;20.99,5,D307/4.2)))</f>
        <v>2.3833333333333333</v>
      </c>
      <c r="K307" s="92">
        <f>IF(J307=0,0,IF(B307="F",VLOOKUP(I307,Barem!$G$2:$H$11,2,1),VLOOKUP(I307,Barem!$G$12:$H$21,2,1)))</f>
        <v>5</v>
      </c>
      <c r="L307" s="65" t="str">
        <f>VLOOKUP(C307,Barem!L:Q,6,0)</f>
        <v>V</v>
      </c>
      <c r="M307" s="11">
        <f t="shared" ref="M307:M332" si="97">IF(OR(L307="P1",L307="P2",L307="P3"),"",IF(C307=15,0.5,IF(L307="D",0.75,0.25)))</f>
        <v>0.25</v>
      </c>
      <c r="N307" s="11">
        <f t="shared" ref="N307:N332" si="98">IF(OR(L307="P1",L307="P2",L307="P3"),"",IF(C307=15,0.5,IF(L307="V",0.75,0.25)))</f>
        <v>0.75</v>
      </c>
      <c r="O307" s="49">
        <f t="shared" ref="O307:O332" si="99">IF(H307&lt;-49,H307/1500,IF(H307&gt;49,H307/1500,0))</f>
        <v>0</v>
      </c>
      <c r="P307" s="27">
        <f>IF(D307&gt;21,VLOOKUP(D307,Barem!$S$1:$T$141,2,1),0)</f>
        <v>0</v>
      </c>
      <c r="Q307" s="27">
        <f>IF(D307&lt;1.609,0,IF(B307="F",VLOOKUP(I307,Barem!$W$2:$Y$13,2,1),VLOOKUP(I307,Barem!$W$14:$Y$25,2,1)))</f>
        <v>4.1999999999999993</v>
      </c>
      <c r="R307" s="27">
        <f>VLOOKUP(A307,Participanti!A:C,3,0)</f>
        <v>0</v>
      </c>
      <c r="S307" s="21">
        <f t="shared" ref="S307:S332" si="100">J307*M307+K307*N307+O307+P307+Q307+R307</f>
        <v>8.5458333333333325</v>
      </c>
      <c r="T307" s="82">
        <v>44508</v>
      </c>
      <c r="U307" s="143">
        <f>COUNTIFS(A:A,A307,C:C,C307)</f>
        <v>1</v>
      </c>
      <c r="V307" s="77" t="str">
        <f>VLOOKUP(A307,Data_echipe!A:U,21,0)</f>
        <v>All Stars</v>
      </c>
      <c r="W307" s="23" t="s">
        <v>306</v>
      </c>
      <c r="X307" s="154">
        <v>1</v>
      </c>
    </row>
    <row r="308" spans="1:24" x14ac:dyDescent="0.25">
      <c r="A308" s="64" t="s">
        <v>152</v>
      </c>
      <c r="B308" s="77" t="str">
        <f>VLOOKUP(A308,Participanti!A:B,2,0)</f>
        <v>F</v>
      </c>
      <c r="C308" s="139">
        <v>10</v>
      </c>
      <c r="D308" s="66">
        <v>3.69</v>
      </c>
      <c r="E308" s="67">
        <v>9.6759259259259264E-3</v>
      </c>
      <c r="F308" s="67">
        <v>9.6759259259259264E-3</v>
      </c>
      <c r="G308" s="100">
        <f t="shared" si="94"/>
        <v>9.6759259259259264E-3</v>
      </c>
      <c r="H308" s="68">
        <v>-137</v>
      </c>
      <c r="I308" s="112">
        <f t="shared" si="95"/>
        <v>2.6222021479474058E-3</v>
      </c>
      <c r="J308" s="92">
        <f t="shared" si="96"/>
        <v>0.92249999999999999</v>
      </c>
      <c r="K308" s="92">
        <f>IF(J308=0,0,IF(B308="F",VLOOKUP(I308,Barem!$G$2:$H$11,2,1),VLOOKUP(I308,Barem!$G$12:$H$21,2,1)))</f>
        <v>5</v>
      </c>
      <c r="L308" s="65" t="str">
        <f>VLOOKUP(C308,Barem!L:Q,6,0)</f>
        <v>V</v>
      </c>
      <c r="M308" s="11">
        <f t="shared" si="97"/>
        <v>0.25</v>
      </c>
      <c r="N308" s="11">
        <f t="shared" si="98"/>
        <v>0.75</v>
      </c>
      <c r="O308" s="49">
        <f t="shared" si="99"/>
        <v>-9.1333333333333336E-2</v>
      </c>
      <c r="P308" s="27">
        <f>IF(D308&gt;21,VLOOKUP(D308,Barem!$S$1:$T$141,2,1),0)</f>
        <v>0</v>
      </c>
      <c r="Q308" s="27">
        <f>IF(D308&lt;1.609,0,IF(B308="F",VLOOKUP(I308,Barem!$W$2:$Y$13,2,1),VLOOKUP(I308,Barem!$W$14:$Y$25,2,1)))</f>
        <v>6.75</v>
      </c>
      <c r="R308" s="27">
        <f>VLOOKUP(A308,Participanti!A:C,3,0)</f>
        <v>0</v>
      </c>
      <c r="S308" s="21">
        <f t="shared" si="100"/>
        <v>10.639291666666667</v>
      </c>
      <c r="T308" s="82">
        <v>44513</v>
      </c>
      <c r="U308" s="143">
        <f>COUNTIFS(A:A,A308,C:C,C308)</f>
        <v>1</v>
      </c>
      <c r="V308" s="77" t="str">
        <f>VLOOKUP(A308,Data_echipe!A:U,21,0)</f>
        <v>All Stars</v>
      </c>
      <c r="X308" s="154">
        <v>1</v>
      </c>
    </row>
    <row r="309" spans="1:24" x14ac:dyDescent="0.25">
      <c r="A309" s="64" t="s">
        <v>203</v>
      </c>
      <c r="B309" s="77" t="str">
        <f>VLOOKUP(A309,Participanti!A:B,2,0)</f>
        <v>M</v>
      </c>
      <c r="C309" s="139">
        <v>10</v>
      </c>
      <c r="D309" s="66">
        <v>17.559999999999999</v>
      </c>
      <c r="E309" s="67">
        <v>4.8657407407407406E-2</v>
      </c>
      <c r="F309" s="67">
        <v>4.8657407407407406E-2</v>
      </c>
      <c r="G309" s="100">
        <f t="shared" si="94"/>
        <v>4.8657407407407406E-2</v>
      </c>
      <c r="H309" s="68">
        <v>93</v>
      </c>
      <c r="I309" s="112">
        <f t="shared" si="95"/>
        <v>2.7709229730869824E-3</v>
      </c>
      <c r="J309" s="92">
        <f t="shared" si="96"/>
        <v>4.1809523809523803</v>
      </c>
      <c r="K309" s="92">
        <f>IF(J309=0,0,IF(B309="F",VLOOKUP(I309,Barem!$G$2:$H$11,2,1),VLOOKUP(I309,Barem!$G$12:$H$21,2,1)))</f>
        <v>5</v>
      </c>
      <c r="L309" s="65" t="str">
        <f>VLOOKUP(C309,Barem!L:Q,6,0)</f>
        <v>V</v>
      </c>
      <c r="M309" s="11">
        <f t="shared" si="97"/>
        <v>0.25</v>
      </c>
      <c r="N309" s="11">
        <f t="shared" si="98"/>
        <v>0.75</v>
      </c>
      <c r="O309" s="49">
        <f t="shared" si="99"/>
        <v>6.2E-2</v>
      </c>
      <c r="P309" s="27">
        <f>IF(D309&gt;21,VLOOKUP(D309,Barem!$S$1:$T$141,2,1),0)</f>
        <v>0</v>
      </c>
      <c r="Q309" s="27">
        <f>IF(D309&lt;1.609,0,IF(B309="F",VLOOKUP(I309,Barem!$W$2:$Y$13,2,1),VLOOKUP(I309,Barem!$W$14:$Y$25,2,1)))</f>
        <v>0.15000000000000002</v>
      </c>
      <c r="R309" s="27">
        <f>VLOOKUP(A309,Participanti!A:C,3,0)</f>
        <v>0</v>
      </c>
      <c r="S309" s="21">
        <f t="shared" si="100"/>
        <v>5.0072380952380957</v>
      </c>
      <c r="T309" s="82">
        <v>44513</v>
      </c>
      <c r="U309" s="143">
        <f>COUNTIFS(A:A,A309,C:C,C309)</f>
        <v>1</v>
      </c>
      <c r="V309" s="77" t="str">
        <f>VLOOKUP(A309,Data_echipe!A:U,21,0)</f>
        <v>All Stars</v>
      </c>
      <c r="X309" s="154">
        <v>1</v>
      </c>
    </row>
    <row r="310" spans="1:24" x14ac:dyDescent="0.25">
      <c r="A310" s="64" t="s">
        <v>51</v>
      </c>
      <c r="B310" s="77" t="str">
        <f>VLOOKUP(A310,Participanti!A:B,2,0)</f>
        <v>M</v>
      </c>
      <c r="C310" s="139">
        <v>10</v>
      </c>
      <c r="D310" s="66">
        <v>42.22</v>
      </c>
      <c r="E310" s="67">
        <v>0.13674768518518518</v>
      </c>
      <c r="F310" s="67">
        <v>0.13688657407407409</v>
      </c>
      <c r="G310" s="100">
        <f t="shared" si="94"/>
        <v>0.13681712962962964</v>
      </c>
      <c r="H310" s="68">
        <v>85</v>
      </c>
      <c r="I310" s="112">
        <f t="shared" si="95"/>
        <v>3.240576258399565E-3</v>
      </c>
      <c r="J310" s="92">
        <f t="shared" si="96"/>
        <v>5</v>
      </c>
      <c r="K310" s="92">
        <f>IF(J310=0,0,IF(B310="F",VLOOKUP(I310,Barem!$G$2:$H$11,2,1),VLOOKUP(I310,Barem!$G$12:$H$21,2,1)))</f>
        <v>3.5</v>
      </c>
      <c r="L310" s="65" t="str">
        <f>VLOOKUP(C310,Barem!L:Q,6,0)</f>
        <v>V</v>
      </c>
      <c r="M310" s="11">
        <f t="shared" si="97"/>
        <v>0.25</v>
      </c>
      <c r="N310" s="11">
        <f t="shared" si="98"/>
        <v>0.75</v>
      </c>
      <c r="O310" s="49">
        <f t="shared" si="99"/>
        <v>5.6666666666666664E-2</v>
      </c>
      <c r="P310" s="27">
        <f>IF(D310&gt;21,VLOOKUP(D310,Barem!$S$1:$T$141,2,1),0)</f>
        <v>1</v>
      </c>
      <c r="Q310" s="27">
        <f>IF(D310&lt;1.609,0,IF(B310="F",VLOOKUP(I310,Barem!$W$2:$Y$13,2,1),VLOOKUP(I310,Barem!$W$14:$Y$25,2,1)))</f>
        <v>0</v>
      </c>
      <c r="R310" s="27">
        <f>VLOOKUP(A310,Participanti!A:C,3,0)</f>
        <v>0</v>
      </c>
      <c r="S310" s="21">
        <f t="shared" si="100"/>
        <v>4.9316666666666666</v>
      </c>
      <c r="T310" s="82">
        <v>44513</v>
      </c>
      <c r="U310" s="143">
        <f>COUNTIFS(A:A,A310,C:C,C310)</f>
        <v>1</v>
      </c>
      <c r="V310" s="77" t="str">
        <f>VLOOKUP(A310,Data_echipe!A:U,21,0)</f>
        <v>UltraSYR</v>
      </c>
      <c r="X310" s="154">
        <v>1</v>
      </c>
    </row>
    <row r="311" spans="1:24" x14ac:dyDescent="0.25">
      <c r="A311" s="64" t="s">
        <v>53</v>
      </c>
      <c r="B311" s="77" t="str">
        <f>VLOOKUP(A311,Participanti!A:B,2,0)</f>
        <v>M</v>
      </c>
      <c r="C311" s="139">
        <v>10</v>
      </c>
      <c r="D311" s="66">
        <v>4.43</v>
      </c>
      <c r="E311" s="67">
        <v>1.2326388888888888E-2</v>
      </c>
      <c r="F311" s="67">
        <v>1.2326388888888888E-2</v>
      </c>
      <c r="G311" s="100">
        <f t="shared" si="94"/>
        <v>1.2326388888888888E-2</v>
      </c>
      <c r="H311" s="68">
        <v>13</v>
      </c>
      <c r="I311" s="112">
        <f t="shared" si="95"/>
        <v>2.7824805618259342E-3</v>
      </c>
      <c r="J311" s="92">
        <f t="shared" si="96"/>
        <v>1.0547619047619046</v>
      </c>
      <c r="K311" s="92">
        <f>IF(J311=0,0,IF(B311="F",VLOOKUP(I311,Barem!$G$2:$H$11,2,1),VLOOKUP(I311,Barem!$G$12:$H$21,2,1)))</f>
        <v>5</v>
      </c>
      <c r="L311" s="65" t="str">
        <f>VLOOKUP(C311,Barem!L:Q,6,0)</f>
        <v>V</v>
      </c>
      <c r="M311" s="11">
        <f t="shared" si="97"/>
        <v>0.25</v>
      </c>
      <c r="N311" s="11">
        <f t="shared" si="98"/>
        <v>0.75</v>
      </c>
      <c r="O311" s="49">
        <f t="shared" si="99"/>
        <v>0</v>
      </c>
      <c r="P311" s="27">
        <f>IF(D311&gt;21,VLOOKUP(D311,Barem!$S$1:$T$141,2,1),0)</f>
        <v>0</v>
      </c>
      <c r="Q311" s="27">
        <f>IF(D311&lt;1.609,0,IF(B311="F",VLOOKUP(I311,Barem!$W$2:$Y$13,2,1),VLOOKUP(I311,Barem!$W$14:$Y$25,2,1)))</f>
        <v>0</v>
      </c>
      <c r="R311" s="27">
        <f>VLOOKUP(A311,Participanti!A:C,3,0)</f>
        <v>0</v>
      </c>
      <c r="S311" s="21">
        <f t="shared" si="100"/>
        <v>4.0136904761904759</v>
      </c>
      <c r="T311" s="82">
        <v>44513</v>
      </c>
      <c r="U311" s="143">
        <f>COUNTIFS(A:A,A311,C:C,C311)</f>
        <v>1</v>
      </c>
      <c r="V311" s="77" t="str">
        <f>VLOOKUP(A311,Data_echipe!A:U,21,0)</f>
        <v>UltraSYR</v>
      </c>
      <c r="X311" s="154">
        <v>1</v>
      </c>
    </row>
    <row r="312" spans="1:24" x14ac:dyDescent="0.25">
      <c r="A312" s="64" t="s">
        <v>211</v>
      </c>
      <c r="B312" s="77" t="str">
        <f>VLOOKUP(A312,Participanti!A:B,2,0)</f>
        <v>F</v>
      </c>
      <c r="C312" s="139">
        <v>10</v>
      </c>
      <c r="D312" s="66">
        <v>14.34</v>
      </c>
      <c r="E312" s="67">
        <v>5.0173611111111106E-2</v>
      </c>
      <c r="F312" s="67">
        <v>5.4918981481481478E-2</v>
      </c>
      <c r="G312" s="100">
        <f t="shared" si="94"/>
        <v>5.2546296296296292E-2</v>
      </c>
      <c r="H312" s="68">
        <v>79</v>
      </c>
      <c r="I312" s="112">
        <f t="shared" si="95"/>
        <v>3.6643163386538558E-3</v>
      </c>
      <c r="J312" s="92">
        <f t="shared" si="96"/>
        <v>3.585</v>
      </c>
      <c r="K312" s="92">
        <f>IF(J312=0,0,IF(B312="F",VLOOKUP(I312,Barem!$G$2:$H$11,2,1),VLOOKUP(I312,Barem!$G$12:$H$21,2,1)))</f>
        <v>3</v>
      </c>
      <c r="L312" s="110" t="s">
        <v>109</v>
      </c>
      <c r="M312" s="11">
        <f t="shared" si="97"/>
        <v>0.75</v>
      </c>
      <c r="N312" s="11">
        <f t="shared" si="98"/>
        <v>0.25</v>
      </c>
      <c r="O312" s="49">
        <f t="shared" si="99"/>
        <v>5.2666666666666667E-2</v>
      </c>
      <c r="P312" s="27">
        <f>IF(D312&gt;21,VLOOKUP(D312,Barem!$S$1:$T$141,2,1),0)</f>
        <v>0</v>
      </c>
      <c r="Q312" s="27">
        <f>IF(D312&lt;1.609,0,IF(B312="F",VLOOKUP(I312,Barem!$W$2:$Y$13,2,1),VLOOKUP(I312,Barem!$W$14:$Y$25,2,1)))</f>
        <v>0</v>
      </c>
      <c r="R312" s="27">
        <f>VLOOKUP(A312,Participanti!A:C,3,0)</f>
        <v>0</v>
      </c>
      <c r="S312" s="21">
        <f t="shared" si="100"/>
        <v>3.4914166666666664</v>
      </c>
      <c r="T312" s="82">
        <v>44511</v>
      </c>
      <c r="U312" s="143">
        <f>COUNTIFS(A:A,A312,C:C,C312)</f>
        <v>1</v>
      </c>
      <c r="V312" s="77" t="str">
        <f>VLOOKUP(A312,Data_echipe!A:U,21,0)</f>
        <v>UltraSYR</v>
      </c>
      <c r="X312" s="154">
        <v>1</v>
      </c>
    </row>
    <row r="313" spans="1:24" x14ac:dyDescent="0.25">
      <c r="A313" s="64" t="s">
        <v>118</v>
      </c>
      <c r="B313" s="77" t="str">
        <f>VLOOKUP(A313,Participanti!A:B,2,0)</f>
        <v>M</v>
      </c>
      <c r="C313" s="139">
        <v>10</v>
      </c>
      <c r="D313" s="66">
        <v>21.56</v>
      </c>
      <c r="E313" s="67">
        <v>6.7083333333333328E-2</v>
      </c>
      <c r="F313" s="67">
        <v>6.9803240740740735E-2</v>
      </c>
      <c r="G313" s="100">
        <f t="shared" si="94"/>
        <v>6.8443287037037032E-2</v>
      </c>
      <c r="H313" s="68">
        <v>37</v>
      </c>
      <c r="I313" s="112">
        <f t="shared" si="95"/>
        <v>3.1745494915137772E-3</v>
      </c>
      <c r="J313" s="92">
        <f t="shared" si="96"/>
        <v>5</v>
      </c>
      <c r="K313" s="92">
        <f>IF(J313=0,0,IF(B313="F",VLOOKUP(I313,Barem!$G$2:$H$11,2,1),VLOOKUP(I313,Barem!$G$12:$H$21,2,1)))</f>
        <v>3.5</v>
      </c>
      <c r="L313" s="110" t="s">
        <v>109</v>
      </c>
      <c r="M313" s="11">
        <f t="shared" si="97"/>
        <v>0.75</v>
      </c>
      <c r="N313" s="11">
        <f t="shared" si="98"/>
        <v>0.25</v>
      </c>
      <c r="O313" s="49">
        <f t="shared" si="99"/>
        <v>0</v>
      </c>
      <c r="P313" s="27">
        <f>IF(D313&gt;21,VLOOKUP(D313,Barem!$S$1:$T$141,2,1),0)</f>
        <v>0</v>
      </c>
      <c r="Q313" s="27">
        <f>IF(D313&lt;1.609,0,IF(B313="F",VLOOKUP(I313,Barem!$W$2:$Y$13,2,1),VLOOKUP(I313,Barem!$W$14:$Y$25,2,1)))</f>
        <v>0</v>
      </c>
      <c r="R313" s="27">
        <f>VLOOKUP(A313,Participanti!A:C,3,0)</f>
        <v>0</v>
      </c>
      <c r="S313" s="21">
        <f t="shared" si="100"/>
        <v>4.625</v>
      </c>
      <c r="T313" s="82">
        <v>44514</v>
      </c>
      <c r="U313" s="143">
        <f>COUNTIFS(A:A,A313,C:C,C313)</f>
        <v>1</v>
      </c>
      <c r="V313" s="77" t="str">
        <f>VLOOKUP(A313,Data_echipe!A:U,21,0)</f>
        <v>UltraSYR</v>
      </c>
      <c r="X313" s="154">
        <v>1</v>
      </c>
    </row>
    <row r="314" spans="1:24" x14ac:dyDescent="0.25">
      <c r="A314" s="64" t="s">
        <v>119</v>
      </c>
      <c r="B314" s="77" t="str">
        <f>VLOOKUP(A314,Participanti!A:B,2,0)</f>
        <v>M</v>
      </c>
      <c r="C314" s="139">
        <v>10</v>
      </c>
      <c r="D314" s="66">
        <v>10.38</v>
      </c>
      <c r="E314" s="67">
        <v>3.1284722222222221E-2</v>
      </c>
      <c r="F314" s="67">
        <v>3.243055555555556E-2</v>
      </c>
      <c r="G314" s="100">
        <f t="shared" si="94"/>
        <v>3.1857638888888887E-2</v>
      </c>
      <c r="H314" s="68">
        <v>0</v>
      </c>
      <c r="I314" s="112">
        <f t="shared" si="95"/>
        <v>3.0691366944979657E-3</v>
      </c>
      <c r="J314" s="92">
        <f t="shared" si="96"/>
        <v>2.4714285714285715</v>
      </c>
      <c r="K314" s="92">
        <f>IF(J314=0,0,IF(B314="F",VLOOKUP(I314,Barem!$G$2:$H$11,2,1),VLOOKUP(I314,Barem!$G$12:$H$21,2,1)))</f>
        <v>4</v>
      </c>
      <c r="L314" s="65" t="str">
        <f>VLOOKUP(C314,Barem!L:Q,6,0)</f>
        <v>V</v>
      </c>
      <c r="M314" s="11">
        <f t="shared" si="97"/>
        <v>0.25</v>
      </c>
      <c r="N314" s="11">
        <f t="shared" si="98"/>
        <v>0.75</v>
      </c>
      <c r="O314" s="49">
        <f t="shared" si="99"/>
        <v>0</v>
      </c>
      <c r="P314" s="27">
        <f>IF(D314&gt;21,VLOOKUP(D314,Barem!$S$1:$T$141,2,1),0)</f>
        <v>0</v>
      </c>
      <c r="Q314" s="27">
        <f>IF(D314&lt;1.609,0,IF(B314="F",VLOOKUP(I314,Barem!$W$2:$Y$13,2,1),VLOOKUP(I314,Barem!$W$14:$Y$25,2,1)))</f>
        <v>0</v>
      </c>
      <c r="R314" s="27">
        <f>VLOOKUP(A314,Participanti!A:C,3,0)</f>
        <v>0</v>
      </c>
      <c r="S314" s="21">
        <f t="shared" si="100"/>
        <v>3.6178571428571429</v>
      </c>
      <c r="T314" s="82">
        <v>44512</v>
      </c>
      <c r="U314" s="143">
        <f>COUNTIFS(A:A,A314,C:C,C314)</f>
        <v>1</v>
      </c>
      <c r="V314" s="77" t="e">
        <f>VLOOKUP(A314,Data_echipe!A:U,21,0)</f>
        <v>#N/A</v>
      </c>
      <c r="X314" s="154">
        <v>1</v>
      </c>
    </row>
    <row r="315" spans="1:24" x14ac:dyDescent="0.25">
      <c r="A315" s="64" t="s">
        <v>111</v>
      </c>
      <c r="B315" s="77" t="str">
        <f>VLOOKUP(A315,Participanti!A:B,2,0)</f>
        <v>M</v>
      </c>
      <c r="C315" s="139">
        <v>10</v>
      </c>
      <c r="D315" s="66">
        <v>21.1</v>
      </c>
      <c r="E315" s="67">
        <v>6.8680555555555564E-2</v>
      </c>
      <c r="F315" s="67">
        <v>6.8680555555555564E-2</v>
      </c>
      <c r="G315" s="100">
        <f t="shared" si="94"/>
        <v>6.8680555555555564E-2</v>
      </c>
      <c r="H315" s="68">
        <v>10</v>
      </c>
      <c r="I315" s="112">
        <f t="shared" si="95"/>
        <v>3.2550026329647183E-3</v>
      </c>
      <c r="J315" s="92">
        <f t="shared" si="96"/>
        <v>5</v>
      </c>
      <c r="K315" s="92">
        <f>IF(J315=0,0,IF(B315="F",VLOOKUP(I315,Barem!$G$2:$H$11,2,1),VLOOKUP(I315,Barem!$G$12:$H$21,2,1)))</f>
        <v>3.5</v>
      </c>
      <c r="L315" s="110" t="s">
        <v>109</v>
      </c>
      <c r="M315" s="11">
        <f t="shared" si="97"/>
        <v>0.75</v>
      </c>
      <c r="N315" s="11">
        <f t="shared" si="98"/>
        <v>0.25</v>
      </c>
      <c r="O315" s="49">
        <f t="shared" si="99"/>
        <v>0</v>
      </c>
      <c r="P315" s="27">
        <f>IF(D315&gt;21,VLOOKUP(D315,Barem!$S$1:$T$141,2,1),0)</f>
        <v>0</v>
      </c>
      <c r="Q315" s="27">
        <f>IF(D315&lt;1.609,0,IF(B315="F",VLOOKUP(I315,Barem!$W$2:$Y$13,2,1),VLOOKUP(I315,Barem!$W$14:$Y$25,2,1)))</f>
        <v>0</v>
      </c>
      <c r="R315" s="27">
        <f>VLOOKUP(A315,Participanti!A:C,3,0)</f>
        <v>0</v>
      </c>
      <c r="S315" s="21">
        <f t="shared" si="100"/>
        <v>4.625</v>
      </c>
      <c r="T315" s="82">
        <v>44513</v>
      </c>
      <c r="U315" s="143">
        <f>COUNTIFS(A:A,A315,C:C,C315)</f>
        <v>1</v>
      </c>
      <c r="V315" s="77" t="str">
        <f>VLOOKUP(A315,Data_echipe!A:U,21,0)</f>
        <v>UltraSYR</v>
      </c>
      <c r="X315" s="154">
        <v>1</v>
      </c>
    </row>
    <row r="316" spans="1:24" x14ac:dyDescent="0.25">
      <c r="A316" s="64" t="s">
        <v>240</v>
      </c>
      <c r="B316" s="77" t="str">
        <f>VLOOKUP(A316,Participanti!A:B,2,0)</f>
        <v>M</v>
      </c>
      <c r="C316" s="139">
        <v>10</v>
      </c>
      <c r="D316" s="66">
        <v>22.48</v>
      </c>
      <c r="E316" s="67">
        <v>0.14046296296296296</v>
      </c>
      <c r="F316" s="67">
        <v>0.20612268518518517</v>
      </c>
      <c r="G316" s="100">
        <f t="shared" si="94"/>
        <v>0.17329282407407406</v>
      </c>
      <c r="H316" s="68">
        <v>1372</v>
      </c>
      <c r="I316" s="112">
        <f t="shared" si="95"/>
        <v>7.7087555193093441E-3</v>
      </c>
      <c r="J316" s="92">
        <f t="shared" si="96"/>
        <v>5</v>
      </c>
      <c r="K316" s="92">
        <f>IF(J316=0,0,IF(B316="F",VLOOKUP(I316,Barem!$G$2:$H$11,2,1),VLOOKUP(I316,Barem!$G$12:$H$21,2,1)))</f>
        <v>0</v>
      </c>
      <c r="L316" s="110" t="s">
        <v>109</v>
      </c>
      <c r="M316" s="11">
        <f t="shared" si="97"/>
        <v>0.75</v>
      </c>
      <c r="N316" s="11">
        <f t="shared" si="98"/>
        <v>0.25</v>
      </c>
      <c r="O316" s="49">
        <f t="shared" si="99"/>
        <v>0.91466666666666663</v>
      </c>
      <c r="P316" s="27">
        <f>IF(D316&gt;21,VLOOKUP(D316,Barem!$S$1:$T$141,2,1),0)</f>
        <v>0</v>
      </c>
      <c r="Q316" s="27">
        <f>IF(D316&lt;1.609,0,IF(B316="F",VLOOKUP(I316,Barem!$W$2:$Y$13,2,1),VLOOKUP(I316,Barem!$W$14:$Y$25,2,1)))</f>
        <v>0</v>
      </c>
      <c r="R316" s="27">
        <f>VLOOKUP(A316,Participanti!A:C,3,0)</f>
        <v>0</v>
      </c>
      <c r="S316" s="21">
        <f t="shared" si="100"/>
        <v>4.6646666666666663</v>
      </c>
      <c r="T316" s="82">
        <v>44513</v>
      </c>
      <c r="U316" s="143">
        <f>COUNTIFS(A:A,A316,C:C,C316)</f>
        <v>1</v>
      </c>
      <c r="V316" s="77" t="str">
        <f>VLOOKUP(A316,Data_echipe!A:U,21,0)</f>
        <v>All Stars</v>
      </c>
      <c r="X316" s="154"/>
    </row>
    <row r="317" spans="1:24" x14ac:dyDescent="0.25">
      <c r="A317" s="64" t="s">
        <v>244</v>
      </c>
      <c r="B317" s="77" t="str">
        <f>VLOOKUP(A317,Participanti!A:B,2,0)</f>
        <v>M</v>
      </c>
      <c r="C317" s="139">
        <v>10</v>
      </c>
      <c r="D317" s="66">
        <v>23.82</v>
      </c>
      <c r="E317" s="67">
        <v>0.18131944444444445</v>
      </c>
      <c r="F317" s="67">
        <v>0.22045138888888891</v>
      </c>
      <c r="G317" s="100">
        <f t="shared" si="94"/>
        <v>0.20088541666666668</v>
      </c>
      <c r="H317" s="68">
        <v>1307</v>
      </c>
      <c r="I317" s="112">
        <f t="shared" si="95"/>
        <v>8.4334767702211027E-3</v>
      </c>
      <c r="J317" s="92">
        <f t="shared" si="96"/>
        <v>5</v>
      </c>
      <c r="K317" s="92">
        <f>IF(J317=0,0,IF(B317="F",VLOOKUP(I317,Barem!$G$2:$H$11,2,1),VLOOKUP(I317,Barem!$G$12:$H$21,2,1)))</f>
        <v>0</v>
      </c>
      <c r="L317" s="110" t="s">
        <v>109</v>
      </c>
      <c r="M317" s="11">
        <f t="shared" si="97"/>
        <v>0.75</v>
      </c>
      <c r="N317" s="11">
        <f t="shared" si="98"/>
        <v>0.25</v>
      </c>
      <c r="O317" s="49">
        <f t="shared" si="99"/>
        <v>0.87133333333333329</v>
      </c>
      <c r="P317" s="27">
        <f>IF(D317&gt;21,VLOOKUP(D317,Barem!$S$1:$T$141,2,1),0)</f>
        <v>0.1</v>
      </c>
      <c r="Q317" s="27">
        <f>IF(D317&lt;1.609,0,IF(B317="F",VLOOKUP(I317,Barem!$W$2:$Y$13,2,1),VLOOKUP(I317,Barem!$W$14:$Y$25,2,1)))</f>
        <v>0</v>
      </c>
      <c r="R317" s="27">
        <f>VLOOKUP(A317,Participanti!A:C,3,0)</f>
        <v>0</v>
      </c>
      <c r="S317" s="21">
        <f t="shared" si="100"/>
        <v>4.7213333333333329</v>
      </c>
      <c r="T317" s="82">
        <v>44514</v>
      </c>
      <c r="U317" s="143">
        <f>COUNTIFS(A:A,A317,C:C,C317)</f>
        <v>1</v>
      </c>
      <c r="V317" s="77" t="str">
        <f>VLOOKUP(A317,Data_echipe!A:U,21,0)</f>
        <v>All Stars</v>
      </c>
      <c r="X317" s="154"/>
    </row>
    <row r="318" spans="1:24" x14ac:dyDescent="0.25">
      <c r="A318" s="64" t="s">
        <v>67</v>
      </c>
      <c r="B318" s="77" t="str">
        <f>VLOOKUP(A318,Participanti!A:B,2,0)</f>
        <v>M</v>
      </c>
      <c r="C318" s="139">
        <v>10</v>
      </c>
      <c r="D318" s="66">
        <v>5</v>
      </c>
      <c r="E318" s="67">
        <v>1.6782407407407409E-2</v>
      </c>
      <c r="F318" s="67">
        <v>1.6782407407407409E-2</v>
      </c>
      <c r="G318" s="100">
        <f t="shared" si="94"/>
        <v>1.6782407407407409E-2</v>
      </c>
      <c r="H318" s="68">
        <v>18</v>
      </c>
      <c r="I318" s="112">
        <f t="shared" si="95"/>
        <v>3.356481481481482E-3</v>
      </c>
      <c r="J318" s="92">
        <f t="shared" si="96"/>
        <v>1.1904761904761905</v>
      </c>
      <c r="K318" s="92">
        <f>IF(J318=0,0,IF(B318="F",VLOOKUP(I318,Barem!$G$2:$H$11,2,1),VLOOKUP(I318,Barem!$G$12:$H$21,2,1)))</f>
        <v>3</v>
      </c>
      <c r="L318" s="65" t="str">
        <f>VLOOKUP(C318,Barem!L:Q,6,0)</f>
        <v>V</v>
      </c>
      <c r="M318" s="11">
        <f t="shared" si="97"/>
        <v>0.25</v>
      </c>
      <c r="N318" s="11">
        <f t="shared" si="98"/>
        <v>0.75</v>
      </c>
      <c r="O318" s="49">
        <f t="shared" si="99"/>
        <v>0</v>
      </c>
      <c r="P318" s="27">
        <f>IF(D318&gt;21,VLOOKUP(D318,Barem!$S$1:$T$141,2,1),0)</f>
        <v>0</v>
      </c>
      <c r="Q318" s="27">
        <f>IF(D318&lt;1.609,0,IF(B318="F",VLOOKUP(I318,Barem!$W$2:$Y$13,2,1),VLOOKUP(I318,Barem!$W$14:$Y$25,2,1)))</f>
        <v>0</v>
      </c>
      <c r="R318" s="27">
        <f>VLOOKUP(A318,Participanti!A:C,3,0)</f>
        <v>0</v>
      </c>
      <c r="S318" s="21">
        <f t="shared" si="100"/>
        <v>2.5476190476190474</v>
      </c>
      <c r="T318" s="82">
        <v>44510</v>
      </c>
      <c r="U318" s="143">
        <f>COUNTIFS(A:A,A318,C:C,C318)</f>
        <v>1</v>
      </c>
      <c r="V318" s="77" t="e">
        <f>VLOOKUP(A318,Data_echipe!A:U,21,0)</f>
        <v>#N/A</v>
      </c>
      <c r="X318" s="154">
        <v>1</v>
      </c>
    </row>
    <row r="319" spans="1:24" x14ac:dyDescent="0.25">
      <c r="A319" s="64" t="s">
        <v>102</v>
      </c>
      <c r="B319" s="77" t="str">
        <f>VLOOKUP(A319,Participanti!A:B,2,0)</f>
        <v>M</v>
      </c>
      <c r="C319" s="139">
        <v>10</v>
      </c>
      <c r="D319" s="66">
        <v>6.01</v>
      </c>
      <c r="E319" s="67">
        <v>2.3043981481481481E-2</v>
      </c>
      <c r="F319" s="67">
        <v>2.5497685185185189E-2</v>
      </c>
      <c r="G319" s="100">
        <f t="shared" si="94"/>
        <v>2.4270833333333335E-2</v>
      </c>
      <c r="H319" s="68">
        <v>2</v>
      </c>
      <c r="I319" s="112">
        <f t="shared" si="95"/>
        <v>4.0384082085413208E-3</v>
      </c>
      <c r="J319" s="92">
        <f t="shared" si="96"/>
        <v>1.4309523809523808</v>
      </c>
      <c r="K319" s="92">
        <f>IF(J319=0,0,IF(B319="F",VLOOKUP(I319,Barem!$G$2:$H$11,2,1),VLOOKUP(I319,Barem!$G$12:$H$21,2,1)))</f>
        <v>1.5</v>
      </c>
      <c r="L319" s="65" t="str">
        <f>VLOOKUP(C319,Barem!L:Q,6,0)</f>
        <v>V</v>
      </c>
      <c r="M319" s="11">
        <f t="shared" si="97"/>
        <v>0.25</v>
      </c>
      <c r="N319" s="11">
        <f t="shared" si="98"/>
        <v>0.75</v>
      </c>
      <c r="O319" s="49">
        <f t="shared" si="99"/>
        <v>0</v>
      </c>
      <c r="P319" s="27">
        <f>IF(D319&gt;21,VLOOKUP(D319,Barem!$S$1:$T$141,2,1),0)</f>
        <v>0</v>
      </c>
      <c r="Q319" s="27">
        <f>IF(D319&lt;1.609,0,IF(B319="F",VLOOKUP(I319,Barem!$W$2:$Y$13,2,1),VLOOKUP(I319,Barem!$W$14:$Y$25,2,1)))</f>
        <v>0</v>
      </c>
      <c r="R319" s="27">
        <f>VLOOKUP(A319,Participanti!A:C,3,0)</f>
        <v>0</v>
      </c>
      <c r="S319" s="21">
        <f t="shared" si="100"/>
        <v>1.4827380952380951</v>
      </c>
      <c r="T319" s="82">
        <v>44482</v>
      </c>
      <c r="U319" s="143">
        <f>COUNTIFS(A:A,A319,C:C,C319)</f>
        <v>1</v>
      </c>
      <c r="V319" s="77" t="str">
        <f>VLOOKUP(A319,Data_echipe!A:U,21,0)</f>
        <v>All Stars</v>
      </c>
      <c r="X319" s="154">
        <v>1</v>
      </c>
    </row>
    <row r="320" spans="1:24" x14ac:dyDescent="0.25">
      <c r="A320" s="64" t="s">
        <v>154</v>
      </c>
      <c r="B320" s="77" t="str">
        <f>VLOOKUP(A320,Participanti!A:B,2,0)</f>
        <v>M</v>
      </c>
      <c r="C320" s="139">
        <v>10</v>
      </c>
      <c r="D320" s="66">
        <v>12.01</v>
      </c>
      <c r="E320" s="67">
        <v>4.1319444444444443E-2</v>
      </c>
      <c r="F320" s="67">
        <v>4.6840277777777779E-2</v>
      </c>
      <c r="G320" s="100">
        <f t="shared" si="94"/>
        <v>4.4079861111111111E-2</v>
      </c>
      <c r="H320" s="68">
        <v>47</v>
      </c>
      <c r="I320" s="112">
        <f t="shared" si="95"/>
        <v>3.6702632065871033E-3</v>
      </c>
      <c r="J320" s="92">
        <f t="shared" si="96"/>
        <v>2.8595238095238091</v>
      </c>
      <c r="K320" s="92">
        <f>IF(J320=0,0,IF(B320="F",VLOOKUP(I320,Barem!$G$2:$H$11,2,1),VLOOKUP(I320,Barem!$G$12:$H$21,2,1)))</f>
        <v>2</v>
      </c>
      <c r="L320" s="65" t="str">
        <f>VLOOKUP(C320,Barem!L:Q,6,0)</f>
        <v>V</v>
      </c>
      <c r="M320" s="11">
        <f t="shared" si="97"/>
        <v>0.25</v>
      </c>
      <c r="N320" s="11">
        <f t="shared" si="98"/>
        <v>0.75</v>
      </c>
      <c r="O320" s="49">
        <f t="shared" si="99"/>
        <v>0</v>
      </c>
      <c r="P320" s="27">
        <f>IF(D320&gt;21,VLOOKUP(D320,Barem!$S$1:$T$141,2,1),0)</f>
        <v>0</v>
      </c>
      <c r="Q320" s="27">
        <f>IF(D320&lt;1.609,0,IF(B320="F",VLOOKUP(I320,Barem!$W$2:$Y$13,2,1),VLOOKUP(I320,Barem!$W$14:$Y$25,2,1)))</f>
        <v>0</v>
      </c>
      <c r="R320" s="27">
        <f>VLOOKUP(A320,Participanti!A:C,3,0)</f>
        <v>0</v>
      </c>
      <c r="S320" s="21">
        <f t="shared" si="100"/>
        <v>2.2148809523809523</v>
      </c>
      <c r="T320" s="82">
        <v>44478</v>
      </c>
      <c r="U320" s="143">
        <f>COUNTIFS(A:A,A320,C:C,C320)</f>
        <v>1</v>
      </c>
      <c r="V320" s="77" t="str">
        <f>VLOOKUP(A320,Data_echipe!A:U,21,0)</f>
        <v>All Stars</v>
      </c>
      <c r="X320" s="154">
        <v>1</v>
      </c>
    </row>
    <row r="321" spans="1:24" x14ac:dyDescent="0.25">
      <c r="A321" s="64" t="s">
        <v>49</v>
      </c>
      <c r="B321" s="77" t="str">
        <f>VLOOKUP(A321,Participanti!A:B,2,0)</f>
        <v>M</v>
      </c>
      <c r="C321" s="139">
        <v>10</v>
      </c>
      <c r="D321" s="66">
        <v>11.61</v>
      </c>
      <c r="E321" s="67">
        <v>3.9756944444444449E-2</v>
      </c>
      <c r="F321" s="67">
        <v>3.9953703703703707E-2</v>
      </c>
      <c r="G321" s="100">
        <f t="shared" si="94"/>
        <v>3.9855324074074078E-2</v>
      </c>
      <c r="H321" s="68">
        <v>16</v>
      </c>
      <c r="I321" s="112">
        <f t="shared" si="95"/>
        <v>3.4328444508246406E-3</v>
      </c>
      <c r="J321" s="92">
        <f t="shared" si="96"/>
        <v>2.7642857142857142</v>
      </c>
      <c r="K321" s="92">
        <f>IF(J321=0,0,IF(B321="F",VLOOKUP(I321,Barem!$G$2:$H$11,2,1),VLOOKUP(I321,Barem!$G$12:$H$21,2,1)))</f>
        <v>3</v>
      </c>
      <c r="L321" s="65" t="str">
        <f>VLOOKUP(C321,Barem!L:Q,6,0)</f>
        <v>V</v>
      </c>
      <c r="M321" s="11">
        <f t="shared" si="97"/>
        <v>0.25</v>
      </c>
      <c r="N321" s="11">
        <f t="shared" si="98"/>
        <v>0.75</v>
      </c>
      <c r="O321" s="49">
        <f t="shared" si="99"/>
        <v>0</v>
      </c>
      <c r="P321" s="27">
        <f>IF(D321&gt;21,VLOOKUP(D321,Barem!$S$1:$T$141,2,1),0)</f>
        <v>0</v>
      </c>
      <c r="Q321" s="27">
        <f>IF(D321&lt;1.609,0,IF(B321="F",VLOOKUP(I321,Barem!$W$2:$Y$13,2,1),VLOOKUP(I321,Barem!$W$14:$Y$25,2,1)))</f>
        <v>0</v>
      </c>
      <c r="R321" s="27">
        <f>VLOOKUP(A321,Participanti!A:C,3,0)</f>
        <v>0</v>
      </c>
      <c r="S321" s="21">
        <f t="shared" si="100"/>
        <v>2.9410714285714286</v>
      </c>
      <c r="T321" s="82">
        <v>44481</v>
      </c>
      <c r="U321" s="143">
        <f>COUNTIFS(A:A,A321,C:C,C321)</f>
        <v>1</v>
      </c>
      <c r="V321" s="77" t="str">
        <f>VLOOKUP(A321,Data_echipe!A:U,21,0)</f>
        <v>All Stars</v>
      </c>
      <c r="X321" s="154">
        <v>1</v>
      </c>
    </row>
    <row r="322" spans="1:24" x14ac:dyDescent="0.25">
      <c r="A322" s="64" t="s">
        <v>241</v>
      </c>
      <c r="B322" s="77" t="str">
        <f>VLOOKUP(A322,Participanti!A:B,2,0)</f>
        <v>M</v>
      </c>
      <c r="C322" s="139">
        <v>10</v>
      </c>
      <c r="D322" s="66">
        <v>11.2</v>
      </c>
      <c r="E322" s="67">
        <v>3.7488425925925925E-2</v>
      </c>
      <c r="F322" s="67">
        <v>4.3055555555555562E-2</v>
      </c>
      <c r="G322" s="100">
        <f t="shared" si="94"/>
        <v>4.027199074074074E-2</v>
      </c>
      <c r="H322" s="68">
        <v>19</v>
      </c>
      <c r="I322" s="112">
        <f t="shared" si="95"/>
        <v>3.5957134589947094E-3</v>
      </c>
      <c r="J322" s="92">
        <f t="shared" si="96"/>
        <v>2.6666666666666665</v>
      </c>
      <c r="K322" s="92">
        <f>IF(J322=0,0,IF(B322="F",VLOOKUP(I322,Barem!$G$2:$H$11,2,1),VLOOKUP(I322,Barem!$G$12:$H$21,2,1)))</f>
        <v>2.5</v>
      </c>
      <c r="L322" s="65" t="str">
        <f>VLOOKUP(C322,Barem!L:Q,6,0)</f>
        <v>V</v>
      </c>
      <c r="M322" s="11">
        <f t="shared" si="97"/>
        <v>0.25</v>
      </c>
      <c r="N322" s="11">
        <f t="shared" si="98"/>
        <v>0.75</v>
      </c>
      <c r="O322" s="49">
        <f t="shared" si="99"/>
        <v>0</v>
      </c>
      <c r="P322" s="27">
        <f>IF(D322&gt;21,VLOOKUP(D322,Barem!$S$1:$T$141,2,1),0)</f>
        <v>0</v>
      </c>
      <c r="Q322" s="27">
        <f>IF(D322&lt;1.609,0,IF(B322="F",VLOOKUP(I322,Barem!$W$2:$Y$13,2,1),VLOOKUP(I322,Barem!$W$14:$Y$25,2,1)))</f>
        <v>0</v>
      </c>
      <c r="R322" s="27">
        <f>VLOOKUP(A322,Participanti!A:C,3,0)</f>
        <v>0</v>
      </c>
      <c r="S322" s="21">
        <f t="shared" si="100"/>
        <v>2.5416666666666665</v>
      </c>
      <c r="T322" s="82">
        <v>44511</v>
      </c>
      <c r="U322" s="143">
        <f>COUNTIFS(A:A,A322,C:C,C322)</f>
        <v>1</v>
      </c>
      <c r="V322" s="77" t="e">
        <f>VLOOKUP(A322,Data_echipe!A:U,21,0)</f>
        <v>#N/A</v>
      </c>
      <c r="X322" s="154">
        <v>1</v>
      </c>
    </row>
    <row r="323" spans="1:24" x14ac:dyDescent="0.25">
      <c r="A323" s="64" t="s">
        <v>153</v>
      </c>
      <c r="B323" s="77" t="str">
        <f>VLOOKUP(A323,Participanti!A:B,2,0)</f>
        <v>F</v>
      </c>
      <c r="C323" s="139">
        <v>10</v>
      </c>
      <c r="D323" s="66">
        <v>15</v>
      </c>
      <c r="E323" s="67">
        <v>5.8287037037037033E-2</v>
      </c>
      <c r="F323" s="67">
        <v>6.1828703703703712E-2</v>
      </c>
      <c r="G323" s="100">
        <f t="shared" si="94"/>
        <v>6.0057870370370373E-2</v>
      </c>
      <c r="H323" s="68">
        <v>79</v>
      </c>
      <c r="I323" s="112">
        <f t="shared" si="95"/>
        <v>4.0038580246913582E-3</v>
      </c>
      <c r="J323" s="92">
        <f t="shared" si="96"/>
        <v>3.75</v>
      </c>
      <c r="K323" s="92">
        <f>IF(J323=0,0,IF(B323="F",VLOOKUP(I323,Barem!$G$2:$H$11,2,1),VLOOKUP(I323,Barem!$G$12:$H$21,2,1)))</f>
        <v>2.5</v>
      </c>
      <c r="L323" s="110" t="s">
        <v>109</v>
      </c>
      <c r="M323" s="11">
        <f t="shared" si="97"/>
        <v>0.75</v>
      </c>
      <c r="N323" s="11">
        <f t="shared" si="98"/>
        <v>0.25</v>
      </c>
      <c r="O323" s="49">
        <f t="shared" si="99"/>
        <v>5.2666666666666667E-2</v>
      </c>
      <c r="P323" s="27">
        <f>IF(D323&gt;21,VLOOKUP(D323,Barem!$S$1:$T$141,2,1),0)</f>
        <v>0</v>
      </c>
      <c r="Q323" s="27">
        <f>IF(D323&lt;1.609,0,IF(B323="F",VLOOKUP(I323,Barem!$W$2:$Y$13,2,1),VLOOKUP(I323,Barem!$W$14:$Y$25,2,1)))</f>
        <v>0</v>
      </c>
      <c r="R323" s="27">
        <f>VLOOKUP(A323,Participanti!A:C,3,0)</f>
        <v>0</v>
      </c>
      <c r="S323" s="21">
        <f t="shared" si="100"/>
        <v>3.4901666666666666</v>
      </c>
      <c r="T323" s="82">
        <v>44510</v>
      </c>
      <c r="U323" s="143">
        <f>COUNTIFS(A:A,A323,C:C,C323)</f>
        <v>1</v>
      </c>
      <c r="V323" s="77" t="str">
        <f>VLOOKUP(A323,Data_echipe!A:U,21,0)</f>
        <v>All Stars</v>
      </c>
      <c r="X323" s="154">
        <v>1</v>
      </c>
    </row>
    <row r="324" spans="1:24" x14ac:dyDescent="0.25">
      <c r="A324" s="64" t="s">
        <v>239</v>
      </c>
      <c r="B324" s="77" t="str">
        <f>VLOOKUP(A324,Participanti!A:B,2,0)</f>
        <v>M</v>
      </c>
      <c r="C324" s="139">
        <v>10</v>
      </c>
      <c r="D324" s="66">
        <v>4.93</v>
      </c>
      <c r="E324" s="67">
        <v>1.579861111111111E-2</v>
      </c>
      <c r="F324" s="67">
        <v>1.579861111111111E-2</v>
      </c>
      <c r="G324" s="100">
        <f t="shared" si="94"/>
        <v>1.579861111111111E-2</v>
      </c>
      <c r="H324" s="68">
        <v>95</v>
      </c>
      <c r="I324" s="112">
        <f t="shared" si="95"/>
        <v>3.2045864322740591E-3</v>
      </c>
      <c r="J324" s="92">
        <f t="shared" si="96"/>
        <v>1.1738095238095236</v>
      </c>
      <c r="K324" s="92">
        <f>IF(J324=0,0,IF(B324="F",VLOOKUP(I324,Barem!$G$2:$H$11,2,1),VLOOKUP(I324,Barem!$G$12:$H$21,2,1)))</f>
        <v>3.5</v>
      </c>
      <c r="L324" s="65" t="str">
        <f>VLOOKUP(C324,Barem!L:Q,6,0)</f>
        <v>V</v>
      </c>
      <c r="M324" s="11">
        <f t="shared" si="97"/>
        <v>0.25</v>
      </c>
      <c r="N324" s="11">
        <f t="shared" si="98"/>
        <v>0.75</v>
      </c>
      <c r="O324" s="49">
        <f t="shared" si="99"/>
        <v>6.3333333333333339E-2</v>
      </c>
      <c r="P324" s="27">
        <f>IF(D324&gt;21,VLOOKUP(D324,Barem!$S$1:$T$141,2,1),0)</f>
        <v>0</v>
      </c>
      <c r="Q324" s="27">
        <f>IF(D324&lt;1.609,0,IF(B324="F",VLOOKUP(I324,Barem!$W$2:$Y$13,2,1),VLOOKUP(I324,Barem!$W$14:$Y$25,2,1)))</f>
        <v>0</v>
      </c>
      <c r="R324" s="27">
        <f>VLOOKUP(A324,Participanti!A:C,3,0)</f>
        <v>0</v>
      </c>
      <c r="S324" s="21">
        <f t="shared" si="100"/>
        <v>2.9817857142857145</v>
      </c>
      <c r="T324" s="82">
        <v>44511</v>
      </c>
      <c r="U324" s="143">
        <f>COUNTIFS(A:A,A324,C:C,C324)</f>
        <v>1</v>
      </c>
      <c r="V324" s="77" t="str">
        <f>VLOOKUP(A324,Data_echipe!A:U,21,0)</f>
        <v>All Stars</v>
      </c>
      <c r="X324" s="154">
        <v>1</v>
      </c>
    </row>
    <row r="325" spans="1:24" x14ac:dyDescent="0.25">
      <c r="A325" s="64" t="s">
        <v>103</v>
      </c>
      <c r="B325" s="77" t="str">
        <f>VLOOKUP(A325,Participanti!A:B,2,0)</f>
        <v>F</v>
      </c>
      <c r="C325" s="139">
        <v>10</v>
      </c>
      <c r="D325" s="66">
        <v>3.01</v>
      </c>
      <c r="E325" s="67">
        <v>1.0254629629629629E-2</v>
      </c>
      <c r="F325" s="67">
        <v>1.0416666666666666E-2</v>
      </c>
      <c r="G325" s="100">
        <f t="shared" si="94"/>
        <v>1.0335648148148148E-2</v>
      </c>
      <c r="H325" s="68">
        <v>0</v>
      </c>
      <c r="I325" s="112">
        <f t="shared" si="95"/>
        <v>3.433770148886428E-3</v>
      </c>
      <c r="J325" s="92">
        <f t="shared" si="96"/>
        <v>0.75249999999999995</v>
      </c>
      <c r="K325" s="92">
        <f>IF(J325=0,0,IF(B325="F",VLOOKUP(I325,Barem!$G$2:$H$11,2,1),VLOOKUP(I325,Barem!$G$12:$H$21,2,1)))</f>
        <v>4</v>
      </c>
      <c r="L325" s="65" t="str">
        <f>VLOOKUP(C325,Barem!L:Q,6,0)</f>
        <v>V</v>
      </c>
      <c r="M325" s="11">
        <f t="shared" si="97"/>
        <v>0.25</v>
      </c>
      <c r="N325" s="11">
        <f t="shared" si="98"/>
        <v>0.75</v>
      </c>
      <c r="O325" s="49">
        <f t="shared" si="99"/>
        <v>0</v>
      </c>
      <c r="P325" s="27">
        <f>IF(D325&gt;21,VLOOKUP(D325,Barem!$S$1:$T$141,2,1),0)</f>
        <v>0</v>
      </c>
      <c r="Q325" s="27">
        <f>IF(D325&lt;1.609,0,IF(B325="F",VLOOKUP(I325,Barem!$W$2:$Y$13,2,1),VLOOKUP(I325,Barem!$W$14:$Y$25,2,1)))</f>
        <v>0</v>
      </c>
      <c r="R325" s="27">
        <f>VLOOKUP(A325,Participanti!A:C,3,0)</f>
        <v>0</v>
      </c>
      <c r="S325" s="21">
        <f t="shared" si="100"/>
        <v>3.1881249999999999</v>
      </c>
      <c r="T325" s="82">
        <v>44512</v>
      </c>
      <c r="U325" s="143">
        <f>COUNTIFS(A:A,A325,C:C,C325)</f>
        <v>1</v>
      </c>
      <c r="V325" s="77" t="str">
        <f>VLOOKUP(A325,Data_echipe!A:U,21,0)</f>
        <v>UltraSYR</v>
      </c>
      <c r="X325" s="154">
        <v>1</v>
      </c>
    </row>
    <row r="326" spans="1:24" x14ac:dyDescent="0.25">
      <c r="A326" s="64" t="s">
        <v>7</v>
      </c>
      <c r="B326" s="77" t="str">
        <f>VLOOKUP(A326,Participanti!A:B,2,0)</f>
        <v>M</v>
      </c>
      <c r="C326" s="139">
        <v>10</v>
      </c>
      <c r="D326" s="66">
        <v>18.25</v>
      </c>
      <c r="E326" s="67">
        <v>6.5995370370370371E-2</v>
      </c>
      <c r="F326" s="67">
        <v>6.5995370370370371E-2</v>
      </c>
      <c r="G326" s="100">
        <f t="shared" si="94"/>
        <v>6.5995370370370371E-2</v>
      </c>
      <c r="H326" s="68">
        <v>17</v>
      </c>
      <c r="I326" s="112">
        <f t="shared" si="95"/>
        <v>3.6161846778285135E-3</v>
      </c>
      <c r="J326" s="92">
        <f t="shared" si="96"/>
        <v>4.3452380952380949</v>
      </c>
      <c r="K326" s="92">
        <f>IF(J326=0,0,IF(B326="F",VLOOKUP(I326,Barem!$G$2:$H$11,2,1),VLOOKUP(I326,Barem!$G$12:$H$21,2,1)))</f>
        <v>2.5</v>
      </c>
      <c r="L326" s="110" t="s">
        <v>109</v>
      </c>
      <c r="M326" s="11">
        <f t="shared" si="97"/>
        <v>0.75</v>
      </c>
      <c r="N326" s="11">
        <f t="shared" si="98"/>
        <v>0.25</v>
      </c>
      <c r="O326" s="49">
        <f t="shared" si="99"/>
        <v>0</v>
      </c>
      <c r="P326" s="27">
        <f>IF(D326&gt;21,VLOOKUP(D326,Barem!$S$1:$T$141,2,1),0)</f>
        <v>0</v>
      </c>
      <c r="Q326" s="27">
        <f>IF(D326&lt;1.609,0,IF(B326="F",VLOOKUP(I326,Barem!$W$2:$Y$13,2,1),VLOOKUP(I326,Barem!$W$14:$Y$25,2,1)))</f>
        <v>0</v>
      </c>
      <c r="R326" s="27">
        <f>VLOOKUP(A326,Participanti!A:C,3,0)</f>
        <v>0</v>
      </c>
      <c r="S326" s="21">
        <f t="shared" si="100"/>
        <v>3.8839285714285712</v>
      </c>
      <c r="T326" s="82">
        <v>44482</v>
      </c>
      <c r="U326" s="143">
        <f>COUNTIFS(A:A,A326,C:C,C326)</f>
        <v>1</v>
      </c>
      <c r="V326" s="77" t="str">
        <f>VLOOKUP(A326,Data_echipe!A:U,21,0)</f>
        <v>All Stars</v>
      </c>
      <c r="X326" s="154">
        <v>1</v>
      </c>
    </row>
    <row r="327" spans="1:24" x14ac:dyDescent="0.25">
      <c r="A327" s="64" t="s">
        <v>66</v>
      </c>
      <c r="B327" s="77" t="str">
        <f>VLOOKUP(A327,Participanti!A:B,2,0)</f>
        <v>F</v>
      </c>
      <c r="C327" s="139">
        <v>10</v>
      </c>
      <c r="D327" s="66">
        <v>8.11</v>
      </c>
      <c r="E327" s="67">
        <v>3.8819444444444441E-2</v>
      </c>
      <c r="F327" s="67">
        <v>5.6481481481481487E-2</v>
      </c>
      <c r="G327" s="100">
        <f t="shared" si="94"/>
        <v>4.7650462962962964E-2</v>
      </c>
      <c r="H327" s="68">
        <v>0</v>
      </c>
      <c r="I327" s="112">
        <f t="shared" si="95"/>
        <v>5.8755194775540033E-3</v>
      </c>
      <c r="J327" s="92">
        <f t="shared" si="96"/>
        <v>2.0274999999999999</v>
      </c>
      <c r="K327" s="92">
        <f>IF(J327=0,0,IF(B327="F",VLOOKUP(I327,Barem!$G$2:$H$11,2,1),VLOOKUP(I327,Barem!$G$12:$H$21,2,1)))</f>
        <v>1</v>
      </c>
      <c r="L327" s="65" t="str">
        <f>VLOOKUP(C327,Barem!L:Q,6,0)</f>
        <v>V</v>
      </c>
      <c r="M327" s="11">
        <f t="shared" si="97"/>
        <v>0.25</v>
      </c>
      <c r="N327" s="11">
        <f t="shared" si="98"/>
        <v>0.75</v>
      </c>
      <c r="O327" s="49">
        <f t="shared" si="99"/>
        <v>0</v>
      </c>
      <c r="P327" s="27">
        <f>IF(D327&gt;21,VLOOKUP(D327,Barem!$S$1:$T$141,2,1),0)</f>
        <v>0</v>
      </c>
      <c r="Q327" s="27">
        <f>IF(D327&lt;1.609,0,IF(B327="F",VLOOKUP(I327,Barem!$W$2:$Y$13,2,1),VLOOKUP(I327,Barem!$W$14:$Y$25,2,1)))</f>
        <v>0</v>
      </c>
      <c r="R327" s="27">
        <f>VLOOKUP(A327,Participanti!A:C,3,0)</f>
        <v>0.7</v>
      </c>
      <c r="S327" s="21">
        <f t="shared" si="100"/>
        <v>1.9568749999999999</v>
      </c>
      <c r="T327" s="82">
        <v>44481</v>
      </c>
      <c r="U327" s="143">
        <f>COUNTIFS(A:A,A327,C:C,C327)</f>
        <v>1</v>
      </c>
      <c r="V327" s="77" t="e">
        <f>VLOOKUP(A327,Data_echipe!A:U,21,0)</f>
        <v>#N/A</v>
      </c>
      <c r="X327" s="154">
        <v>1</v>
      </c>
    </row>
    <row r="328" spans="1:24" x14ac:dyDescent="0.25">
      <c r="A328" s="64" t="s">
        <v>202</v>
      </c>
      <c r="B328" s="77" t="str">
        <f>VLOOKUP(A328,Participanti!A:B,2,0)</f>
        <v>F</v>
      </c>
      <c r="C328" s="139">
        <v>10</v>
      </c>
      <c r="D328" s="66">
        <v>3</v>
      </c>
      <c r="E328" s="67">
        <v>1.1145833333333334E-2</v>
      </c>
      <c r="F328" s="67">
        <v>1.1145833333333334E-2</v>
      </c>
      <c r="G328" s="100">
        <f t="shared" si="94"/>
        <v>1.1145833333333334E-2</v>
      </c>
      <c r="H328" s="68">
        <v>0</v>
      </c>
      <c r="I328" s="112">
        <f t="shared" si="95"/>
        <v>3.7152777777777778E-3</v>
      </c>
      <c r="J328" s="92">
        <f t="shared" si="96"/>
        <v>0.75</v>
      </c>
      <c r="K328" s="92">
        <f>IF(J328=0,0,IF(B328="F",VLOOKUP(I328,Barem!$G$2:$H$11,2,1),VLOOKUP(I328,Barem!$G$12:$H$21,2,1)))</f>
        <v>3</v>
      </c>
      <c r="L328" s="65" t="str">
        <f>VLOOKUP(C328,Barem!L:Q,6,0)</f>
        <v>V</v>
      </c>
      <c r="M328" s="11">
        <f t="shared" si="97"/>
        <v>0.25</v>
      </c>
      <c r="N328" s="11">
        <f t="shared" si="98"/>
        <v>0.75</v>
      </c>
      <c r="O328" s="49">
        <f t="shared" si="99"/>
        <v>0</v>
      </c>
      <c r="P328" s="27">
        <f>IF(D328&gt;21,VLOOKUP(D328,Barem!$S$1:$T$141,2,1),0)</f>
        <v>0</v>
      </c>
      <c r="Q328" s="27">
        <f>IF(D328&lt;1.609,0,IF(B328="F",VLOOKUP(I328,Barem!$W$2:$Y$13,2,1),VLOOKUP(I328,Barem!$W$14:$Y$25,2,1)))</f>
        <v>0</v>
      </c>
      <c r="R328" s="27">
        <f>VLOOKUP(A328,Participanti!A:C,3,0)</f>
        <v>0</v>
      </c>
      <c r="S328" s="21">
        <f t="shared" si="100"/>
        <v>2.4375</v>
      </c>
      <c r="T328" s="82">
        <v>44514</v>
      </c>
      <c r="U328" s="143">
        <f>COUNTIFS(A:A,A328,C:C,C328)</f>
        <v>1</v>
      </c>
      <c r="V328" s="77" t="e">
        <f>VLOOKUP(A328,Data_echipe!A:U,21,0)</f>
        <v>#N/A</v>
      </c>
      <c r="X328" s="154">
        <v>1</v>
      </c>
    </row>
    <row r="329" spans="1:24" x14ac:dyDescent="0.25">
      <c r="A329" s="64" t="s">
        <v>50</v>
      </c>
      <c r="B329" s="77" t="str">
        <f>VLOOKUP(A329,Participanti!A:B,2,0)</f>
        <v>M</v>
      </c>
      <c r="C329" s="139">
        <v>10</v>
      </c>
      <c r="D329" s="66">
        <v>10.029999999999999</v>
      </c>
      <c r="E329" s="67">
        <v>4.4930555555555557E-2</v>
      </c>
      <c r="F329" s="67">
        <v>5.3275462962962962E-2</v>
      </c>
      <c r="G329" s="100">
        <f t="shared" si="94"/>
        <v>4.9103009259259256E-2</v>
      </c>
      <c r="H329" s="68">
        <v>187</v>
      </c>
      <c r="I329" s="112">
        <f t="shared" si="95"/>
        <v>4.8956140836749016E-3</v>
      </c>
      <c r="J329" s="92">
        <f t="shared" si="96"/>
        <v>2.388095238095238</v>
      </c>
      <c r="K329" s="92">
        <f>IF(J329=0,0,IF(B329="F",VLOOKUP(I329,Barem!$G$2:$H$11,2,1),VLOOKUP(I329,Barem!$G$12:$H$21,2,1)))</f>
        <v>1</v>
      </c>
      <c r="L329" s="65" t="str">
        <f>VLOOKUP(C329,Barem!L:Q,6,0)</f>
        <v>V</v>
      </c>
      <c r="M329" s="11">
        <f t="shared" si="97"/>
        <v>0.25</v>
      </c>
      <c r="N329" s="11">
        <f t="shared" si="98"/>
        <v>0.75</v>
      </c>
      <c r="O329" s="49">
        <f t="shared" si="99"/>
        <v>0.12466666666666666</v>
      </c>
      <c r="P329" s="27">
        <f>IF(D329&gt;21,VLOOKUP(D329,Barem!$S$1:$T$141,2,1),0)</f>
        <v>0</v>
      </c>
      <c r="Q329" s="27">
        <f>IF(D329&lt;1.609,0,IF(B329="F",VLOOKUP(I329,Barem!$W$2:$Y$13,2,1),VLOOKUP(I329,Barem!$W$14:$Y$25,2,1)))</f>
        <v>0</v>
      </c>
      <c r="R329" s="27">
        <f>VLOOKUP(A329,Participanti!A:C,3,0)</f>
        <v>0.4</v>
      </c>
      <c r="S329" s="21">
        <f t="shared" si="100"/>
        <v>1.871690476190476</v>
      </c>
      <c r="T329" s="82">
        <v>44514</v>
      </c>
      <c r="U329" s="143">
        <f>COUNTIFS(A:A,A329,C:C,C329)</f>
        <v>1</v>
      </c>
      <c r="V329" s="77" t="str">
        <f>VLOOKUP(A329,Data_echipe!A:U,21,0)</f>
        <v>UltraSYR</v>
      </c>
      <c r="X329" s="154">
        <v>1</v>
      </c>
    </row>
    <row r="330" spans="1:24" x14ac:dyDescent="0.25">
      <c r="A330" s="64" t="s">
        <v>52</v>
      </c>
      <c r="B330" s="77" t="str">
        <f>VLOOKUP(A330,Participanti!A:B,2,0)</f>
        <v>M</v>
      </c>
      <c r="C330" s="139">
        <v>10</v>
      </c>
      <c r="D330" s="66">
        <v>12.28</v>
      </c>
      <c r="E330" s="67">
        <v>4.6875E-2</v>
      </c>
      <c r="F330" s="67">
        <v>4.71875E-2</v>
      </c>
      <c r="G330" s="100">
        <f t="shared" si="94"/>
        <v>4.7031249999999997E-2</v>
      </c>
      <c r="H330" s="68">
        <v>8</v>
      </c>
      <c r="I330" s="112">
        <f t="shared" si="95"/>
        <v>3.8299063517915309E-3</v>
      </c>
      <c r="J330" s="92">
        <f t="shared" si="96"/>
        <v>2.9238095238095236</v>
      </c>
      <c r="K330" s="92">
        <f>IF(J330=0,0,IF(B330="F",VLOOKUP(I330,Barem!$G$2:$H$11,2,1),VLOOKUP(I330,Barem!$G$12:$H$21,2,1)))</f>
        <v>2</v>
      </c>
      <c r="L330" s="65" t="str">
        <f>VLOOKUP(C330,Barem!L:Q,6,0)</f>
        <v>V</v>
      </c>
      <c r="M330" s="11">
        <f t="shared" si="97"/>
        <v>0.25</v>
      </c>
      <c r="N330" s="11">
        <f t="shared" si="98"/>
        <v>0.75</v>
      </c>
      <c r="O330" s="49">
        <f t="shared" si="99"/>
        <v>0</v>
      </c>
      <c r="P330" s="27">
        <f>IF(D330&gt;21,VLOOKUP(D330,Barem!$S$1:$T$141,2,1),0)</f>
        <v>0</v>
      </c>
      <c r="Q330" s="27">
        <f>IF(D330&lt;1.609,0,IF(B330="F",VLOOKUP(I330,Barem!$W$2:$Y$13,2,1),VLOOKUP(I330,Barem!$W$14:$Y$25,2,1)))</f>
        <v>0</v>
      </c>
      <c r="R330" s="27">
        <f>VLOOKUP(A330,Participanti!A:C,3,0)</f>
        <v>0</v>
      </c>
      <c r="S330" s="21">
        <f t="shared" si="100"/>
        <v>2.230952380952381</v>
      </c>
      <c r="T330" s="82">
        <v>44513</v>
      </c>
      <c r="U330" s="143">
        <f>COUNTIFS(A:A,A330,C:C,C330)</f>
        <v>1</v>
      </c>
      <c r="V330" s="77" t="e">
        <f>VLOOKUP(A330,Data_echipe!A:U,21,0)</f>
        <v>#N/A</v>
      </c>
      <c r="X330" s="154">
        <v>1</v>
      </c>
    </row>
    <row r="331" spans="1:24" x14ac:dyDescent="0.25">
      <c r="A331" s="64" t="s">
        <v>100</v>
      </c>
      <c r="B331" s="77" t="str">
        <f>VLOOKUP(A331,Participanti!A:B,2,0)</f>
        <v>F</v>
      </c>
      <c r="C331" s="139">
        <v>10</v>
      </c>
      <c r="D331" s="66">
        <v>6.61</v>
      </c>
      <c r="E331" s="67">
        <v>4.1666666666666664E-2</v>
      </c>
      <c r="F331" s="67">
        <v>4.2754629629629635E-2</v>
      </c>
      <c r="G331" s="100">
        <f t="shared" si="94"/>
        <v>4.221064814814815E-2</v>
      </c>
      <c r="H331" s="68">
        <v>34</v>
      </c>
      <c r="I331" s="112">
        <f t="shared" si="95"/>
        <v>6.3858771782372391E-3</v>
      </c>
      <c r="J331" s="92">
        <f t="shared" si="96"/>
        <v>1.6525000000000001</v>
      </c>
      <c r="K331" s="92">
        <f>IF(J331=0,0,IF(B331="F",VLOOKUP(I331,Barem!$G$2:$H$11,2,1),VLOOKUP(I331,Barem!$G$12:$H$21,2,1)))</f>
        <v>0</v>
      </c>
      <c r="L331" s="65" t="str">
        <f>VLOOKUP(C331,Barem!L:Q,6,0)</f>
        <v>V</v>
      </c>
      <c r="M331" s="11">
        <f t="shared" si="97"/>
        <v>0.25</v>
      </c>
      <c r="N331" s="11">
        <f t="shared" si="98"/>
        <v>0.75</v>
      </c>
      <c r="O331" s="49">
        <f t="shared" si="99"/>
        <v>0</v>
      </c>
      <c r="P331" s="27">
        <f>IF(D331&gt;21,VLOOKUP(D331,Barem!$S$1:$T$141,2,1),0)</f>
        <v>0</v>
      </c>
      <c r="Q331" s="27">
        <f>IF(D331&lt;1.609,0,IF(B331="F",VLOOKUP(I331,Barem!$W$2:$Y$13,2,1),VLOOKUP(I331,Barem!$W$14:$Y$25,2,1)))</f>
        <v>0</v>
      </c>
      <c r="R331" s="27">
        <f>VLOOKUP(A331,Participanti!A:C,3,0)</f>
        <v>0.4</v>
      </c>
      <c r="S331" s="21">
        <f t="shared" si="100"/>
        <v>0.8131250000000001</v>
      </c>
      <c r="T331" s="82">
        <v>44510</v>
      </c>
      <c r="U331" s="143">
        <f>COUNTIFS(A:A,A331,C:C,C331)</f>
        <v>1</v>
      </c>
      <c r="V331" s="77" t="str">
        <f>VLOOKUP(A331,Data_echipe!A:U,21,0)</f>
        <v>All Stars</v>
      </c>
      <c r="X331" s="154"/>
    </row>
    <row r="332" spans="1:24" ht="12.6" thickBot="1" x14ac:dyDescent="0.3">
      <c r="A332" s="180" t="s">
        <v>117</v>
      </c>
      <c r="B332" s="181" t="str">
        <f>VLOOKUP(A332,Participanti!A:B,2,0)</f>
        <v>M</v>
      </c>
      <c r="C332" s="197">
        <v>10</v>
      </c>
      <c r="D332" s="183">
        <v>21.67</v>
      </c>
      <c r="E332" s="184">
        <v>9.8298611111111114E-2</v>
      </c>
      <c r="F332" s="184">
        <v>9.8657407407407402E-2</v>
      </c>
      <c r="G332" s="185">
        <f t="shared" si="94"/>
        <v>9.8478009259259258E-2</v>
      </c>
      <c r="H332" s="186">
        <v>55</v>
      </c>
      <c r="I332" s="187">
        <f t="shared" si="95"/>
        <v>4.5444397443128405E-3</v>
      </c>
      <c r="J332" s="188">
        <f t="shared" si="96"/>
        <v>5</v>
      </c>
      <c r="K332" s="188">
        <f>IF(J332=0,0,IF(B332="F",VLOOKUP(I332,Barem!$G$2:$H$11,2,1),VLOOKUP(I332,Barem!$G$12:$H$21,2,1)))</f>
        <v>1</v>
      </c>
      <c r="L332" s="198" t="s">
        <v>109</v>
      </c>
      <c r="M332" s="190">
        <f t="shared" si="97"/>
        <v>0.75</v>
      </c>
      <c r="N332" s="190">
        <f t="shared" si="98"/>
        <v>0.25</v>
      </c>
      <c r="O332" s="191">
        <f t="shared" si="99"/>
        <v>3.6666666666666667E-2</v>
      </c>
      <c r="P332" s="192">
        <f>IF(D332&gt;21,VLOOKUP(D332,Barem!$S$1:$T$141,2,1),0)</f>
        <v>0</v>
      </c>
      <c r="Q332" s="192">
        <f>IF(D332&lt;1.609,0,IF(B332="F",VLOOKUP(I332,Barem!$W$2:$Y$13,2,1),VLOOKUP(I332,Barem!$W$14:$Y$25,2,1)))</f>
        <v>0</v>
      </c>
      <c r="R332" s="192">
        <f>VLOOKUP(A332,Participanti!A:C,3,0)</f>
        <v>0</v>
      </c>
      <c r="S332" s="193">
        <f t="shared" si="100"/>
        <v>4.0366666666666671</v>
      </c>
      <c r="T332" s="194">
        <v>44514</v>
      </c>
      <c r="U332" s="195">
        <f>COUNTIFS(A:A,A332,C:C,C332)</f>
        <v>1</v>
      </c>
      <c r="V332" s="181" t="str">
        <f>VLOOKUP(A332,Data_echipe!A:U,21,0)</f>
        <v>UltraSYR</v>
      </c>
      <c r="W332" s="196"/>
      <c r="X332" s="154">
        <v>1</v>
      </c>
    </row>
    <row r="333" spans="1:24" x14ac:dyDescent="0.25">
      <c r="A333" s="64" t="s">
        <v>242</v>
      </c>
      <c r="B333" s="77" t="str">
        <f>VLOOKUP(A333,Participanti!A:B,2,0)</f>
        <v>M</v>
      </c>
      <c r="C333" s="137" t="s">
        <v>146</v>
      </c>
      <c r="D333" s="66"/>
      <c r="E333" s="67"/>
      <c r="F333" s="67"/>
      <c r="G333" s="100"/>
      <c r="H333" s="68"/>
      <c r="I333" s="14"/>
      <c r="J333" s="92"/>
      <c r="K333" s="92"/>
      <c r="L333" s="65" t="s">
        <v>298</v>
      </c>
      <c r="M333" s="11"/>
      <c r="N333" s="11"/>
      <c r="O333" s="49"/>
      <c r="S333" s="21">
        <f>VLOOKUP(A333,'P2'!A:H,8,0)</f>
        <v>2.4375</v>
      </c>
      <c r="T333" s="82"/>
      <c r="U333" s="143">
        <f>COUNTIFS(A:A,A333,C:C,C333)</f>
        <v>1</v>
      </c>
      <c r="V333" s="77" t="str">
        <f>VLOOKUP(A333,Data_echipe!A:U,21,0)</f>
        <v>All Stars</v>
      </c>
    </row>
    <row r="334" spans="1:24" x14ac:dyDescent="0.25">
      <c r="A334" s="64" t="s">
        <v>152</v>
      </c>
      <c r="B334" s="77" t="str">
        <f>VLOOKUP(A334,Participanti!A:B,2,0)</f>
        <v>F</v>
      </c>
      <c r="C334" s="137" t="s">
        <v>146</v>
      </c>
      <c r="D334" s="66"/>
      <c r="E334" s="67"/>
      <c r="F334" s="67"/>
      <c r="G334" s="100"/>
      <c r="H334" s="68"/>
      <c r="I334" s="14"/>
      <c r="J334" s="92"/>
      <c r="K334" s="92"/>
      <c r="L334" s="65" t="s">
        <v>298</v>
      </c>
      <c r="M334" s="11"/>
      <c r="N334" s="11"/>
      <c r="O334" s="49"/>
      <c r="S334" s="21">
        <f>VLOOKUP(A334,'P2'!A:H,8,0)</f>
        <v>2.125</v>
      </c>
      <c r="T334" s="82"/>
      <c r="U334" s="143">
        <f>COUNTIFS(A:A,A334,C:C,C334)</f>
        <v>1</v>
      </c>
      <c r="V334" s="77" t="str">
        <f>VLOOKUP(A334,Data_echipe!A:U,21,0)</f>
        <v>All Stars</v>
      </c>
    </row>
    <row r="335" spans="1:24" x14ac:dyDescent="0.25">
      <c r="A335" s="64" t="s">
        <v>203</v>
      </c>
      <c r="B335" s="77" t="str">
        <f>VLOOKUP(A335,Participanti!A:B,2,0)</f>
        <v>M</v>
      </c>
      <c r="C335" s="137" t="s">
        <v>146</v>
      </c>
      <c r="D335" s="66"/>
      <c r="E335" s="67"/>
      <c r="F335" s="67"/>
      <c r="G335" s="100"/>
      <c r="H335" s="68"/>
      <c r="I335" s="14"/>
      <c r="J335" s="92"/>
      <c r="K335" s="92"/>
      <c r="L335" s="65" t="s">
        <v>298</v>
      </c>
      <c r="M335" s="11"/>
      <c r="N335" s="11"/>
      <c r="O335" s="49"/>
      <c r="S335" s="21">
        <f>VLOOKUP(A335,'P2'!A:H,8,0)</f>
        <v>0.9375</v>
      </c>
      <c r="T335" s="82"/>
      <c r="U335" s="143">
        <f>COUNTIFS(A:A,A335,C:C,C335)</f>
        <v>1</v>
      </c>
      <c r="V335" s="77" t="str">
        <f>VLOOKUP(A335,Data_echipe!A:U,21,0)</f>
        <v>All Stars</v>
      </c>
    </row>
    <row r="336" spans="1:24" x14ac:dyDescent="0.25">
      <c r="A336" s="64" t="s">
        <v>51</v>
      </c>
      <c r="B336" s="77" t="str">
        <f>VLOOKUP(A336,Participanti!A:B,2,0)</f>
        <v>M</v>
      </c>
      <c r="C336" s="137" t="s">
        <v>146</v>
      </c>
      <c r="D336" s="66"/>
      <c r="E336" s="67"/>
      <c r="F336" s="67"/>
      <c r="G336" s="100"/>
      <c r="H336" s="68"/>
      <c r="I336" s="14"/>
      <c r="J336" s="92"/>
      <c r="K336" s="92"/>
      <c r="L336" s="65" t="s">
        <v>298</v>
      </c>
      <c r="M336" s="11"/>
      <c r="N336" s="11"/>
      <c r="O336" s="49"/>
      <c r="S336" s="21">
        <f>VLOOKUP(A336,'P2'!A:H,8,0)</f>
        <v>4.6875</v>
      </c>
      <c r="T336" s="82"/>
      <c r="U336" s="143">
        <f>COUNTIFS(A:A,A336,C:C,C336)</f>
        <v>1</v>
      </c>
      <c r="V336" s="77" t="str">
        <f>VLOOKUP(A336,Data_echipe!A:U,21,0)</f>
        <v>UltraSYR</v>
      </c>
    </row>
    <row r="337" spans="1:22" x14ac:dyDescent="0.25">
      <c r="A337" s="64" t="s">
        <v>53</v>
      </c>
      <c r="B337" s="77" t="str">
        <f>VLOOKUP(A337,Participanti!A:B,2,0)</f>
        <v>M</v>
      </c>
      <c r="C337" s="137" t="s">
        <v>146</v>
      </c>
      <c r="D337" s="66"/>
      <c r="E337" s="67"/>
      <c r="F337" s="67"/>
      <c r="G337" s="100"/>
      <c r="H337" s="68"/>
      <c r="I337" s="14"/>
      <c r="J337" s="92"/>
      <c r="K337" s="92"/>
      <c r="L337" s="65" t="s">
        <v>298</v>
      </c>
      <c r="M337" s="11"/>
      <c r="N337" s="11"/>
      <c r="O337" s="49"/>
      <c r="S337" s="21">
        <f>VLOOKUP(A337,'P2'!A:H,8,0)</f>
        <v>4.3125</v>
      </c>
      <c r="T337" s="82"/>
      <c r="U337" s="143">
        <f>COUNTIFS(A:A,A337,C:C,C337)</f>
        <v>1</v>
      </c>
      <c r="V337" s="77" t="str">
        <f>VLOOKUP(A337,Data_echipe!A:U,21,0)</f>
        <v>UltraSYR</v>
      </c>
    </row>
    <row r="338" spans="1:22" x14ac:dyDescent="0.25">
      <c r="A338" s="64" t="s">
        <v>211</v>
      </c>
      <c r="B338" s="77" t="str">
        <f>VLOOKUP(A338,Participanti!A:B,2,0)</f>
        <v>F</v>
      </c>
      <c r="C338" s="137" t="s">
        <v>146</v>
      </c>
      <c r="D338" s="66"/>
      <c r="E338" s="67"/>
      <c r="F338" s="67"/>
      <c r="G338" s="100"/>
      <c r="H338" s="68"/>
      <c r="I338" s="14"/>
      <c r="J338" s="92"/>
      <c r="K338" s="92"/>
      <c r="L338" s="65" t="s">
        <v>298</v>
      </c>
      <c r="M338" s="11"/>
      <c r="N338" s="11"/>
      <c r="O338" s="49"/>
      <c r="S338" s="21">
        <f>VLOOKUP(A338,'P2'!A:H,8,0)</f>
        <v>3.625</v>
      </c>
      <c r="T338" s="82"/>
      <c r="U338" s="143">
        <f>COUNTIFS(A:A,A338,C:C,C338)</f>
        <v>1</v>
      </c>
      <c r="V338" s="77" t="str">
        <f>VLOOKUP(A338,Data_echipe!A:U,21,0)</f>
        <v>UltraSYR</v>
      </c>
    </row>
    <row r="339" spans="1:22" x14ac:dyDescent="0.25">
      <c r="A339" s="64" t="s">
        <v>80</v>
      </c>
      <c r="B339" s="77" t="str">
        <f>VLOOKUP(A339,Participanti!A:B,2,0)</f>
        <v>M</v>
      </c>
      <c r="C339" s="137" t="s">
        <v>146</v>
      </c>
      <c r="D339" s="66"/>
      <c r="E339" s="67"/>
      <c r="F339" s="67"/>
      <c r="G339" s="100"/>
      <c r="H339" s="68"/>
      <c r="I339" s="14"/>
      <c r="J339" s="92"/>
      <c r="K339" s="92"/>
      <c r="L339" s="65" t="s">
        <v>298</v>
      </c>
      <c r="M339" s="11"/>
      <c r="N339" s="11"/>
      <c r="O339" s="49"/>
      <c r="S339" s="21">
        <f>VLOOKUP(A339,'P2'!A:H,8,0)</f>
        <v>4.25</v>
      </c>
      <c r="T339" s="82"/>
      <c r="U339" s="143">
        <f>COUNTIFS(A:A,A339,C:C,C339)</f>
        <v>1</v>
      </c>
      <c r="V339" s="77" t="str">
        <f>VLOOKUP(A339,Data_echipe!A:U,21,0)</f>
        <v>UltraSYR</v>
      </c>
    </row>
    <row r="340" spans="1:22" x14ac:dyDescent="0.25">
      <c r="A340" s="64" t="s">
        <v>118</v>
      </c>
      <c r="B340" s="77" t="str">
        <f>VLOOKUP(A340,Participanti!A:B,2,0)</f>
        <v>M</v>
      </c>
      <c r="C340" s="137" t="s">
        <v>146</v>
      </c>
      <c r="D340" s="66"/>
      <c r="E340" s="67"/>
      <c r="F340" s="67"/>
      <c r="G340" s="100"/>
      <c r="H340" s="68"/>
      <c r="I340" s="14"/>
      <c r="J340" s="92"/>
      <c r="K340" s="92"/>
      <c r="L340" s="65" t="s">
        <v>298</v>
      </c>
      <c r="M340" s="11"/>
      <c r="N340" s="11"/>
      <c r="O340" s="49"/>
      <c r="S340" s="21">
        <f>VLOOKUP(A340,'P2'!A:H,8,0)</f>
        <v>2.625</v>
      </c>
      <c r="T340" s="82"/>
      <c r="U340" s="143">
        <f>COUNTIFS(A:A,A340,C:C,C340)</f>
        <v>1</v>
      </c>
      <c r="V340" s="77" t="str">
        <f>VLOOKUP(A340,Data_echipe!A:U,21,0)</f>
        <v>UltraSYR</v>
      </c>
    </row>
    <row r="341" spans="1:22" x14ac:dyDescent="0.25">
      <c r="A341" s="64" t="s">
        <v>119</v>
      </c>
      <c r="B341" s="77" t="str">
        <f>VLOOKUP(A341,Participanti!A:B,2,0)</f>
        <v>M</v>
      </c>
      <c r="C341" s="137" t="s">
        <v>146</v>
      </c>
      <c r="D341" s="66"/>
      <c r="E341" s="67"/>
      <c r="F341" s="67"/>
      <c r="G341" s="100"/>
      <c r="H341" s="68"/>
      <c r="I341" s="14"/>
      <c r="J341" s="92"/>
      <c r="K341" s="92"/>
      <c r="L341" s="65" t="s">
        <v>298</v>
      </c>
      <c r="M341" s="11"/>
      <c r="N341" s="11"/>
      <c r="O341" s="49"/>
      <c r="S341" s="21">
        <f>VLOOKUP(A341,'P2'!A:H,8,0)</f>
        <v>1.5</v>
      </c>
      <c r="T341" s="82"/>
      <c r="U341" s="143">
        <f>COUNTIFS(A:A,A341,C:C,C341)</f>
        <v>1</v>
      </c>
      <c r="V341" s="77" t="e">
        <f>VLOOKUP(A341,Data_echipe!A:U,21,0)</f>
        <v>#N/A</v>
      </c>
    </row>
    <row r="342" spans="1:22" x14ac:dyDescent="0.25">
      <c r="A342" s="64" t="s">
        <v>111</v>
      </c>
      <c r="B342" s="77" t="str">
        <f>VLOOKUP(A342,Participanti!A:B,2,0)</f>
        <v>M</v>
      </c>
      <c r="C342" s="137" t="s">
        <v>146</v>
      </c>
      <c r="D342" s="66"/>
      <c r="E342" s="67"/>
      <c r="F342" s="67"/>
      <c r="G342" s="100"/>
      <c r="H342" s="68"/>
      <c r="I342" s="14"/>
      <c r="J342" s="92"/>
      <c r="K342" s="92"/>
      <c r="L342" s="65" t="s">
        <v>298</v>
      </c>
      <c r="M342" s="11"/>
      <c r="N342" s="11"/>
      <c r="O342" s="49"/>
      <c r="S342" s="21">
        <f>VLOOKUP(A342,'P2'!A:H,8,0)</f>
        <v>2.4375</v>
      </c>
      <c r="T342" s="82"/>
      <c r="U342" s="143">
        <f>COUNTIFS(A:A,A342,C:C,C342)</f>
        <v>1</v>
      </c>
      <c r="V342" s="77" t="str">
        <f>VLOOKUP(A342,Data_echipe!A:U,21,0)</f>
        <v>UltraSYR</v>
      </c>
    </row>
    <row r="343" spans="1:22" x14ac:dyDescent="0.25">
      <c r="A343" s="64" t="s">
        <v>240</v>
      </c>
      <c r="B343" s="77" t="str">
        <f>VLOOKUP(A343,Participanti!A:B,2,0)</f>
        <v>M</v>
      </c>
      <c r="C343" s="137" t="s">
        <v>146</v>
      </c>
      <c r="D343" s="66"/>
      <c r="E343" s="67"/>
      <c r="F343" s="67"/>
      <c r="G343" s="100"/>
      <c r="H343" s="68"/>
      <c r="I343" s="14"/>
      <c r="J343" s="92"/>
      <c r="K343" s="92"/>
      <c r="L343" s="65" t="s">
        <v>298</v>
      </c>
      <c r="M343" s="11"/>
      <c r="N343" s="11"/>
      <c r="O343" s="49"/>
      <c r="S343" s="21">
        <f>VLOOKUP(A343,'P2'!A:H,8,0)</f>
        <v>1.375</v>
      </c>
      <c r="T343" s="82"/>
      <c r="U343" s="143">
        <f>COUNTIFS(A:A,A343,C:C,C343)</f>
        <v>1</v>
      </c>
      <c r="V343" s="77" t="str">
        <f>VLOOKUP(A343,Data_echipe!A:U,21,0)</f>
        <v>All Stars</v>
      </c>
    </row>
    <row r="344" spans="1:22" x14ac:dyDescent="0.25">
      <c r="A344" s="64" t="s">
        <v>244</v>
      </c>
      <c r="B344" s="77" t="str">
        <f>VLOOKUP(A344,Participanti!A:B,2,0)</f>
        <v>M</v>
      </c>
      <c r="C344" s="137" t="s">
        <v>146</v>
      </c>
      <c r="D344" s="66"/>
      <c r="E344" s="67"/>
      <c r="F344" s="67"/>
      <c r="G344" s="100"/>
      <c r="H344" s="68"/>
      <c r="I344" s="14"/>
      <c r="J344" s="92"/>
      <c r="K344" s="92"/>
      <c r="L344" s="65" t="s">
        <v>298</v>
      </c>
      <c r="M344" s="11"/>
      <c r="N344" s="11"/>
      <c r="O344" s="49"/>
      <c r="S344" s="21">
        <f>VLOOKUP(A344,'P2'!A:H,8,0)</f>
        <v>2.625</v>
      </c>
      <c r="T344" s="82"/>
      <c r="U344" s="143">
        <f>COUNTIFS(A:A,A344,C:C,C344)</f>
        <v>1</v>
      </c>
      <c r="V344" s="77" t="str">
        <f>VLOOKUP(A344,Data_echipe!A:U,21,0)</f>
        <v>All Stars</v>
      </c>
    </row>
    <row r="345" spans="1:22" x14ac:dyDescent="0.25">
      <c r="A345" s="64" t="s">
        <v>67</v>
      </c>
      <c r="B345" s="77" t="str">
        <f>VLOOKUP(A345,Participanti!A:B,2,0)</f>
        <v>M</v>
      </c>
      <c r="C345" s="137" t="s">
        <v>146</v>
      </c>
      <c r="D345" s="66"/>
      <c r="E345" s="67"/>
      <c r="F345" s="67"/>
      <c r="G345" s="100"/>
      <c r="H345" s="68"/>
      <c r="I345" s="14"/>
      <c r="J345" s="92"/>
      <c r="K345" s="92"/>
      <c r="L345" s="65" t="s">
        <v>298</v>
      </c>
      <c r="M345" s="11"/>
      <c r="N345" s="11"/>
      <c r="O345" s="49"/>
      <c r="S345" s="21">
        <f>VLOOKUP(A345,'P2'!A:H,8,0)</f>
        <v>3.0625</v>
      </c>
      <c r="T345" s="82"/>
      <c r="U345" s="143">
        <f>COUNTIFS(A:A,A345,C:C,C345)</f>
        <v>1</v>
      </c>
      <c r="V345" s="77" t="e">
        <f>VLOOKUP(A345,Data_echipe!A:U,21,0)</f>
        <v>#N/A</v>
      </c>
    </row>
    <row r="346" spans="1:22" x14ac:dyDescent="0.25">
      <c r="A346" s="64" t="s">
        <v>102</v>
      </c>
      <c r="B346" s="77" t="str">
        <f>VLOOKUP(A346,Participanti!A:B,2,0)</f>
        <v>M</v>
      </c>
      <c r="C346" s="137" t="s">
        <v>146</v>
      </c>
      <c r="D346" s="66"/>
      <c r="E346" s="67"/>
      <c r="F346" s="67"/>
      <c r="G346" s="100"/>
      <c r="H346" s="68"/>
      <c r="I346" s="14"/>
      <c r="J346" s="92"/>
      <c r="K346" s="92"/>
      <c r="L346" s="65" t="s">
        <v>298</v>
      </c>
      <c r="M346" s="11"/>
      <c r="N346" s="11"/>
      <c r="O346" s="49"/>
      <c r="S346" s="21">
        <f>VLOOKUP(A346,'P2'!A:H,8,0)</f>
        <v>0.8125</v>
      </c>
      <c r="T346" s="82"/>
      <c r="U346" s="143">
        <f>COUNTIFS(A:A,A346,C:C,C346)</f>
        <v>1</v>
      </c>
      <c r="V346" s="77" t="str">
        <f>VLOOKUP(A346,Data_echipe!A:U,21,0)</f>
        <v>All Stars</v>
      </c>
    </row>
    <row r="347" spans="1:22" x14ac:dyDescent="0.25">
      <c r="A347" s="64" t="s">
        <v>154</v>
      </c>
      <c r="B347" s="77" t="str">
        <f>VLOOKUP(A347,Participanti!A:B,2,0)</f>
        <v>M</v>
      </c>
      <c r="C347" s="137" t="s">
        <v>146</v>
      </c>
      <c r="D347" s="66"/>
      <c r="E347" s="67"/>
      <c r="F347" s="67"/>
      <c r="G347" s="100"/>
      <c r="H347" s="68"/>
      <c r="I347" s="14"/>
      <c r="J347" s="92"/>
      <c r="K347" s="92"/>
      <c r="L347" s="65" t="s">
        <v>298</v>
      </c>
      <c r="M347" s="11"/>
      <c r="N347" s="11"/>
      <c r="O347" s="49"/>
      <c r="S347" s="21">
        <f>VLOOKUP(A347,'P2'!A:H,8,0)</f>
        <v>1.625</v>
      </c>
      <c r="T347" s="82"/>
      <c r="U347" s="143">
        <f>COUNTIFS(A:A,A347,C:C,C347)</f>
        <v>1</v>
      </c>
      <c r="V347" s="77" t="str">
        <f>VLOOKUP(A347,Data_echipe!A:U,21,0)</f>
        <v>All Stars</v>
      </c>
    </row>
    <row r="348" spans="1:22" x14ac:dyDescent="0.25">
      <c r="A348" s="64" t="s">
        <v>49</v>
      </c>
      <c r="B348" s="77" t="str">
        <f>VLOOKUP(A348,Participanti!A:B,2,0)</f>
        <v>M</v>
      </c>
      <c r="C348" s="137" t="s">
        <v>146</v>
      </c>
      <c r="D348" s="66"/>
      <c r="E348" s="67"/>
      <c r="F348" s="67"/>
      <c r="G348" s="100"/>
      <c r="H348" s="68"/>
      <c r="I348" s="14"/>
      <c r="J348" s="92"/>
      <c r="K348" s="92"/>
      <c r="L348" s="65" t="s">
        <v>298</v>
      </c>
      <c r="M348" s="11"/>
      <c r="N348" s="11"/>
      <c r="O348" s="49"/>
      <c r="S348" s="21">
        <f>VLOOKUP(A348,'P2'!A:H,8,0)</f>
        <v>4</v>
      </c>
      <c r="T348" s="82"/>
      <c r="U348" s="143">
        <f>COUNTIFS(A:A,A348,C:C,C348)</f>
        <v>1</v>
      </c>
      <c r="V348" s="77" t="str">
        <f>VLOOKUP(A348,Data_echipe!A:U,21,0)</f>
        <v>All Stars</v>
      </c>
    </row>
    <row r="349" spans="1:22" x14ac:dyDescent="0.25">
      <c r="A349" s="64" t="s">
        <v>241</v>
      </c>
      <c r="B349" s="77" t="str">
        <f>VLOOKUP(A349,Participanti!A:B,2,0)</f>
        <v>M</v>
      </c>
      <c r="C349" s="137" t="s">
        <v>146</v>
      </c>
      <c r="D349" s="66"/>
      <c r="E349" s="67"/>
      <c r="F349" s="67"/>
      <c r="G349" s="100"/>
      <c r="H349" s="68"/>
      <c r="I349" s="14"/>
      <c r="J349" s="92"/>
      <c r="K349" s="92"/>
      <c r="L349" s="65" t="s">
        <v>298</v>
      </c>
      <c r="M349" s="11"/>
      <c r="N349" s="11"/>
      <c r="O349" s="49"/>
      <c r="S349" s="21">
        <f>VLOOKUP(A349,'P2'!A:H,8,0)</f>
        <v>0.75</v>
      </c>
      <c r="T349" s="82"/>
      <c r="U349" s="143">
        <f>COUNTIFS(A:A,A349,C:C,C349)</f>
        <v>1</v>
      </c>
      <c r="V349" s="77" t="e">
        <f>VLOOKUP(A349,Data_echipe!A:U,21,0)</f>
        <v>#N/A</v>
      </c>
    </row>
    <row r="350" spans="1:22" x14ac:dyDescent="0.25">
      <c r="A350" s="64" t="s">
        <v>61</v>
      </c>
      <c r="B350" s="77" t="str">
        <f>VLOOKUP(A350,Participanti!A:B,2,0)</f>
        <v>M</v>
      </c>
      <c r="C350" s="137" t="s">
        <v>146</v>
      </c>
      <c r="D350" s="66"/>
      <c r="E350" s="67"/>
      <c r="F350" s="67"/>
      <c r="G350" s="100"/>
      <c r="H350" s="68"/>
      <c r="I350" s="14"/>
      <c r="J350" s="92"/>
      <c r="K350" s="92"/>
      <c r="L350" s="65" t="s">
        <v>298</v>
      </c>
      <c r="M350" s="11"/>
      <c r="N350" s="11"/>
      <c r="O350" s="49"/>
      <c r="S350" s="21">
        <f>VLOOKUP(A350,'P2'!A:H,8,0)</f>
        <v>3.5625</v>
      </c>
      <c r="T350" s="82"/>
      <c r="U350" s="143">
        <f>COUNTIFS(A:A,A350,C:C,C350)</f>
        <v>1</v>
      </c>
      <c r="V350" s="77" t="str">
        <f>VLOOKUP(A350,Data_echipe!A:U,21,0)</f>
        <v>UltraSYR</v>
      </c>
    </row>
    <row r="351" spans="1:22" x14ac:dyDescent="0.25">
      <c r="A351" s="64" t="s">
        <v>153</v>
      </c>
      <c r="B351" s="77" t="str">
        <f>VLOOKUP(A351,Participanti!A:B,2,0)</f>
        <v>F</v>
      </c>
      <c r="C351" s="137" t="s">
        <v>146</v>
      </c>
      <c r="D351" s="66"/>
      <c r="E351" s="67"/>
      <c r="F351" s="67"/>
      <c r="G351" s="100"/>
      <c r="H351" s="68"/>
      <c r="I351" s="14"/>
      <c r="J351" s="92"/>
      <c r="K351" s="92"/>
      <c r="L351" s="65" t="s">
        <v>298</v>
      </c>
      <c r="M351" s="11"/>
      <c r="N351" s="11"/>
      <c r="O351" s="49"/>
      <c r="S351" s="21">
        <f>VLOOKUP(A351,'P2'!A:H,8,0)</f>
        <v>2.6875</v>
      </c>
      <c r="T351" s="82"/>
      <c r="U351" s="143">
        <f>COUNTIFS(A:A,A351,C:C,C351)</f>
        <v>1</v>
      </c>
      <c r="V351" s="77" t="str">
        <f>VLOOKUP(A351,Data_echipe!A:U,21,0)</f>
        <v>All Stars</v>
      </c>
    </row>
    <row r="352" spans="1:22" x14ac:dyDescent="0.25">
      <c r="A352" s="64" t="s">
        <v>55</v>
      </c>
      <c r="B352" s="77" t="str">
        <f>VLOOKUP(A352,Participanti!A:B,2,0)</f>
        <v>M</v>
      </c>
      <c r="C352" s="137" t="s">
        <v>146</v>
      </c>
      <c r="D352" s="66"/>
      <c r="E352" s="67"/>
      <c r="F352" s="67"/>
      <c r="G352" s="100"/>
      <c r="H352" s="68"/>
      <c r="I352" s="14"/>
      <c r="J352" s="92"/>
      <c r="K352" s="92"/>
      <c r="L352" s="65" t="s">
        <v>298</v>
      </c>
      <c r="M352" s="11"/>
      <c r="N352" s="11"/>
      <c r="O352" s="49"/>
      <c r="S352" s="21">
        <f>VLOOKUP(A352,'P2'!A:H,8,0)</f>
        <v>0.3125</v>
      </c>
      <c r="T352" s="82"/>
      <c r="U352" s="143">
        <f>COUNTIFS(A:A,A352,C:C,C352)</f>
        <v>1</v>
      </c>
      <c r="V352" s="77" t="e">
        <f>VLOOKUP(A352,Data_echipe!A:U,21,0)</f>
        <v>#N/A</v>
      </c>
    </row>
    <row r="353" spans="1:24" x14ac:dyDescent="0.25">
      <c r="A353" s="64" t="s">
        <v>239</v>
      </c>
      <c r="B353" s="77" t="str">
        <f>VLOOKUP(A353,Participanti!A:B,2,0)</f>
        <v>M</v>
      </c>
      <c r="C353" s="137" t="s">
        <v>146</v>
      </c>
      <c r="D353" s="66"/>
      <c r="E353" s="67"/>
      <c r="F353" s="67"/>
      <c r="G353" s="100"/>
      <c r="H353" s="68"/>
      <c r="I353" s="14"/>
      <c r="J353" s="92"/>
      <c r="K353" s="92"/>
      <c r="L353" s="65" t="s">
        <v>298</v>
      </c>
      <c r="M353" s="11"/>
      <c r="N353" s="11"/>
      <c r="O353" s="49"/>
      <c r="S353" s="21">
        <f>VLOOKUP(A353,'P2'!A:H,8,0)</f>
        <v>1.375</v>
      </c>
      <c r="T353" s="82"/>
      <c r="U353" s="143">
        <f>COUNTIFS(A:A,A353,C:C,C353)</f>
        <v>1</v>
      </c>
      <c r="V353" s="77" t="str">
        <f>VLOOKUP(A353,Data_echipe!A:U,21,0)</f>
        <v>All Stars</v>
      </c>
    </row>
    <row r="354" spans="1:24" x14ac:dyDescent="0.25">
      <c r="A354" s="64" t="s">
        <v>103</v>
      </c>
      <c r="B354" s="77" t="str">
        <f>VLOOKUP(A354,Participanti!A:B,2,0)</f>
        <v>F</v>
      </c>
      <c r="C354" s="137" t="s">
        <v>146</v>
      </c>
      <c r="D354" s="66"/>
      <c r="E354" s="67"/>
      <c r="F354" s="67"/>
      <c r="G354" s="100"/>
      <c r="H354" s="68"/>
      <c r="I354" s="14"/>
      <c r="J354" s="92"/>
      <c r="K354" s="92"/>
      <c r="L354" s="65" t="s">
        <v>298</v>
      </c>
      <c r="M354" s="11"/>
      <c r="N354" s="11"/>
      <c r="O354" s="49"/>
      <c r="S354" s="21">
        <f>VLOOKUP(A354,'P2'!A:H,8,0)</f>
        <v>1.5625</v>
      </c>
      <c r="T354" s="82"/>
      <c r="U354" s="143">
        <f>COUNTIFS(A:A,A354,C:C,C354)</f>
        <v>1</v>
      </c>
      <c r="V354" s="77" t="str">
        <f>VLOOKUP(A354,Data_echipe!A:U,21,0)</f>
        <v>UltraSYR</v>
      </c>
    </row>
    <row r="355" spans="1:24" x14ac:dyDescent="0.25">
      <c r="A355" s="64" t="s">
        <v>196</v>
      </c>
      <c r="B355" s="77" t="str">
        <f>VLOOKUP(A355,Participanti!A:B,2,0)</f>
        <v>F</v>
      </c>
      <c r="C355" s="137" t="s">
        <v>146</v>
      </c>
      <c r="D355" s="66"/>
      <c r="E355" s="67"/>
      <c r="F355" s="67"/>
      <c r="G355" s="100"/>
      <c r="H355" s="68"/>
      <c r="I355" s="14"/>
      <c r="J355" s="92"/>
      <c r="K355" s="92"/>
      <c r="L355" s="65" t="s">
        <v>298</v>
      </c>
      <c r="M355" s="11"/>
      <c r="N355" s="11"/>
      <c r="O355" s="49"/>
      <c r="S355" s="21">
        <f>VLOOKUP(A355,'P2'!A:H,8,0)</f>
        <v>3.5</v>
      </c>
      <c r="T355" s="82"/>
      <c r="U355" s="143">
        <f>COUNTIFS(A:A,A355,C:C,C355)</f>
        <v>1</v>
      </c>
      <c r="V355" s="77" t="str">
        <f>VLOOKUP(A355,Data_echipe!A:U,21,0)</f>
        <v>UltraSYR</v>
      </c>
    </row>
    <row r="356" spans="1:24" x14ac:dyDescent="0.25">
      <c r="A356" s="64" t="s">
        <v>7</v>
      </c>
      <c r="B356" s="77" t="str">
        <f>VLOOKUP(A356,Participanti!A:B,2,0)</f>
        <v>M</v>
      </c>
      <c r="C356" s="137" t="s">
        <v>146</v>
      </c>
      <c r="D356" s="66"/>
      <c r="E356" s="67"/>
      <c r="F356" s="67"/>
      <c r="G356" s="100"/>
      <c r="H356" s="68"/>
      <c r="I356" s="14"/>
      <c r="J356" s="92"/>
      <c r="K356" s="92"/>
      <c r="L356" s="65" t="s">
        <v>298</v>
      </c>
      <c r="M356" s="11"/>
      <c r="N356" s="11"/>
      <c r="O356" s="49"/>
      <c r="S356" s="21">
        <f>VLOOKUP(A356,'P2'!A:H,8,0)</f>
        <v>1.875</v>
      </c>
      <c r="T356" s="82"/>
      <c r="U356" s="143">
        <f>COUNTIFS(A:A,A356,C:C,C356)</f>
        <v>1</v>
      </c>
      <c r="V356" s="77" t="str">
        <f>VLOOKUP(A356,Data_echipe!A:U,21,0)</f>
        <v>All Stars</v>
      </c>
    </row>
    <row r="357" spans="1:24" x14ac:dyDescent="0.25">
      <c r="A357" s="64" t="s">
        <v>66</v>
      </c>
      <c r="B357" s="77" t="str">
        <f>VLOOKUP(A357,Participanti!A:B,2,0)</f>
        <v>F</v>
      </c>
      <c r="C357" s="137" t="s">
        <v>146</v>
      </c>
      <c r="D357" s="66"/>
      <c r="E357" s="67"/>
      <c r="F357" s="67"/>
      <c r="G357" s="100"/>
      <c r="H357" s="68"/>
      <c r="I357" s="14"/>
      <c r="J357" s="92"/>
      <c r="K357" s="92"/>
      <c r="L357" s="65" t="s">
        <v>298</v>
      </c>
      <c r="M357" s="11"/>
      <c r="N357" s="11"/>
      <c r="O357" s="49"/>
      <c r="S357" s="21">
        <f>VLOOKUP(A357,'P2'!A:H,8,0)</f>
        <v>2.625</v>
      </c>
      <c r="T357" s="82"/>
      <c r="U357" s="143">
        <f>COUNTIFS(A:A,A357,C:C,C357)</f>
        <v>1</v>
      </c>
      <c r="V357" s="77" t="e">
        <f>VLOOKUP(A357,Data_echipe!A:U,21,0)</f>
        <v>#N/A</v>
      </c>
    </row>
    <row r="358" spans="1:24" x14ac:dyDescent="0.25">
      <c r="A358" s="64" t="s">
        <v>202</v>
      </c>
      <c r="B358" s="77" t="str">
        <f>VLOOKUP(A358,Participanti!A:B,2,0)</f>
        <v>F</v>
      </c>
      <c r="C358" s="137" t="s">
        <v>146</v>
      </c>
      <c r="D358" s="66"/>
      <c r="E358" s="67"/>
      <c r="F358" s="67"/>
      <c r="G358" s="100"/>
      <c r="H358" s="68"/>
      <c r="I358" s="14"/>
      <c r="J358" s="92"/>
      <c r="K358" s="92"/>
      <c r="L358" s="65" t="s">
        <v>298</v>
      </c>
      <c r="M358" s="11"/>
      <c r="N358" s="11"/>
      <c r="O358" s="49"/>
      <c r="S358" s="21">
        <f>VLOOKUP(A358,'P2'!A:H,8,0)</f>
        <v>3.0625</v>
      </c>
      <c r="T358" s="82"/>
      <c r="U358" s="143">
        <f>COUNTIFS(A:A,A358,C:C,C358)</f>
        <v>1</v>
      </c>
      <c r="V358" s="77" t="e">
        <f>VLOOKUP(A358,Data_echipe!A:U,21,0)</f>
        <v>#N/A</v>
      </c>
    </row>
    <row r="359" spans="1:24" x14ac:dyDescent="0.25">
      <c r="A359" s="64" t="s">
        <v>50</v>
      </c>
      <c r="B359" s="77" t="str">
        <f>VLOOKUP(A359,Participanti!A:B,2,0)</f>
        <v>M</v>
      </c>
      <c r="C359" s="137" t="s">
        <v>146</v>
      </c>
      <c r="D359" s="66"/>
      <c r="E359" s="67"/>
      <c r="F359" s="67"/>
      <c r="G359" s="100"/>
      <c r="H359" s="68"/>
      <c r="I359" s="14"/>
      <c r="J359" s="92"/>
      <c r="K359" s="92"/>
      <c r="L359" s="65" t="s">
        <v>298</v>
      </c>
      <c r="M359" s="11"/>
      <c r="N359" s="11"/>
      <c r="O359" s="49"/>
      <c r="S359" s="21">
        <f>VLOOKUP(A359,'P2'!A:H,8,0)</f>
        <v>3.0625</v>
      </c>
      <c r="T359" s="82"/>
      <c r="U359" s="143">
        <f>COUNTIFS(A:A,A359,C:C,C359)</f>
        <v>1</v>
      </c>
      <c r="V359" s="77" t="str">
        <f>VLOOKUP(A359,Data_echipe!A:U,21,0)</f>
        <v>UltraSYR</v>
      </c>
    </row>
    <row r="360" spans="1:24" x14ac:dyDescent="0.25">
      <c r="A360" s="64" t="s">
        <v>52</v>
      </c>
      <c r="B360" s="77" t="str">
        <f>VLOOKUP(A360,Participanti!A:B,2,0)</f>
        <v>M</v>
      </c>
      <c r="C360" s="137" t="s">
        <v>146</v>
      </c>
      <c r="D360" s="66"/>
      <c r="E360" s="67"/>
      <c r="F360" s="67"/>
      <c r="G360" s="100"/>
      <c r="H360" s="68"/>
      <c r="I360" s="14"/>
      <c r="J360" s="92"/>
      <c r="K360" s="92"/>
      <c r="L360" s="65" t="s">
        <v>298</v>
      </c>
      <c r="M360" s="11"/>
      <c r="N360" s="11"/>
      <c r="O360" s="49"/>
      <c r="S360" s="21">
        <f>VLOOKUP(A360,'P2'!A:H,8,0)</f>
        <v>1.0625</v>
      </c>
      <c r="T360" s="82"/>
      <c r="U360" s="143">
        <f>COUNTIFS(A:A,A360,C:C,C360)</f>
        <v>1</v>
      </c>
      <c r="V360" s="77" t="e">
        <f>VLOOKUP(A360,Data_echipe!A:U,21,0)</f>
        <v>#N/A</v>
      </c>
    </row>
    <row r="361" spans="1:24" x14ac:dyDescent="0.25">
      <c r="A361" s="64" t="s">
        <v>101</v>
      </c>
      <c r="B361" s="77" t="str">
        <f>VLOOKUP(A361,Participanti!A:B,2,0)</f>
        <v>M</v>
      </c>
      <c r="C361" s="137" t="s">
        <v>146</v>
      </c>
      <c r="D361" s="66"/>
      <c r="E361" s="67"/>
      <c r="F361" s="67"/>
      <c r="G361" s="100"/>
      <c r="H361" s="68"/>
      <c r="I361" s="14"/>
      <c r="J361" s="92"/>
      <c r="K361" s="92"/>
      <c r="L361" s="65" t="s">
        <v>298</v>
      </c>
      <c r="M361" s="11"/>
      <c r="N361" s="11"/>
      <c r="O361" s="49"/>
      <c r="S361" s="21">
        <f>VLOOKUP(A361,'P2'!A:H,8,0)</f>
        <v>2</v>
      </c>
      <c r="T361" s="82"/>
      <c r="U361" s="143">
        <f>COUNTIFS(A:A,A361,C:C,C361)</f>
        <v>1</v>
      </c>
      <c r="V361" s="77" t="e">
        <f>VLOOKUP(A361,Data_echipe!A:U,21,0)</f>
        <v>#N/A</v>
      </c>
    </row>
    <row r="362" spans="1:24" x14ac:dyDescent="0.25">
      <c r="A362" s="64" t="s">
        <v>100</v>
      </c>
      <c r="B362" s="77" t="str">
        <f>VLOOKUP(A362,Participanti!A:B,2,0)</f>
        <v>F</v>
      </c>
      <c r="C362" s="137" t="s">
        <v>146</v>
      </c>
      <c r="D362" s="66"/>
      <c r="E362" s="67"/>
      <c r="F362" s="67"/>
      <c r="G362" s="100"/>
      <c r="H362" s="68"/>
      <c r="I362" s="14"/>
      <c r="J362" s="92"/>
      <c r="K362" s="92"/>
      <c r="L362" s="65" t="s">
        <v>298</v>
      </c>
      <c r="M362" s="11"/>
      <c r="N362" s="11"/>
      <c r="O362" s="49"/>
      <c r="S362" s="21">
        <f>VLOOKUP(A362,'P2'!A:H,8,0)</f>
        <v>0.125</v>
      </c>
      <c r="T362" s="82"/>
      <c r="U362" s="143">
        <f>COUNTIFS(A:A,A362,C:C,C362)</f>
        <v>1</v>
      </c>
      <c r="V362" s="77" t="str">
        <f>VLOOKUP(A362,Data_echipe!A:U,21,0)</f>
        <v>All Stars</v>
      </c>
    </row>
    <row r="363" spans="1:24" x14ac:dyDescent="0.25">
      <c r="A363" s="64" t="s">
        <v>117</v>
      </c>
      <c r="B363" s="77" t="str">
        <f>VLOOKUP(A363,Participanti!A:B,2,0)</f>
        <v>M</v>
      </c>
      <c r="C363" s="137" t="s">
        <v>146</v>
      </c>
      <c r="D363" s="66"/>
      <c r="E363" s="67"/>
      <c r="F363" s="67"/>
      <c r="G363" s="100"/>
      <c r="H363" s="68"/>
      <c r="I363" s="14"/>
      <c r="J363" s="92"/>
      <c r="K363" s="92"/>
      <c r="L363" s="65" t="s">
        <v>298</v>
      </c>
      <c r="M363" s="11"/>
      <c r="N363" s="11"/>
      <c r="O363" s="49"/>
      <c r="S363" s="21">
        <f>VLOOKUP(A363,'P2'!A:H,8,0)</f>
        <v>1.1875</v>
      </c>
      <c r="T363" s="82"/>
      <c r="U363" s="143">
        <f>COUNTIFS(A:A,A363,C:C,C363)</f>
        <v>1</v>
      </c>
      <c r="V363" s="77" t="str">
        <f>VLOOKUP(A363,Data_echipe!A:U,21,0)</f>
        <v>UltraSYR</v>
      </c>
    </row>
    <row r="364" spans="1:24" ht="12.6" thickBot="1" x14ac:dyDescent="0.3">
      <c r="A364" s="180" t="s">
        <v>60</v>
      </c>
      <c r="B364" s="181" t="str">
        <f>VLOOKUP(A364,Participanti!A:B,2,0)</f>
        <v>M</v>
      </c>
      <c r="C364" s="182" t="s">
        <v>146</v>
      </c>
      <c r="D364" s="183"/>
      <c r="E364" s="184"/>
      <c r="F364" s="184"/>
      <c r="G364" s="185"/>
      <c r="H364" s="186"/>
      <c r="I364" s="187"/>
      <c r="J364" s="188"/>
      <c r="K364" s="188"/>
      <c r="L364" s="189" t="s">
        <v>298</v>
      </c>
      <c r="M364" s="190"/>
      <c r="N364" s="190"/>
      <c r="O364" s="191"/>
      <c r="P364" s="192"/>
      <c r="Q364" s="192"/>
      <c r="R364" s="192"/>
      <c r="S364" s="193">
        <f>VLOOKUP(A364,'P2'!A:H,8,0)</f>
        <v>1.75</v>
      </c>
      <c r="T364" s="194"/>
      <c r="U364" s="195">
        <f>COUNTIFS(A:A,A364,C:C,C364)</f>
        <v>1</v>
      </c>
      <c r="V364" s="181" t="e">
        <f>VLOOKUP(A364,Data_echipe!A:U,21,0)</f>
        <v>#N/A</v>
      </c>
      <c r="W364" s="196"/>
    </row>
    <row r="365" spans="1:24" x14ac:dyDescent="0.25">
      <c r="A365" s="64" t="s">
        <v>242</v>
      </c>
      <c r="B365" s="77" t="str">
        <f>VLOOKUP(A365,Participanti!A:B,2,0)</f>
        <v>M</v>
      </c>
      <c r="C365" s="139">
        <v>11</v>
      </c>
      <c r="D365" s="66">
        <v>28.2</v>
      </c>
      <c r="E365" s="67">
        <v>8.475694444444444E-2</v>
      </c>
      <c r="F365" s="67">
        <v>8.5115740740740742E-2</v>
      </c>
      <c r="G365" s="100">
        <f>AVERAGE(E365:F365)</f>
        <v>8.4936342592592584E-2</v>
      </c>
      <c r="H365" s="68">
        <v>266</v>
      </c>
      <c r="I365" s="112">
        <f>G365/D365</f>
        <v>3.0119270422905172E-3</v>
      </c>
      <c r="J365" s="92">
        <f>IF(B365="F",IF(D365&lt;2.5,0,IF(D365&gt;19.99,5,D365/4)),IF(D365&lt;3,0, IF(D365&gt;20.99,5,D365/4.2)))</f>
        <v>5</v>
      </c>
      <c r="K365" s="92">
        <f>IF(J365=0,0,IF(B365="F",VLOOKUP(I365,Barem!$G$2:$H$11,2,1),VLOOKUP(I365,Barem!$G$12:$H$21,2,1)))</f>
        <v>4</v>
      </c>
      <c r="L365" s="65" t="str">
        <f>VLOOKUP(C365,Barem!L:Q,6,0)</f>
        <v>D</v>
      </c>
      <c r="M365" s="11">
        <f>IF(OR(L365="P1",L365="P2",L365="P3"),"",IF(C365=15,0.5,IF(L365="D",0.75,0.25)))</f>
        <v>0.75</v>
      </c>
      <c r="N365" s="11">
        <f>IF(OR(L365="P1",L365="P2",L365="P3"),"",IF(C365=15,0.5,IF(L365="V",0.75,0.25)))</f>
        <v>0.25</v>
      </c>
      <c r="O365" s="49">
        <f>IF(H365&lt;-49,H365/1500,IF(H365&gt;49,H365/1500,0))</f>
        <v>0.17733333333333334</v>
      </c>
      <c r="P365" s="27">
        <f>IF(D365&gt;21,VLOOKUP(D365,Barem!$S$1:$T$141,2,1),0)</f>
        <v>0.3</v>
      </c>
      <c r="Q365" s="27">
        <f>IF(D365&lt;1.609,0,IF(B365="F",VLOOKUP(I365,Barem!$W$2:$Y$13,2,1),VLOOKUP(I365,Barem!$W$14:$Y$25,2,1)))</f>
        <v>0</v>
      </c>
      <c r="R365" s="27">
        <f>VLOOKUP(A365,Participanti!A:C,3,0)</f>
        <v>0</v>
      </c>
      <c r="S365" s="21">
        <f>J365*M365+K365*N365+O365+P365+Q365+R365</f>
        <v>5.2273333333333332</v>
      </c>
      <c r="T365" s="82">
        <v>44518</v>
      </c>
      <c r="U365" s="143">
        <f>COUNTIFS(A:A,A365,C:C,C365)</f>
        <v>1</v>
      </c>
      <c r="V365" s="77" t="str">
        <f>VLOOKUP(A365,Data_echipe!A:U,21,0)</f>
        <v>All Stars</v>
      </c>
      <c r="W365" s="23" t="s">
        <v>313</v>
      </c>
      <c r="X365" s="154">
        <v>1</v>
      </c>
    </row>
    <row r="366" spans="1:24" x14ac:dyDescent="0.25">
      <c r="A366" s="64" t="s">
        <v>152</v>
      </c>
      <c r="B366" s="77" t="str">
        <f>VLOOKUP(A366,Participanti!A:B,2,0)</f>
        <v>F</v>
      </c>
      <c r="C366" s="139">
        <v>11</v>
      </c>
      <c r="D366" s="66">
        <v>6.3</v>
      </c>
      <c r="E366" s="67">
        <v>2.0173611111111111E-2</v>
      </c>
      <c r="F366" s="67">
        <v>2.0370370370370369E-2</v>
      </c>
      <c r="G366" s="100">
        <f t="shared" ref="G366:G427" si="101">AVERAGE(E366:F366)</f>
        <v>2.027199074074074E-2</v>
      </c>
      <c r="H366" s="68">
        <v>0</v>
      </c>
      <c r="I366" s="112">
        <f t="shared" ref="I366:I389" si="102">G366/D366</f>
        <v>3.2177763080540856E-3</v>
      </c>
      <c r="J366" s="92">
        <f t="shared" ref="J366:J389" si="103">IF(B366="F",IF(D366&lt;2.5,0,IF(D366&gt;19.99,5,D366/4)),IF(D366&lt;3,0, IF(D366&gt;20.99,5,D366/4.2)))</f>
        <v>1.575</v>
      </c>
      <c r="K366" s="92">
        <f>IF(J366=0,0,IF(B366="F",VLOOKUP(I366,Barem!$G$2:$H$11,2,1),VLOOKUP(I366,Barem!$G$12:$H$21,2,1)))</f>
        <v>4.5</v>
      </c>
      <c r="L366" s="110" t="s">
        <v>110</v>
      </c>
      <c r="M366" s="11">
        <f t="shared" ref="M366:M389" si="104">IF(OR(L366="P1",L366="P2",L366="P3"),"",IF(C366=15,0.5,IF(L366="D",0.75,0.25)))</f>
        <v>0.25</v>
      </c>
      <c r="N366" s="11">
        <f t="shared" ref="N366:N389" si="105">IF(OR(L366="P1",L366="P2",L366="P3"),"",IF(C366=15,0.5,IF(L366="V",0.75,0.25)))</f>
        <v>0.75</v>
      </c>
      <c r="O366" s="49">
        <f t="shared" ref="O366:O389" si="106">IF(H366&lt;-49,H366/1500,IF(H366&gt;49,H366/1500,0))</f>
        <v>0</v>
      </c>
      <c r="P366" s="27">
        <f>IF(D366&gt;21,VLOOKUP(D366,Barem!$S$1:$T$141,2,1),0)</f>
        <v>0</v>
      </c>
      <c r="Q366" s="27">
        <f>IF(D366&lt;1.609,0,IF(B366="F",VLOOKUP(I366,Barem!$W$2:$Y$13,2,1),VLOOKUP(I366,Barem!$W$14:$Y$25,2,1)))</f>
        <v>0</v>
      </c>
      <c r="R366" s="27">
        <f>VLOOKUP(A366,Participanti!A:C,3,0)</f>
        <v>0</v>
      </c>
      <c r="S366" s="21">
        <f t="shared" ref="S366:S389" si="107">J366*M366+K366*N366+O366+P366+Q366+R366</f>
        <v>3.7687499999999998</v>
      </c>
      <c r="T366" s="82">
        <v>44518</v>
      </c>
      <c r="U366" s="143">
        <f>COUNTIFS(A:A,A366,C:C,C366)</f>
        <v>1</v>
      </c>
      <c r="V366" s="77" t="str">
        <f>VLOOKUP(A366,Data_echipe!A:U,21,0)</f>
        <v>All Stars</v>
      </c>
      <c r="X366" s="154">
        <v>1</v>
      </c>
    </row>
    <row r="367" spans="1:24" x14ac:dyDescent="0.25">
      <c r="A367" s="64" t="s">
        <v>51</v>
      </c>
      <c r="B367" s="77" t="str">
        <f>VLOOKUP(A367,Participanti!A:B,2,0)</f>
        <v>M</v>
      </c>
      <c r="C367" s="139">
        <v>11</v>
      </c>
      <c r="D367" s="66">
        <v>30.01</v>
      </c>
      <c r="E367" s="67">
        <v>0.10131944444444445</v>
      </c>
      <c r="F367" s="67">
        <v>0.10388888888888888</v>
      </c>
      <c r="G367" s="100">
        <f t="shared" si="101"/>
        <v>0.10260416666666666</v>
      </c>
      <c r="H367" s="68">
        <v>68</v>
      </c>
      <c r="I367" s="112">
        <f t="shared" si="102"/>
        <v>3.4189992224813947E-3</v>
      </c>
      <c r="J367" s="92">
        <f t="shared" si="103"/>
        <v>5</v>
      </c>
      <c r="K367" s="92">
        <f>IF(J367=0,0,IF(B367="F",VLOOKUP(I367,Barem!$G$2:$H$11,2,1),VLOOKUP(I367,Barem!$G$12:$H$21,2,1)))</f>
        <v>3</v>
      </c>
      <c r="L367" s="110" t="s">
        <v>110</v>
      </c>
      <c r="M367" s="11">
        <f t="shared" si="104"/>
        <v>0.25</v>
      </c>
      <c r="N367" s="11">
        <f t="shared" si="105"/>
        <v>0.75</v>
      </c>
      <c r="O367" s="49">
        <f t="shared" si="106"/>
        <v>4.5333333333333337E-2</v>
      </c>
      <c r="P367" s="27">
        <f>IF(D367&gt;21,VLOOKUP(D367,Barem!$S$1:$T$141,2,1),0)</f>
        <v>0.4</v>
      </c>
      <c r="Q367" s="27">
        <f>IF(D367&lt;1.609,0,IF(B367="F",VLOOKUP(I367,Barem!$W$2:$Y$13,2,1),VLOOKUP(I367,Barem!$W$14:$Y$25,2,1)))</f>
        <v>0</v>
      </c>
      <c r="R367" s="27">
        <f>VLOOKUP(A367,Participanti!A:C,3,0)</f>
        <v>0</v>
      </c>
      <c r="S367" s="21">
        <f t="shared" si="107"/>
        <v>3.9453333333333331</v>
      </c>
      <c r="T367" s="82">
        <v>44521</v>
      </c>
      <c r="U367" s="143">
        <f>COUNTIFS(A:A,A367,C:C,C367)</f>
        <v>1</v>
      </c>
      <c r="V367" s="77" t="str">
        <f>VLOOKUP(A367,Data_echipe!A:U,21,0)</f>
        <v>UltraSYR</v>
      </c>
      <c r="X367" s="154">
        <v>1</v>
      </c>
    </row>
    <row r="368" spans="1:24" x14ac:dyDescent="0.25">
      <c r="A368" s="64" t="s">
        <v>203</v>
      </c>
      <c r="B368" s="77" t="str">
        <f>VLOOKUP(A368,Participanti!A:B,2,0)</f>
        <v>M</v>
      </c>
      <c r="C368" s="139">
        <v>11</v>
      </c>
      <c r="D368" s="66">
        <v>11.5</v>
      </c>
      <c r="E368" s="67">
        <v>3.4351851851851849E-2</v>
      </c>
      <c r="F368" s="67">
        <v>3.4745370370370371E-2</v>
      </c>
      <c r="G368" s="100">
        <f t="shared" si="101"/>
        <v>3.4548611111111113E-2</v>
      </c>
      <c r="H368" s="68">
        <v>51</v>
      </c>
      <c r="I368" s="112">
        <f t="shared" si="102"/>
        <v>3.0042270531400969E-3</v>
      </c>
      <c r="J368" s="92">
        <f t="shared" si="103"/>
        <v>2.7380952380952381</v>
      </c>
      <c r="K368" s="92">
        <f>IF(J368=0,0,IF(B368="F",VLOOKUP(I368,Barem!$G$2:$H$11,2,1),VLOOKUP(I368,Barem!$G$12:$H$21,2,1)))</f>
        <v>4</v>
      </c>
      <c r="L368" s="65" t="str">
        <f>VLOOKUP(C368,Barem!L:Q,6,0)</f>
        <v>D</v>
      </c>
      <c r="M368" s="11">
        <f t="shared" si="104"/>
        <v>0.75</v>
      </c>
      <c r="N368" s="11">
        <f t="shared" si="105"/>
        <v>0.25</v>
      </c>
      <c r="O368" s="49">
        <f t="shared" si="106"/>
        <v>3.4000000000000002E-2</v>
      </c>
      <c r="P368" s="27">
        <f>IF(D368&gt;21,VLOOKUP(D368,Barem!$S$1:$T$141,2,1),0)</f>
        <v>0</v>
      </c>
      <c r="Q368" s="27">
        <f>IF(D368&lt;1.609,0,IF(B368="F",VLOOKUP(I368,Barem!$W$2:$Y$13,2,1),VLOOKUP(I368,Barem!$W$14:$Y$25,2,1)))</f>
        <v>0</v>
      </c>
      <c r="R368" s="27">
        <f>VLOOKUP(A368,Participanti!A:C,3,0)</f>
        <v>0</v>
      </c>
      <c r="S368" s="21">
        <f t="shared" si="107"/>
        <v>3.0875714285714286</v>
      </c>
      <c r="T368" s="82">
        <v>44516</v>
      </c>
      <c r="U368" s="143">
        <f>COUNTIFS(A:A,A368,C:C,C368)</f>
        <v>1</v>
      </c>
      <c r="V368" s="77" t="str">
        <f>VLOOKUP(A368,Data_echipe!A:U,21,0)</f>
        <v>All Stars</v>
      </c>
      <c r="X368" s="154">
        <v>1</v>
      </c>
    </row>
    <row r="369" spans="1:24" x14ac:dyDescent="0.25">
      <c r="A369" s="64" t="s">
        <v>211</v>
      </c>
      <c r="B369" s="77" t="str">
        <f>VLOOKUP(A369,Participanti!A:B,2,0)</f>
        <v>F</v>
      </c>
      <c r="C369" s="139">
        <v>11</v>
      </c>
      <c r="D369" s="66">
        <v>20.12</v>
      </c>
      <c r="E369" s="67">
        <v>6.9780092592592588E-2</v>
      </c>
      <c r="F369" s="67">
        <v>7.6932870370370374E-2</v>
      </c>
      <c r="G369" s="100">
        <f t="shared" si="101"/>
        <v>7.3356481481481481E-2</v>
      </c>
      <c r="H369" s="68">
        <v>110</v>
      </c>
      <c r="I369" s="112">
        <f t="shared" si="102"/>
        <v>3.6459483837714452E-3</v>
      </c>
      <c r="J369" s="92">
        <f t="shared" si="103"/>
        <v>5</v>
      </c>
      <c r="K369" s="92">
        <f>IF(J369=0,0,IF(B369="F",VLOOKUP(I369,Barem!$G$2:$H$11,2,1),VLOOKUP(I369,Barem!$G$12:$H$21,2,1)))</f>
        <v>3.5</v>
      </c>
      <c r="L369" s="65" t="str">
        <f>VLOOKUP(C369,Barem!L:Q,6,0)</f>
        <v>D</v>
      </c>
      <c r="M369" s="11">
        <f t="shared" si="104"/>
        <v>0.75</v>
      </c>
      <c r="N369" s="11">
        <f t="shared" si="105"/>
        <v>0.25</v>
      </c>
      <c r="O369" s="49">
        <f t="shared" si="106"/>
        <v>7.3333333333333334E-2</v>
      </c>
      <c r="P369" s="27">
        <f>IF(D369&gt;21,VLOOKUP(D369,Barem!$S$1:$T$141,2,1),0)</f>
        <v>0</v>
      </c>
      <c r="Q369" s="27">
        <f>IF(D369&lt;1.609,0,IF(B369="F",VLOOKUP(I369,Barem!$W$2:$Y$13,2,1),VLOOKUP(I369,Barem!$W$14:$Y$25,2,1)))</f>
        <v>0</v>
      </c>
      <c r="R369" s="27">
        <f>VLOOKUP(A369,Participanti!A:C,3,0)</f>
        <v>0</v>
      </c>
      <c r="S369" s="21">
        <f t="shared" si="107"/>
        <v>4.6983333333333333</v>
      </c>
      <c r="T369" s="82">
        <v>44521</v>
      </c>
      <c r="U369" s="143">
        <f>COUNTIFS(A:A,A369,C:C,C369)</f>
        <v>1</v>
      </c>
      <c r="V369" s="77" t="str">
        <f>VLOOKUP(A369,Data_echipe!A:U,21,0)</f>
        <v>UltraSYR</v>
      </c>
      <c r="X369" s="154">
        <v>1</v>
      </c>
    </row>
    <row r="370" spans="1:24" x14ac:dyDescent="0.25">
      <c r="A370" s="64" t="s">
        <v>119</v>
      </c>
      <c r="B370" s="77" t="str">
        <f>VLOOKUP(A370,Participanti!A:B,2,0)</f>
        <v>M</v>
      </c>
      <c r="C370" s="139">
        <v>11</v>
      </c>
      <c r="D370" s="66">
        <v>21.1</v>
      </c>
      <c r="E370" s="67">
        <v>6.1851851851851852E-2</v>
      </c>
      <c r="F370" s="67">
        <v>6.7094907407407409E-2</v>
      </c>
      <c r="G370" s="100">
        <f t="shared" si="101"/>
        <v>6.4473379629629624E-2</v>
      </c>
      <c r="H370" s="68">
        <v>14</v>
      </c>
      <c r="I370" s="112">
        <f t="shared" si="102"/>
        <v>3.0556104089871855E-3</v>
      </c>
      <c r="J370" s="92">
        <f t="shared" si="103"/>
        <v>5</v>
      </c>
      <c r="K370" s="92">
        <f>IF(J370=0,0,IF(B370="F",VLOOKUP(I370,Barem!$G$2:$H$11,2,1),VLOOKUP(I370,Barem!$G$12:$H$21,2,1)))</f>
        <v>4</v>
      </c>
      <c r="L370" s="65" t="str">
        <f>VLOOKUP(C370,Barem!L:Q,6,0)</f>
        <v>D</v>
      </c>
      <c r="M370" s="11">
        <f t="shared" si="104"/>
        <v>0.75</v>
      </c>
      <c r="N370" s="11">
        <f t="shared" si="105"/>
        <v>0.25</v>
      </c>
      <c r="O370" s="49">
        <f t="shared" si="106"/>
        <v>0</v>
      </c>
      <c r="P370" s="27">
        <f>IF(D370&gt;21,VLOOKUP(D370,Barem!$S$1:$T$141,2,1),0)</f>
        <v>0</v>
      </c>
      <c r="Q370" s="27">
        <f>IF(D370&lt;1.609,0,IF(B370="F",VLOOKUP(I370,Barem!$W$2:$Y$13,2,1),VLOOKUP(I370,Barem!$W$14:$Y$25,2,1)))</f>
        <v>0</v>
      </c>
      <c r="R370" s="27">
        <f>VLOOKUP(A370,Participanti!A:C,3,0)</f>
        <v>0</v>
      </c>
      <c r="S370" s="21">
        <f t="shared" si="107"/>
        <v>4.75</v>
      </c>
      <c r="T370" s="82">
        <v>44521</v>
      </c>
      <c r="U370" s="143">
        <f>COUNTIFS(A:A,A370,C:C,C370)</f>
        <v>1</v>
      </c>
      <c r="V370" s="77" t="e">
        <f>VLOOKUP(A370,Data_echipe!A:U,21,0)</f>
        <v>#N/A</v>
      </c>
      <c r="X370" s="154">
        <v>1</v>
      </c>
    </row>
    <row r="371" spans="1:24" x14ac:dyDescent="0.25">
      <c r="A371" s="64" t="s">
        <v>111</v>
      </c>
      <c r="B371" s="77" t="str">
        <f>VLOOKUP(A371,Participanti!A:B,2,0)</f>
        <v>M</v>
      </c>
      <c r="C371" s="139">
        <v>11</v>
      </c>
      <c r="D371" s="66">
        <v>12.6</v>
      </c>
      <c r="E371" s="67">
        <v>3.9097222222222221E-2</v>
      </c>
      <c r="F371" s="67">
        <v>3.9097222222222221E-2</v>
      </c>
      <c r="G371" s="100">
        <f t="shared" si="101"/>
        <v>3.9097222222222221E-2</v>
      </c>
      <c r="H371" s="68">
        <v>11</v>
      </c>
      <c r="I371" s="112">
        <f t="shared" si="102"/>
        <v>3.1029541446208112E-3</v>
      </c>
      <c r="J371" s="92">
        <f t="shared" si="103"/>
        <v>3</v>
      </c>
      <c r="K371" s="92">
        <f>IF(J371=0,0,IF(B371="F",VLOOKUP(I371,Barem!$G$2:$H$11,2,1),VLOOKUP(I371,Barem!$G$12:$H$21,2,1)))</f>
        <v>4</v>
      </c>
      <c r="L371" s="110" t="s">
        <v>110</v>
      </c>
      <c r="M371" s="11">
        <f t="shared" si="104"/>
        <v>0.25</v>
      </c>
      <c r="N371" s="11">
        <f t="shared" si="105"/>
        <v>0.75</v>
      </c>
      <c r="O371" s="49">
        <f t="shared" si="106"/>
        <v>0</v>
      </c>
      <c r="P371" s="27">
        <f>IF(D371&gt;21,VLOOKUP(D371,Barem!$S$1:$T$141,2,1),0)</f>
        <v>0</v>
      </c>
      <c r="Q371" s="27">
        <f>IF(D371&lt;1.609,0,IF(B371="F",VLOOKUP(I371,Barem!$W$2:$Y$13,2,1),VLOOKUP(I371,Barem!$W$14:$Y$25,2,1)))</f>
        <v>0</v>
      </c>
      <c r="R371" s="27">
        <f>VLOOKUP(A371,Participanti!A:C,3,0)</f>
        <v>0</v>
      </c>
      <c r="S371" s="21">
        <f t="shared" si="107"/>
        <v>3.75</v>
      </c>
      <c r="T371" s="82">
        <v>44519</v>
      </c>
      <c r="U371" s="143">
        <f>COUNTIFS(A:A,A371,C:C,C371)</f>
        <v>1</v>
      </c>
      <c r="V371" s="77" t="str">
        <f>VLOOKUP(A371,Data_echipe!A:U,21,0)</f>
        <v>UltraSYR</v>
      </c>
      <c r="X371" s="154">
        <v>1</v>
      </c>
    </row>
    <row r="372" spans="1:24" x14ac:dyDescent="0.25">
      <c r="A372" s="64" t="s">
        <v>53</v>
      </c>
      <c r="B372" s="77" t="str">
        <f>VLOOKUP(A372,Participanti!A:B,2,0)</f>
        <v>M</v>
      </c>
      <c r="C372" s="139">
        <v>11</v>
      </c>
      <c r="D372" s="66">
        <v>15.03</v>
      </c>
      <c r="E372" s="67">
        <v>4.925925925925926E-2</v>
      </c>
      <c r="F372" s="67">
        <v>4.9305555555555554E-2</v>
      </c>
      <c r="G372" s="100">
        <f t="shared" si="101"/>
        <v>4.9282407407407407E-2</v>
      </c>
      <c r="H372" s="68">
        <v>52</v>
      </c>
      <c r="I372" s="112">
        <f t="shared" si="102"/>
        <v>3.2789359552499939E-3</v>
      </c>
      <c r="J372" s="92">
        <f t="shared" si="103"/>
        <v>3.5785714285714283</v>
      </c>
      <c r="K372" s="92">
        <f>IF(J372=0,0,IF(B372="F",VLOOKUP(I372,Barem!$G$2:$H$11,2,1),VLOOKUP(I372,Barem!$G$12:$H$21,2,1)))</f>
        <v>3.5</v>
      </c>
      <c r="L372" s="110" t="s">
        <v>110</v>
      </c>
      <c r="M372" s="11">
        <f t="shared" si="104"/>
        <v>0.25</v>
      </c>
      <c r="N372" s="11">
        <f t="shared" si="105"/>
        <v>0.75</v>
      </c>
      <c r="O372" s="49">
        <f t="shared" si="106"/>
        <v>3.4666666666666665E-2</v>
      </c>
      <c r="P372" s="27">
        <f>IF(D372&gt;21,VLOOKUP(D372,Barem!$S$1:$T$141,2,1),0)</f>
        <v>0</v>
      </c>
      <c r="Q372" s="27">
        <f>IF(D372&lt;1.609,0,IF(B372="F",VLOOKUP(I372,Barem!$W$2:$Y$13,2,1),VLOOKUP(I372,Barem!$W$14:$Y$25,2,1)))</f>
        <v>0</v>
      </c>
      <c r="R372" s="27">
        <f>VLOOKUP(A372,Participanti!A:C,3,0)</f>
        <v>0</v>
      </c>
      <c r="S372" s="21">
        <f t="shared" si="107"/>
        <v>3.5543095238095241</v>
      </c>
      <c r="T372" s="82">
        <v>44517</v>
      </c>
      <c r="U372" s="143">
        <f>COUNTIFS(A:A,A372,C:C,C372)</f>
        <v>1</v>
      </c>
      <c r="V372" s="77" t="str">
        <f>VLOOKUP(A372,Data_echipe!A:U,21,0)</f>
        <v>UltraSYR</v>
      </c>
      <c r="X372" s="154">
        <v>1</v>
      </c>
    </row>
    <row r="373" spans="1:24" x14ac:dyDescent="0.25">
      <c r="A373" s="64" t="s">
        <v>240</v>
      </c>
      <c r="B373" s="77" t="str">
        <f>VLOOKUP(A373,Participanti!A:B,2,0)</f>
        <v>M</v>
      </c>
      <c r="C373" s="139">
        <v>11</v>
      </c>
      <c r="D373" s="66">
        <v>10.52</v>
      </c>
      <c r="E373" s="67">
        <v>3.3692129629629627E-2</v>
      </c>
      <c r="F373" s="67">
        <v>3.3773148148148149E-2</v>
      </c>
      <c r="G373" s="100">
        <f t="shared" si="101"/>
        <v>3.3732638888888888E-2</v>
      </c>
      <c r="H373" s="68">
        <v>15</v>
      </c>
      <c r="I373" s="112">
        <f t="shared" si="102"/>
        <v>3.2065246092099703E-3</v>
      </c>
      <c r="J373" s="92">
        <f t="shared" si="103"/>
        <v>2.5047619047619047</v>
      </c>
      <c r="K373" s="92">
        <f>IF(J373=0,0,IF(B373="F",VLOOKUP(I373,Barem!$G$2:$H$11,2,1),VLOOKUP(I373,Barem!$G$12:$H$21,2,1)))</f>
        <v>3.5</v>
      </c>
      <c r="L373" s="110" t="s">
        <v>110</v>
      </c>
      <c r="M373" s="11">
        <f t="shared" si="104"/>
        <v>0.25</v>
      </c>
      <c r="N373" s="11">
        <f t="shared" si="105"/>
        <v>0.75</v>
      </c>
      <c r="O373" s="49">
        <f t="shared" si="106"/>
        <v>0</v>
      </c>
      <c r="P373" s="27">
        <f>IF(D373&gt;21,VLOOKUP(D373,Barem!$S$1:$T$141,2,1),0)</f>
        <v>0</v>
      </c>
      <c r="Q373" s="27">
        <f>IF(D373&lt;1.609,0,IF(B373="F",VLOOKUP(I373,Barem!$W$2:$Y$13,2,1),VLOOKUP(I373,Barem!$W$14:$Y$25,2,1)))</f>
        <v>0</v>
      </c>
      <c r="R373" s="27">
        <f>VLOOKUP(A373,Participanti!A:C,3,0)</f>
        <v>0</v>
      </c>
      <c r="S373" s="21">
        <f t="shared" si="107"/>
        <v>3.2511904761904762</v>
      </c>
      <c r="T373" s="82">
        <v>44516</v>
      </c>
      <c r="U373" s="143">
        <f>COUNTIFS(A:A,A373,C:C,C373)</f>
        <v>1</v>
      </c>
      <c r="V373" s="77" t="str">
        <f>VLOOKUP(A373,Data_echipe!A:U,21,0)</f>
        <v>All Stars</v>
      </c>
      <c r="X373" s="154">
        <v>1</v>
      </c>
    </row>
    <row r="374" spans="1:24" x14ac:dyDescent="0.25">
      <c r="A374" s="64" t="s">
        <v>118</v>
      </c>
      <c r="B374" s="77" t="str">
        <f>VLOOKUP(A374,Participanti!A:B,2,0)</f>
        <v>M</v>
      </c>
      <c r="C374" s="139">
        <v>11</v>
      </c>
      <c r="D374" s="66">
        <v>3.02</v>
      </c>
      <c r="E374" s="67">
        <v>8.1712962962962963E-3</v>
      </c>
      <c r="F374" s="67">
        <v>8.1712962962962963E-3</v>
      </c>
      <c r="G374" s="100">
        <f t="shared" si="101"/>
        <v>8.1712962962962963E-3</v>
      </c>
      <c r="H374" s="68">
        <v>5</v>
      </c>
      <c r="I374" s="112">
        <f t="shared" si="102"/>
        <v>2.705727250429237E-3</v>
      </c>
      <c r="J374" s="92">
        <f t="shared" si="103"/>
        <v>0.71904761904761905</v>
      </c>
      <c r="K374" s="92">
        <f>IF(J374=0,0,IF(B374="F",VLOOKUP(I374,Barem!$G$2:$H$11,2,1),VLOOKUP(I374,Barem!$G$12:$H$21,2,1)))</f>
        <v>5</v>
      </c>
      <c r="L374" s="110" t="s">
        <v>110</v>
      </c>
      <c r="M374" s="11">
        <f t="shared" si="104"/>
        <v>0.25</v>
      </c>
      <c r="N374" s="11">
        <f t="shared" si="105"/>
        <v>0.75</v>
      </c>
      <c r="O374" s="49">
        <f t="shared" si="106"/>
        <v>0</v>
      </c>
      <c r="P374" s="27">
        <f>IF(D374&gt;21,VLOOKUP(D374,Barem!$S$1:$T$141,2,1),0)</f>
        <v>0</v>
      </c>
      <c r="Q374" s="27">
        <f>IF(D374&lt;1.609,0,IF(B374="F",VLOOKUP(I374,Barem!$W$2:$Y$13,2,1),VLOOKUP(I374,Barem!$W$14:$Y$25,2,1)))</f>
        <v>0.45000000000000007</v>
      </c>
      <c r="R374" s="27">
        <f>VLOOKUP(A374,Participanti!A:C,3,0)</f>
        <v>0</v>
      </c>
      <c r="S374" s="21">
        <f t="shared" si="107"/>
        <v>4.3797619047619047</v>
      </c>
      <c r="T374" s="82">
        <v>44520</v>
      </c>
      <c r="U374" s="143">
        <f>COUNTIFS(A:A,A374,C:C,C374)</f>
        <v>1</v>
      </c>
      <c r="V374" s="77" t="str">
        <f>VLOOKUP(A374,Data_echipe!A:U,21,0)</f>
        <v>UltraSYR</v>
      </c>
      <c r="X374" s="154">
        <v>1</v>
      </c>
    </row>
    <row r="375" spans="1:24" x14ac:dyDescent="0.25">
      <c r="A375" s="64" t="s">
        <v>102</v>
      </c>
      <c r="B375" s="77" t="str">
        <f>VLOOKUP(A375,Participanti!A:B,2,0)</f>
        <v>M</v>
      </c>
      <c r="C375" s="139">
        <v>11</v>
      </c>
      <c r="D375" s="66">
        <v>16.02</v>
      </c>
      <c r="E375" s="67">
        <v>5.5798611111111111E-2</v>
      </c>
      <c r="F375" s="67">
        <v>5.814814814814815E-2</v>
      </c>
      <c r="G375" s="100">
        <f t="shared" si="101"/>
        <v>5.6973379629629631E-2</v>
      </c>
      <c r="H375" s="68">
        <v>47</v>
      </c>
      <c r="I375" s="112">
        <f t="shared" si="102"/>
        <v>3.5563907384288159E-3</v>
      </c>
      <c r="J375" s="92">
        <f t="shared" si="103"/>
        <v>3.8142857142857141</v>
      </c>
      <c r="K375" s="92">
        <f>IF(J375=0,0,IF(B375="F",VLOOKUP(I375,Barem!$G$2:$H$11,2,1),VLOOKUP(I375,Barem!$G$12:$H$21,2,1)))</f>
        <v>2.5</v>
      </c>
      <c r="L375" s="65" t="str">
        <f>VLOOKUP(C375,Barem!L:Q,6,0)</f>
        <v>D</v>
      </c>
      <c r="M375" s="11">
        <f t="shared" si="104"/>
        <v>0.75</v>
      </c>
      <c r="N375" s="11">
        <f t="shared" si="105"/>
        <v>0.25</v>
      </c>
      <c r="O375" s="49">
        <f t="shared" si="106"/>
        <v>0</v>
      </c>
      <c r="P375" s="27">
        <f>IF(D375&gt;21,VLOOKUP(D375,Barem!$S$1:$T$141,2,1),0)</f>
        <v>0</v>
      </c>
      <c r="Q375" s="27">
        <f>IF(D375&lt;1.609,0,IF(B375="F",VLOOKUP(I375,Barem!$W$2:$Y$13,2,1),VLOOKUP(I375,Barem!$W$14:$Y$25,2,1)))</f>
        <v>0</v>
      </c>
      <c r="R375" s="27">
        <f>VLOOKUP(A375,Participanti!A:C,3,0)</f>
        <v>0</v>
      </c>
      <c r="S375" s="21">
        <f t="shared" si="107"/>
        <v>3.4857142857142858</v>
      </c>
      <c r="T375" s="82">
        <v>44521</v>
      </c>
      <c r="U375" s="143">
        <f>COUNTIFS(A:A,A375,C:C,C375)</f>
        <v>1</v>
      </c>
      <c r="V375" s="77" t="str">
        <f>VLOOKUP(A375,Data_echipe!A:U,21,0)</f>
        <v>All Stars</v>
      </c>
      <c r="X375" s="154">
        <v>1</v>
      </c>
    </row>
    <row r="376" spans="1:24" x14ac:dyDescent="0.25">
      <c r="A376" s="64" t="s">
        <v>49</v>
      </c>
      <c r="B376" s="77" t="str">
        <f>VLOOKUP(A376,Participanti!A:B,2,0)</f>
        <v>M</v>
      </c>
      <c r="C376" s="139">
        <v>11</v>
      </c>
      <c r="D376" s="66">
        <v>14</v>
      </c>
      <c r="E376" s="67">
        <v>4.854166666666667E-2</v>
      </c>
      <c r="F376" s="67">
        <v>4.854166666666667E-2</v>
      </c>
      <c r="G376" s="100">
        <f t="shared" si="101"/>
        <v>4.854166666666667E-2</v>
      </c>
      <c r="H376" s="68">
        <v>18</v>
      </c>
      <c r="I376" s="112">
        <f t="shared" si="102"/>
        <v>3.4672619047619048E-3</v>
      </c>
      <c r="J376" s="92">
        <f t="shared" si="103"/>
        <v>3.333333333333333</v>
      </c>
      <c r="K376" s="92">
        <f>IF(J376=0,0,IF(B376="F",VLOOKUP(I376,Barem!$G$2:$H$11,2,1),VLOOKUP(I376,Barem!$G$12:$H$21,2,1)))</f>
        <v>3</v>
      </c>
      <c r="L376" s="110" t="s">
        <v>110</v>
      </c>
      <c r="M376" s="11">
        <f t="shared" si="104"/>
        <v>0.25</v>
      </c>
      <c r="N376" s="11">
        <f t="shared" si="105"/>
        <v>0.75</v>
      </c>
      <c r="O376" s="49">
        <f t="shared" si="106"/>
        <v>0</v>
      </c>
      <c r="P376" s="27">
        <f>IF(D376&gt;21,VLOOKUP(D376,Barem!$S$1:$T$141,2,1),0)</f>
        <v>0</v>
      </c>
      <c r="Q376" s="27">
        <f>IF(D376&lt;1.609,0,IF(B376="F",VLOOKUP(I376,Barem!$W$2:$Y$13,2,1),VLOOKUP(I376,Barem!$W$14:$Y$25,2,1)))</f>
        <v>0</v>
      </c>
      <c r="R376" s="27">
        <f>VLOOKUP(A376,Participanti!A:C,3,0)</f>
        <v>0</v>
      </c>
      <c r="S376" s="21">
        <f t="shared" si="107"/>
        <v>3.083333333333333</v>
      </c>
      <c r="T376" s="82">
        <v>44518</v>
      </c>
      <c r="U376" s="143">
        <f>COUNTIFS(A:A,A376,C:C,C376)</f>
        <v>1</v>
      </c>
      <c r="V376" s="77" t="str">
        <f>VLOOKUP(A376,Data_echipe!A:U,21,0)</f>
        <v>All Stars</v>
      </c>
      <c r="X376" s="154">
        <v>1</v>
      </c>
    </row>
    <row r="377" spans="1:24" x14ac:dyDescent="0.25">
      <c r="A377" s="64" t="s">
        <v>239</v>
      </c>
      <c r="B377" s="77" t="str">
        <f>VLOOKUP(A377,Participanti!A:B,2,0)</f>
        <v>M</v>
      </c>
      <c r="C377" s="139">
        <v>11</v>
      </c>
      <c r="D377" s="66">
        <v>18.600000000000001</v>
      </c>
      <c r="E377" s="67">
        <v>7.6423611111111109E-2</v>
      </c>
      <c r="F377" s="67">
        <v>7.7719907407407404E-2</v>
      </c>
      <c r="G377" s="100">
        <f t="shared" si="101"/>
        <v>7.7071759259259257E-2</v>
      </c>
      <c r="H377" s="68">
        <v>429</v>
      </c>
      <c r="I377" s="112">
        <f t="shared" si="102"/>
        <v>4.1436429709279165E-3</v>
      </c>
      <c r="J377" s="92">
        <f t="shared" si="103"/>
        <v>4.4285714285714288</v>
      </c>
      <c r="K377" s="92">
        <f>IF(J377=0,0,IF(B377="F",VLOOKUP(I377,Barem!$G$2:$H$11,2,1),VLOOKUP(I377,Barem!$G$12:$H$21,2,1)))</f>
        <v>1.5</v>
      </c>
      <c r="L377" s="65" t="str">
        <f>VLOOKUP(C377,Barem!L:Q,6,0)</f>
        <v>D</v>
      </c>
      <c r="M377" s="11">
        <f t="shared" si="104"/>
        <v>0.75</v>
      </c>
      <c r="N377" s="11">
        <f t="shared" si="105"/>
        <v>0.25</v>
      </c>
      <c r="O377" s="49">
        <f t="shared" si="106"/>
        <v>0.28599999999999998</v>
      </c>
      <c r="P377" s="27">
        <f>IF(D377&gt;21,VLOOKUP(D377,Barem!$S$1:$T$141,2,1),0)</f>
        <v>0</v>
      </c>
      <c r="Q377" s="27">
        <f>IF(D377&lt;1.609,0,IF(B377="F",VLOOKUP(I377,Barem!$W$2:$Y$13,2,1),VLOOKUP(I377,Barem!$W$14:$Y$25,2,1)))</f>
        <v>0</v>
      </c>
      <c r="R377" s="27">
        <f>VLOOKUP(A377,Participanti!A:C,3,0)</f>
        <v>0</v>
      </c>
      <c r="S377" s="21">
        <f t="shared" si="107"/>
        <v>3.9824285714285717</v>
      </c>
      <c r="T377" s="82">
        <v>44520</v>
      </c>
      <c r="U377" s="143">
        <f>COUNTIFS(A:A,A377,C:C,C377)</f>
        <v>1</v>
      </c>
      <c r="V377" s="77" t="str">
        <f>VLOOKUP(A377,Data_echipe!A:U,21,0)</f>
        <v>All Stars</v>
      </c>
      <c r="X377" s="154">
        <v>1</v>
      </c>
    </row>
    <row r="378" spans="1:24" x14ac:dyDescent="0.25">
      <c r="A378" s="64" t="s">
        <v>67</v>
      </c>
      <c r="B378" s="77" t="str">
        <f>VLOOKUP(A378,Participanti!A:B,2,0)</f>
        <v>M</v>
      </c>
      <c r="C378" s="139">
        <v>11</v>
      </c>
      <c r="D378" s="66">
        <v>20</v>
      </c>
      <c r="E378" s="67">
        <v>7.480324074074074E-2</v>
      </c>
      <c r="F378" s="67">
        <v>7.5972222222222219E-2</v>
      </c>
      <c r="G378" s="100">
        <f t="shared" si="101"/>
        <v>7.5387731481481479E-2</v>
      </c>
      <c r="H378" s="68">
        <v>38</v>
      </c>
      <c r="I378" s="112">
        <f t="shared" si="102"/>
        <v>3.7693865740740739E-3</v>
      </c>
      <c r="J378" s="92">
        <f t="shared" si="103"/>
        <v>4.7619047619047619</v>
      </c>
      <c r="K378" s="92">
        <f>IF(J378=0,0,IF(B378="F",VLOOKUP(I378,Barem!$G$2:$H$11,2,1),VLOOKUP(I378,Barem!$G$12:$H$21,2,1)))</f>
        <v>2</v>
      </c>
      <c r="L378" s="65" t="str">
        <f>VLOOKUP(C378,Barem!L:Q,6,0)</f>
        <v>D</v>
      </c>
      <c r="M378" s="11">
        <f t="shared" si="104"/>
        <v>0.75</v>
      </c>
      <c r="N378" s="11">
        <f t="shared" si="105"/>
        <v>0.25</v>
      </c>
      <c r="O378" s="49">
        <f t="shared" si="106"/>
        <v>0</v>
      </c>
      <c r="P378" s="27">
        <f>IF(D378&gt;21,VLOOKUP(D378,Barem!$S$1:$T$141,2,1),0)</f>
        <v>0</v>
      </c>
      <c r="Q378" s="27">
        <f>IF(D378&lt;1.609,0,IF(B378="F",VLOOKUP(I378,Barem!$W$2:$Y$13,2,1),VLOOKUP(I378,Barem!$W$14:$Y$25,2,1)))</f>
        <v>0</v>
      </c>
      <c r="R378" s="27">
        <f>VLOOKUP(A378,Participanti!A:C,3,0)</f>
        <v>0</v>
      </c>
      <c r="S378" s="21">
        <f t="shared" si="107"/>
        <v>4.0714285714285712</v>
      </c>
      <c r="T378" s="82">
        <v>44520</v>
      </c>
      <c r="U378" s="143">
        <f>COUNTIFS(A:A,A378,C:C,C378)</f>
        <v>1</v>
      </c>
      <c r="V378" s="77" t="e">
        <f>VLOOKUP(A378,Data_echipe!A:U,21,0)</f>
        <v>#N/A</v>
      </c>
      <c r="X378" s="154">
        <v>1</v>
      </c>
    </row>
    <row r="379" spans="1:24" x14ac:dyDescent="0.25">
      <c r="A379" s="64" t="s">
        <v>61</v>
      </c>
      <c r="B379" s="77" t="str">
        <f>VLOOKUP(A379,Participanti!A:B,2,0)</f>
        <v>M</v>
      </c>
      <c r="C379" s="139">
        <v>11</v>
      </c>
      <c r="D379" s="66">
        <v>15.01</v>
      </c>
      <c r="E379" s="67">
        <v>5.153935185185185E-2</v>
      </c>
      <c r="F379" s="67">
        <v>5.2905092592592594E-2</v>
      </c>
      <c r="G379" s="100">
        <f t="shared" si="101"/>
        <v>5.2222222222222225E-2</v>
      </c>
      <c r="H379" s="68">
        <v>89</v>
      </c>
      <c r="I379" s="112">
        <f t="shared" si="102"/>
        <v>3.4791620401214006E-3</v>
      </c>
      <c r="J379" s="92">
        <f t="shared" si="103"/>
        <v>3.5738095238095235</v>
      </c>
      <c r="K379" s="92">
        <f>IF(J379=0,0,IF(B379="F",VLOOKUP(I379,Barem!$G$2:$H$11,2,1),VLOOKUP(I379,Barem!$G$12:$H$21,2,1)))</f>
        <v>3</v>
      </c>
      <c r="L379" s="65" t="str">
        <f>VLOOKUP(C379,Barem!L:Q,6,0)</f>
        <v>D</v>
      </c>
      <c r="M379" s="11">
        <f t="shared" si="104"/>
        <v>0.75</v>
      </c>
      <c r="N379" s="11">
        <f t="shared" si="105"/>
        <v>0.25</v>
      </c>
      <c r="O379" s="49">
        <f t="shared" si="106"/>
        <v>5.9333333333333335E-2</v>
      </c>
      <c r="P379" s="27">
        <f>IF(D379&gt;21,VLOOKUP(D379,Barem!$S$1:$T$141,2,1),0)</f>
        <v>0</v>
      </c>
      <c r="Q379" s="27">
        <f>IF(D379&lt;1.609,0,IF(B379="F",VLOOKUP(I379,Barem!$W$2:$Y$13,2,1),VLOOKUP(I379,Barem!$W$14:$Y$25,2,1)))</f>
        <v>0</v>
      </c>
      <c r="R379" s="27">
        <f>VLOOKUP(A379,Participanti!A:C,3,0)</f>
        <v>0</v>
      </c>
      <c r="S379" s="21">
        <f t="shared" si="107"/>
        <v>3.4896904761904763</v>
      </c>
      <c r="T379" s="82">
        <v>44516</v>
      </c>
      <c r="U379" s="143">
        <f>COUNTIFS(A:A,A379,C:C,C379)</f>
        <v>1</v>
      </c>
      <c r="V379" s="77" t="str">
        <f>VLOOKUP(A379,Data_echipe!A:U,21,0)</f>
        <v>UltraSYR</v>
      </c>
      <c r="X379" s="154">
        <v>1</v>
      </c>
    </row>
    <row r="380" spans="1:24" x14ac:dyDescent="0.25">
      <c r="A380" s="64" t="s">
        <v>7</v>
      </c>
      <c r="B380" s="77" t="str">
        <f>VLOOKUP(A380,Participanti!A:B,2,0)</f>
        <v>M</v>
      </c>
      <c r="C380" s="139">
        <v>11</v>
      </c>
      <c r="D380" s="66">
        <v>19.21</v>
      </c>
      <c r="E380" s="67">
        <v>6.7835648148148145E-2</v>
      </c>
      <c r="F380" s="67">
        <v>6.7835648148148145E-2</v>
      </c>
      <c r="G380" s="100">
        <f t="shared" si="101"/>
        <v>6.7835648148148145E-2</v>
      </c>
      <c r="H380" s="68">
        <v>15</v>
      </c>
      <c r="I380" s="112">
        <f t="shared" si="102"/>
        <v>3.5312674725740834E-3</v>
      </c>
      <c r="J380" s="92">
        <f t="shared" si="103"/>
        <v>4.5738095238095235</v>
      </c>
      <c r="K380" s="92">
        <f>IF(J380=0,0,IF(B380="F",VLOOKUP(I380,Barem!$G$2:$H$11,2,1),VLOOKUP(I380,Barem!$G$12:$H$21,2,1)))</f>
        <v>2.5</v>
      </c>
      <c r="L380" s="65" t="str">
        <f>VLOOKUP(C380,Barem!L:Q,6,0)</f>
        <v>D</v>
      </c>
      <c r="M380" s="11">
        <f t="shared" si="104"/>
        <v>0.75</v>
      </c>
      <c r="N380" s="11">
        <f t="shared" si="105"/>
        <v>0.25</v>
      </c>
      <c r="O380" s="49">
        <f t="shared" si="106"/>
        <v>0</v>
      </c>
      <c r="P380" s="27">
        <f>IF(D380&gt;21,VLOOKUP(D380,Barem!$S$1:$T$141,2,1),0)</f>
        <v>0</v>
      </c>
      <c r="Q380" s="27">
        <f>IF(D380&lt;1.609,0,IF(B380="F",VLOOKUP(I380,Barem!$W$2:$Y$13,2,1),VLOOKUP(I380,Barem!$W$14:$Y$25,2,1)))</f>
        <v>0</v>
      </c>
      <c r="R380" s="27">
        <f>VLOOKUP(A380,Participanti!A:C,3,0)</f>
        <v>0</v>
      </c>
      <c r="S380" s="21">
        <f t="shared" si="107"/>
        <v>4.0553571428571429</v>
      </c>
      <c r="T380" s="82">
        <v>44520</v>
      </c>
      <c r="U380" s="143">
        <f>COUNTIFS(A:A,A380,C:C,C380)</f>
        <v>1</v>
      </c>
      <c r="V380" s="77" t="str">
        <f>VLOOKUP(A380,Data_echipe!A:U,21,0)</f>
        <v>All Stars</v>
      </c>
      <c r="X380" s="154">
        <v>1</v>
      </c>
    </row>
    <row r="381" spans="1:24" x14ac:dyDescent="0.25">
      <c r="A381" s="64" t="s">
        <v>154</v>
      </c>
      <c r="B381" s="77" t="str">
        <f>VLOOKUP(A381,Participanti!A:B,2,0)</f>
        <v>M</v>
      </c>
      <c r="C381" s="139">
        <v>11</v>
      </c>
      <c r="D381" s="66">
        <v>21.23</v>
      </c>
      <c r="E381" s="67">
        <v>8.1539351851851849E-2</v>
      </c>
      <c r="F381" s="67">
        <v>8.5092592592592595E-2</v>
      </c>
      <c r="G381" s="100">
        <f t="shared" si="101"/>
        <v>8.3315972222222229E-2</v>
      </c>
      <c r="H381" s="68">
        <v>250</v>
      </c>
      <c r="I381" s="112">
        <f t="shared" si="102"/>
        <v>3.9244452294970433E-3</v>
      </c>
      <c r="J381" s="92">
        <f t="shared" si="103"/>
        <v>5</v>
      </c>
      <c r="K381" s="92">
        <f>IF(J381=0,0,IF(B381="F",VLOOKUP(I381,Barem!$G$2:$H$11,2,1),VLOOKUP(I381,Barem!$G$12:$H$21,2,1)))</f>
        <v>1.5</v>
      </c>
      <c r="L381" s="65" t="str">
        <f>VLOOKUP(C381,Barem!L:Q,6,0)</f>
        <v>D</v>
      </c>
      <c r="M381" s="11">
        <f t="shared" si="104"/>
        <v>0.75</v>
      </c>
      <c r="N381" s="11">
        <f t="shared" si="105"/>
        <v>0.25</v>
      </c>
      <c r="O381" s="49">
        <f t="shared" si="106"/>
        <v>0.16666666666666666</v>
      </c>
      <c r="P381" s="27">
        <f>IF(D381&gt;21,VLOOKUP(D381,Barem!$S$1:$T$141,2,1),0)</f>
        <v>0</v>
      </c>
      <c r="Q381" s="27">
        <f>IF(D381&lt;1.609,0,IF(B381="F",VLOOKUP(I381,Barem!$W$2:$Y$13,2,1),VLOOKUP(I381,Barem!$W$14:$Y$25,2,1)))</f>
        <v>0</v>
      </c>
      <c r="R381" s="27">
        <f>VLOOKUP(A381,Participanti!A:C,3,0)</f>
        <v>0</v>
      </c>
      <c r="S381" s="21">
        <f t="shared" si="107"/>
        <v>4.291666666666667</v>
      </c>
      <c r="T381" s="82">
        <v>44517</v>
      </c>
      <c r="U381" s="143">
        <f>COUNTIFS(A:A,A381,C:C,C381)</f>
        <v>1</v>
      </c>
      <c r="V381" s="77" t="str">
        <f>VLOOKUP(A381,Data_echipe!A:U,21,0)</f>
        <v>All Stars</v>
      </c>
      <c r="X381" s="154">
        <v>1</v>
      </c>
    </row>
    <row r="382" spans="1:24" x14ac:dyDescent="0.25">
      <c r="A382" s="64" t="s">
        <v>241</v>
      </c>
      <c r="B382" s="77" t="str">
        <f>VLOOKUP(A382,Participanti!A:B,2,0)</f>
        <v>M</v>
      </c>
      <c r="C382" s="139">
        <v>11</v>
      </c>
      <c r="D382" s="66">
        <v>21.4</v>
      </c>
      <c r="E382" s="67">
        <v>7.6956018518518521E-2</v>
      </c>
      <c r="F382" s="67">
        <v>8.446759259259258E-2</v>
      </c>
      <c r="G382" s="100">
        <f t="shared" si="101"/>
        <v>8.0711805555555544E-2</v>
      </c>
      <c r="H382" s="68">
        <v>25</v>
      </c>
      <c r="I382" s="112">
        <f t="shared" si="102"/>
        <v>3.7715796988577357E-3</v>
      </c>
      <c r="J382" s="92">
        <f t="shared" si="103"/>
        <v>5</v>
      </c>
      <c r="K382" s="92">
        <f>IF(J382=0,0,IF(B382="F",VLOOKUP(I382,Barem!$G$2:$H$11,2,1),VLOOKUP(I382,Barem!$G$12:$H$21,2,1)))</f>
        <v>2</v>
      </c>
      <c r="L382" s="65" t="str">
        <f>VLOOKUP(C382,Barem!L:Q,6,0)</f>
        <v>D</v>
      </c>
      <c r="M382" s="11">
        <f t="shared" si="104"/>
        <v>0.75</v>
      </c>
      <c r="N382" s="11">
        <f t="shared" si="105"/>
        <v>0.25</v>
      </c>
      <c r="O382" s="49">
        <f t="shared" si="106"/>
        <v>0</v>
      </c>
      <c r="P382" s="27">
        <f>IF(D382&gt;21,VLOOKUP(D382,Barem!$S$1:$T$141,2,1),0)</f>
        <v>0</v>
      </c>
      <c r="Q382" s="27">
        <f>IF(D382&lt;1.609,0,IF(B382="F",VLOOKUP(I382,Barem!$W$2:$Y$13,2,1),VLOOKUP(I382,Barem!$W$14:$Y$25,2,1)))</f>
        <v>0</v>
      </c>
      <c r="R382" s="27">
        <f>VLOOKUP(A382,Participanti!A:C,3,0)</f>
        <v>0</v>
      </c>
      <c r="S382" s="21">
        <f t="shared" si="107"/>
        <v>4.25</v>
      </c>
      <c r="T382" s="82">
        <v>44518</v>
      </c>
      <c r="U382" s="143">
        <f>COUNTIFS(A:A,A382,C:C,C382)</f>
        <v>1</v>
      </c>
      <c r="V382" s="77" t="e">
        <f>VLOOKUP(A382,Data_echipe!A:U,21,0)</f>
        <v>#N/A</v>
      </c>
      <c r="X382" s="154">
        <v>1</v>
      </c>
    </row>
    <row r="383" spans="1:24" x14ac:dyDescent="0.25">
      <c r="A383" s="64" t="s">
        <v>103</v>
      </c>
      <c r="B383" s="77" t="str">
        <f>VLOOKUP(A383,Participanti!A:B,2,0)</f>
        <v>F</v>
      </c>
      <c r="C383" s="139">
        <v>11</v>
      </c>
      <c r="D383" s="66">
        <v>3.01</v>
      </c>
      <c r="E383" s="67">
        <v>1.0520833333333333E-2</v>
      </c>
      <c r="F383" s="67">
        <v>1.064814814814815E-2</v>
      </c>
      <c r="G383" s="100">
        <f t="shared" si="101"/>
        <v>1.0584490740740742E-2</v>
      </c>
      <c r="H383" s="68">
        <v>0</v>
      </c>
      <c r="I383" s="112">
        <f t="shared" si="102"/>
        <v>3.5164421065583861E-3</v>
      </c>
      <c r="J383" s="92">
        <f t="shared" si="103"/>
        <v>0.75249999999999995</v>
      </c>
      <c r="K383" s="92">
        <f>IF(J383=0,0,IF(B383="F",VLOOKUP(I383,Barem!$G$2:$H$11,2,1),VLOOKUP(I383,Barem!$G$12:$H$21,2,1)))</f>
        <v>3.5</v>
      </c>
      <c r="L383" s="110" t="s">
        <v>110</v>
      </c>
      <c r="M383" s="11">
        <f t="shared" si="104"/>
        <v>0.25</v>
      </c>
      <c r="N383" s="11">
        <f t="shared" si="105"/>
        <v>0.75</v>
      </c>
      <c r="O383" s="49">
        <f t="shared" si="106"/>
        <v>0</v>
      </c>
      <c r="P383" s="27">
        <f>IF(D383&gt;21,VLOOKUP(D383,Barem!$S$1:$T$141,2,1),0)</f>
        <v>0</v>
      </c>
      <c r="Q383" s="27">
        <f>IF(D383&lt;1.609,0,IF(B383="F",VLOOKUP(I383,Barem!$W$2:$Y$13,2,1),VLOOKUP(I383,Barem!$W$14:$Y$25,2,1)))</f>
        <v>0</v>
      </c>
      <c r="R383" s="27">
        <f>VLOOKUP(A383,Participanti!A:C,3,0)</f>
        <v>0</v>
      </c>
      <c r="S383" s="21">
        <f t="shared" si="107"/>
        <v>2.8131249999999999</v>
      </c>
      <c r="T383" s="82">
        <v>44521</v>
      </c>
      <c r="U383" s="143">
        <f>COUNTIFS(A:A,A383,C:C,C383)</f>
        <v>1</v>
      </c>
      <c r="V383" s="77" t="str">
        <f>VLOOKUP(A383,Data_echipe!A:U,21,0)</f>
        <v>UltraSYR</v>
      </c>
      <c r="X383" s="154">
        <v>1</v>
      </c>
    </row>
    <row r="384" spans="1:24" x14ac:dyDescent="0.25">
      <c r="A384" s="64" t="s">
        <v>196</v>
      </c>
      <c r="B384" s="77" t="str">
        <f>VLOOKUP(A384,Participanti!A:B,2,0)</f>
        <v>F</v>
      </c>
      <c r="C384" s="139">
        <v>11</v>
      </c>
      <c r="D384" s="66">
        <v>14.01</v>
      </c>
      <c r="E384" s="67">
        <v>5.6064814814814817E-2</v>
      </c>
      <c r="F384" s="67">
        <v>7.0914351851851853E-2</v>
      </c>
      <c r="G384" s="100">
        <f t="shared" si="101"/>
        <v>6.3489583333333335E-2</v>
      </c>
      <c r="H384" s="68">
        <v>32</v>
      </c>
      <c r="I384" s="112">
        <f t="shared" si="102"/>
        <v>4.5317332857482753E-3</v>
      </c>
      <c r="J384" s="92">
        <f t="shared" si="103"/>
        <v>3.5024999999999999</v>
      </c>
      <c r="K384" s="92">
        <f>IF(J384=0,0,IF(B384="F",VLOOKUP(I384,Barem!$G$2:$H$11,2,1),VLOOKUP(I384,Barem!$G$12:$H$21,2,1)))</f>
        <v>1</v>
      </c>
      <c r="L384" s="65" t="str">
        <f>VLOOKUP(C384,Barem!L:Q,6,0)</f>
        <v>D</v>
      </c>
      <c r="M384" s="11">
        <f t="shared" si="104"/>
        <v>0.75</v>
      </c>
      <c r="N384" s="11">
        <f t="shared" si="105"/>
        <v>0.25</v>
      </c>
      <c r="O384" s="49">
        <f t="shared" si="106"/>
        <v>0</v>
      </c>
      <c r="P384" s="27">
        <f>IF(D384&gt;21,VLOOKUP(D384,Barem!$S$1:$T$141,2,1),0)</f>
        <v>0</v>
      </c>
      <c r="Q384" s="27">
        <f>IF(D384&lt;1.609,0,IF(B384="F",VLOOKUP(I384,Barem!$W$2:$Y$13,2,1),VLOOKUP(I384,Barem!$W$14:$Y$25,2,1)))</f>
        <v>0</v>
      </c>
      <c r="R384" s="27">
        <f>VLOOKUP(A384,Participanti!A:C,3,0)</f>
        <v>0</v>
      </c>
      <c r="S384" s="21">
        <f t="shared" si="107"/>
        <v>2.8768750000000001</v>
      </c>
      <c r="T384" s="82">
        <v>44520</v>
      </c>
      <c r="U384" s="143">
        <f>COUNTIFS(A:A,A384,C:C,C384)</f>
        <v>1</v>
      </c>
      <c r="V384" s="77" t="str">
        <f>VLOOKUP(A384,Data_echipe!A:U,21,0)</f>
        <v>UltraSYR</v>
      </c>
      <c r="X384" s="154">
        <v>1</v>
      </c>
    </row>
    <row r="385" spans="1:24" x14ac:dyDescent="0.25">
      <c r="A385" s="64" t="s">
        <v>52</v>
      </c>
      <c r="B385" s="77" t="str">
        <f>VLOOKUP(A385,Participanti!A:B,2,0)</f>
        <v>M</v>
      </c>
      <c r="C385" s="139">
        <v>11</v>
      </c>
      <c r="D385" s="66">
        <v>12.23</v>
      </c>
      <c r="E385" s="67">
        <v>4.7326388888888883E-2</v>
      </c>
      <c r="F385" s="67">
        <v>5.0729166666666665E-2</v>
      </c>
      <c r="G385" s="100">
        <f t="shared" si="101"/>
        <v>4.9027777777777774E-2</v>
      </c>
      <c r="H385" s="68">
        <v>10</v>
      </c>
      <c r="I385" s="112">
        <f t="shared" si="102"/>
        <v>4.0088125738166613E-3</v>
      </c>
      <c r="J385" s="92">
        <f t="shared" si="103"/>
        <v>2.9119047619047618</v>
      </c>
      <c r="K385" s="92">
        <f>IF(J385=0,0,IF(B385="F",VLOOKUP(I385,Barem!$G$2:$H$11,2,1),VLOOKUP(I385,Barem!$G$12:$H$21,2,1)))</f>
        <v>1.5</v>
      </c>
      <c r="L385" s="65" t="str">
        <f>VLOOKUP(C385,Barem!L:Q,6,0)</f>
        <v>D</v>
      </c>
      <c r="M385" s="11">
        <f t="shared" si="104"/>
        <v>0.75</v>
      </c>
      <c r="N385" s="11">
        <f t="shared" si="105"/>
        <v>0.25</v>
      </c>
      <c r="O385" s="49">
        <f t="shared" si="106"/>
        <v>0</v>
      </c>
      <c r="P385" s="27">
        <f>IF(D385&gt;21,VLOOKUP(D385,Barem!$S$1:$T$141,2,1),0)</f>
        <v>0</v>
      </c>
      <c r="Q385" s="27">
        <f>IF(D385&lt;1.609,0,IF(B385="F",VLOOKUP(I385,Barem!$W$2:$Y$13,2,1),VLOOKUP(I385,Barem!$W$14:$Y$25,2,1)))</f>
        <v>0</v>
      </c>
      <c r="R385" s="27">
        <f>VLOOKUP(A385,Participanti!A:C,3,0)</f>
        <v>0</v>
      </c>
      <c r="S385" s="21">
        <f t="shared" si="107"/>
        <v>2.5589285714285714</v>
      </c>
      <c r="T385" s="82">
        <v>44521</v>
      </c>
      <c r="U385" s="143">
        <f>COUNTIFS(A:A,A385,C:C,C385)</f>
        <v>1</v>
      </c>
      <c r="V385" s="77" t="e">
        <f>VLOOKUP(A385,Data_echipe!A:U,21,0)</f>
        <v>#N/A</v>
      </c>
      <c r="X385" s="154">
        <v>1</v>
      </c>
    </row>
    <row r="386" spans="1:24" x14ac:dyDescent="0.25">
      <c r="A386" s="64" t="s">
        <v>202</v>
      </c>
      <c r="B386" s="77" t="str">
        <f>VLOOKUP(A386,Participanti!A:B,2,0)</f>
        <v>F</v>
      </c>
      <c r="C386" s="139">
        <v>11</v>
      </c>
      <c r="D386" s="66">
        <v>2.5099999999999998</v>
      </c>
      <c r="E386" s="67">
        <v>9.7453703703703713E-3</v>
      </c>
      <c r="F386" s="67">
        <v>9.7453703703703713E-3</v>
      </c>
      <c r="G386" s="100">
        <f t="shared" si="101"/>
        <v>9.7453703703703713E-3</v>
      </c>
      <c r="H386" s="68">
        <v>2</v>
      </c>
      <c r="I386" s="112">
        <f t="shared" si="102"/>
        <v>3.8826176774383954E-3</v>
      </c>
      <c r="J386" s="92">
        <f t="shared" si="103"/>
        <v>0.62749999999999995</v>
      </c>
      <c r="K386" s="92">
        <f>IF(J386=0,0,IF(B386="F",VLOOKUP(I386,Barem!$G$2:$H$11,2,1),VLOOKUP(I386,Barem!$G$12:$H$21,2,1)))</f>
        <v>2.5</v>
      </c>
      <c r="L386" s="110" t="s">
        <v>110</v>
      </c>
      <c r="M386" s="11">
        <f t="shared" si="104"/>
        <v>0.25</v>
      </c>
      <c r="N386" s="11">
        <f t="shared" si="105"/>
        <v>0.75</v>
      </c>
      <c r="O386" s="49">
        <f t="shared" si="106"/>
        <v>0</v>
      </c>
      <c r="P386" s="27">
        <f>IF(D386&gt;21,VLOOKUP(D386,Barem!$S$1:$T$141,2,1),0)</f>
        <v>0</v>
      </c>
      <c r="Q386" s="27">
        <f>IF(D386&lt;1.609,0,IF(B386="F",VLOOKUP(I386,Barem!$W$2:$Y$13,2,1),VLOOKUP(I386,Barem!$W$14:$Y$25,2,1)))</f>
        <v>0</v>
      </c>
      <c r="R386" s="27">
        <f>VLOOKUP(A386,Participanti!A:C,3,0)</f>
        <v>0</v>
      </c>
      <c r="S386" s="21">
        <f t="shared" si="107"/>
        <v>2.0318749999999999</v>
      </c>
      <c r="T386" s="82">
        <v>44521</v>
      </c>
      <c r="U386" s="143">
        <f>COUNTIFS(A:A,A386,C:C,C386)</f>
        <v>1</v>
      </c>
      <c r="V386" s="77" t="e">
        <f>VLOOKUP(A386,Data_echipe!A:U,21,0)</f>
        <v>#N/A</v>
      </c>
      <c r="X386" s="154">
        <v>1</v>
      </c>
    </row>
    <row r="387" spans="1:24" x14ac:dyDescent="0.25">
      <c r="A387" s="64" t="s">
        <v>50</v>
      </c>
      <c r="B387" s="77" t="str">
        <f>VLOOKUP(A387,Participanti!A:B,2,0)</f>
        <v>M</v>
      </c>
      <c r="C387" s="139">
        <v>11</v>
      </c>
      <c r="D387" s="66">
        <f>4.26+1.47+7.26</f>
        <v>12.989999999999998</v>
      </c>
      <c r="E387" s="67">
        <v>5.9687500000000004E-2</v>
      </c>
      <c r="F387" s="67">
        <v>5.9687500000000004E-2</v>
      </c>
      <c r="G387" s="100">
        <f t="shared" si="101"/>
        <v>5.9687500000000004E-2</v>
      </c>
      <c r="H387" s="68">
        <v>78</v>
      </c>
      <c r="I387" s="112">
        <f t="shared" si="102"/>
        <v>4.5948806774441884E-3</v>
      </c>
      <c r="J387" s="92">
        <f t="shared" si="103"/>
        <v>3.0928571428571425</v>
      </c>
      <c r="K387" s="92">
        <f>IF(J387=0,0,IF(B387="F",VLOOKUP(I387,Barem!$G$2:$H$11,2,1),VLOOKUP(I387,Barem!$G$12:$H$21,2,1)))</f>
        <v>1</v>
      </c>
      <c r="L387" s="65" t="str">
        <f>VLOOKUP(C387,Barem!L:Q,6,0)</f>
        <v>D</v>
      </c>
      <c r="M387" s="11">
        <f t="shared" si="104"/>
        <v>0.75</v>
      </c>
      <c r="N387" s="11">
        <f t="shared" si="105"/>
        <v>0.25</v>
      </c>
      <c r="O387" s="49">
        <f t="shared" si="106"/>
        <v>5.1999999999999998E-2</v>
      </c>
      <c r="P387" s="27">
        <f>IF(D387&gt;21,VLOOKUP(D387,Barem!$S$1:$T$141,2,1),0)</f>
        <v>0</v>
      </c>
      <c r="Q387" s="27">
        <f>IF(D387&lt;1.609,0,IF(B387="F",VLOOKUP(I387,Barem!$W$2:$Y$13,2,1),VLOOKUP(I387,Barem!$W$14:$Y$25,2,1)))</f>
        <v>0</v>
      </c>
      <c r="R387" s="27">
        <f>VLOOKUP(A387,Participanti!A:C,3,0)</f>
        <v>0.4</v>
      </c>
      <c r="S387" s="21">
        <f t="shared" si="107"/>
        <v>3.0216428571428571</v>
      </c>
      <c r="T387" s="82">
        <v>44520</v>
      </c>
      <c r="U387" s="143">
        <f>COUNTIFS(A:A,A387,C:C,C387)</f>
        <v>1</v>
      </c>
      <c r="V387" s="77" t="str">
        <f>VLOOKUP(A387,Data_echipe!A:U,21,0)</f>
        <v>UltraSYR</v>
      </c>
      <c r="X387" s="154">
        <v>1</v>
      </c>
    </row>
    <row r="388" spans="1:24" x14ac:dyDescent="0.25">
      <c r="A388" s="64" t="s">
        <v>117</v>
      </c>
      <c r="B388" s="77" t="str">
        <f>VLOOKUP(A388,Participanti!A:B,2,0)</f>
        <v>M</v>
      </c>
      <c r="C388" s="139">
        <v>11</v>
      </c>
      <c r="D388" s="66">
        <v>3.03</v>
      </c>
      <c r="E388" s="67">
        <v>1.0763888888888891E-2</v>
      </c>
      <c r="F388" s="67">
        <v>1.0763888888888891E-2</v>
      </c>
      <c r="G388" s="100">
        <f t="shared" si="101"/>
        <v>1.0763888888888891E-2</v>
      </c>
      <c r="H388" s="68">
        <v>7</v>
      </c>
      <c r="I388" s="112">
        <f t="shared" si="102"/>
        <v>3.5524385771910534E-3</v>
      </c>
      <c r="J388" s="92">
        <f t="shared" si="103"/>
        <v>0.72142857142857131</v>
      </c>
      <c r="K388" s="92">
        <f>IF(J388=0,0,IF(B388="F",VLOOKUP(I388,Barem!$G$2:$H$11,2,1),VLOOKUP(I388,Barem!$G$12:$H$21,2,1)))</f>
        <v>2.5</v>
      </c>
      <c r="L388" s="110" t="s">
        <v>110</v>
      </c>
      <c r="M388" s="11">
        <f t="shared" si="104"/>
        <v>0.25</v>
      </c>
      <c r="N388" s="11">
        <f t="shared" si="105"/>
        <v>0.75</v>
      </c>
      <c r="O388" s="49">
        <f t="shared" si="106"/>
        <v>0</v>
      </c>
      <c r="P388" s="27">
        <f>IF(D388&gt;21,VLOOKUP(D388,Barem!$S$1:$T$141,2,1),0)</f>
        <v>0</v>
      </c>
      <c r="Q388" s="27">
        <f>IF(D388&lt;1.609,0,IF(B388="F",VLOOKUP(I388,Barem!$W$2:$Y$13,2,1),VLOOKUP(I388,Barem!$W$14:$Y$25,2,1)))</f>
        <v>0</v>
      </c>
      <c r="R388" s="27">
        <f>VLOOKUP(A388,Participanti!A:C,3,0)</f>
        <v>0</v>
      </c>
      <c r="S388" s="21">
        <f t="shared" si="107"/>
        <v>2.0553571428571429</v>
      </c>
      <c r="T388" s="82">
        <v>44521</v>
      </c>
      <c r="U388" s="143">
        <f>COUNTIFS(A:A,A388,C:C,C388)</f>
        <v>1</v>
      </c>
      <c r="V388" s="77" t="str">
        <f>VLOOKUP(A388,Data_echipe!A:U,21,0)</f>
        <v>UltraSYR</v>
      </c>
      <c r="X388" s="154">
        <v>1</v>
      </c>
    </row>
    <row r="389" spans="1:24" ht="12.6" thickBot="1" x14ac:dyDescent="0.3">
      <c r="A389" s="180" t="s">
        <v>66</v>
      </c>
      <c r="B389" s="181" t="str">
        <f>VLOOKUP(A389,Participanti!A:B,2,0)</f>
        <v>F</v>
      </c>
      <c r="C389" s="197">
        <v>11</v>
      </c>
      <c r="D389" s="183">
        <v>8.1300000000000008</v>
      </c>
      <c r="E389" s="184">
        <v>3.8310185185185183E-2</v>
      </c>
      <c r="F389" s="184">
        <v>5.7592592592592591E-2</v>
      </c>
      <c r="G389" s="185">
        <f t="shared" si="101"/>
        <v>4.7951388888888891E-2</v>
      </c>
      <c r="H389" s="186">
        <v>0</v>
      </c>
      <c r="I389" s="187">
        <f t="shared" si="102"/>
        <v>5.8980798141314746E-3</v>
      </c>
      <c r="J389" s="188">
        <f t="shared" si="103"/>
        <v>2.0325000000000002</v>
      </c>
      <c r="K389" s="188">
        <f>IF(J389=0,0,IF(B389="F",VLOOKUP(I389,Barem!$G$2:$H$11,2,1),VLOOKUP(I389,Barem!$G$12:$H$21,2,1)))</f>
        <v>1</v>
      </c>
      <c r="L389" s="189" t="str">
        <f>VLOOKUP(C389,Barem!L:Q,6,0)</f>
        <v>D</v>
      </c>
      <c r="M389" s="190">
        <f t="shared" si="104"/>
        <v>0.75</v>
      </c>
      <c r="N389" s="190">
        <f t="shared" si="105"/>
        <v>0.25</v>
      </c>
      <c r="O389" s="191">
        <f t="shared" si="106"/>
        <v>0</v>
      </c>
      <c r="P389" s="192">
        <f>IF(D389&gt;21,VLOOKUP(D389,Barem!$S$1:$T$141,2,1),0)</f>
        <v>0</v>
      </c>
      <c r="Q389" s="192">
        <f>IF(D389&lt;1.609,0,IF(B389="F",VLOOKUP(I389,Barem!$W$2:$Y$13,2,1),VLOOKUP(I389,Barem!$W$14:$Y$25,2,1)))</f>
        <v>0</v>
      </c>
      <c r="R389" s="192">
        <f>VLOOKUP(A389,Participanti!A:C,3,0)</f>
        <v>0.7</v>
      </c>
      <c r="S389" s="193">
        <f t="shared" si="107"/>
        <v>2.4743750000000002</v>
      </c>
      <c r="T389" s="194">
        <v>44515</v>
      </c>
      <c r="U389" s="195">
        <f>COUNTIFS(A:A,A389,C:C,C389)</f>
        <v>1</v>
      </c>
      <c r="V389" s="181" t="e">
        <f>VLOOKUP(A389,Data_echipe!A:U,21,0)</f>
        <v>#N/A</v>
      </c>
      <c r="W389" s="196"/>
      <c r="X389" s="154">
        <v>1</v>
      </c>
    </row>
    <row r="390" spans="1:24" x14ac:dyDescent="0.25">
      <c r="A390" s="64" t="s">
        <v>242</v>
      </c>
      <c r="B390" s="77" t="str">
        <f>VLOOKUP(A390,Participanti!A:B,2,0)</f>
        <v>M</v>
      </c>
      <c r="C390" s="139">
        <v>12</v>
      </c>
      <c r="D390" s="66">
        <v>33.01</v>
      </c>
      <c r="E390" s="67">
        <v>0.10019675925925926</v>
      </c>
      <c r="F390" s="67">
        <v>0.10019675925925926</v>
      </c>
      <c r="G390" s="100">
        <f t="shared" si="101"/>
        <v>0.10019675925925926</v>
      </c>
      <c r="H390" s="68">
        <v>306</v>
      </c>
      <c r="I390" s="112">
        <f>G390/D390</f>
        <v>3.0353456303925863E-3</v>
      </c>
      <c r="J390" s="92">
        <f>IF(B390="F",IF(D390&lt;2.5,0,IF(D390&gt;19.99,5,D390/4)),IF(D390&lt;3,0, IF(D390&gt;20.99,5,D390/4.2)))</f>
        <v>5</v>
      </c>
      <c r="K390" s="92">
        <f>IF(J390=0,0,IF(B390="F",VLOOKUP(I390,Barem!$G$2:$H$11,2,1),VLOOKUP(I390,Barem!$G$12:$H$21,2,1)))</f>
        <v>4</v>
      </c>
      <c r="L390" s="110" t="s">
        <v>109</v>
      </c>
      <c r="M390" s="11">
        <f>IF(OR(L390="P1",L390="P2",L390="P3"),"",IF(C390=15,0.5,IF(L390="D",0.75,0.25)))</f>
        <v>0.75</v>
      </c>
      <c r="N390" s="11">
        <f>IF(OR(L390="P1",L390="P2",L390="P3"),"",IF(C390=15,0.5,IF(L390="V",0.75,0.25)))</f>
        <v>0.25</v>
      </c>
      <c r="O390" s="49">
        <f>IF(H390&lt;-49,H390/1500,IF(H390&gt;49,H390/1500,0))</f>
        <v>0.20399999999999999</v>
      </c>
      <c r="P390" s="27">
        <f>IF(D390&gt;21,VLOOKUP(D390,Barem!$S$1:$T$141,2,1),0)</f>
        <v>0.6</v>
      </c>
      <c r="Q390" s="27">
        <f>IF(D390&lt;1.609,0,IF(B390="F",VLOOKUP(I390,Barem!$W$2:$Y$13,2,1),VLOOKUP(I390,Barem!$W$14:$Y$25,2,1)))</f>
        <v>0</v>
      </c>
      <c r="R390" s="27">
        <f>VLOOKUP(A390,Participanti!A:C,3,0)</f>
        <v>0</v>
      </c>
      <c r="S390" s="21">
        <f>J390*M390+K390*N390+O390+P390+Q390+R390</f>
        <v>5.5539999999999994</v>
      </c>
      <c r="T390" s="82">
        <v>44523</v>
      </c>
      <c r="U390" s="143">
        <f>COUNTIFS(A:A,A390,C:C,C390)</f>
        <v>1</v>
      </c>
      <c r="V390" s="77" t="str">
        <f>VLOOKUP(A390,Data_echipe!A:U,21,0)</f>
        <v>All Stars</v>
      </c>
      <c r="W390" s="23" t="s">
        <v>348</v>
      </c>
      <c r="X390" s="154">
        <v>1</v>
      </c>
    </row>
    <row r="391" spans="1:24" x14ac:dyDescent="0.25">
      <c r="A391" s="64" t="s">
        <v>152</v>
      </c>
      <c r="B391" s="77" t="str">
        <f>VLOOKUP(A391,Participanti!A:B,2,0)</f>
        <v>F</v>
      </c>
      <c r="C391" s="139">
        <v>12</v>
      </c>
      <c r="D391" s="66">
        <v>20.87</v>
      </c>
      <c r="E391" s="67">
        <v>6.9027777777777785E-2</v>
      </c>
      <c r="F391" s="67">
        <v>6.9409722222222234E-2</v>
      </c>
      <c r="G391" s="100">
        <f t="shared" si="101"/>
        <v>6.9218750000000009E-2</v>
      </c>
      <c r="H391" s="68">
        <v>185</v>
      </c>
      <c r="I391" s="112">
        <f t="shared" ref="I391:I415" si="108">G391/D391</f>
        <v>3.3166626736942984E-3</v>
      </c>
      <c r="J391" s="92">
        <f t="shared" ref="J391:J415" si="109">IF(B391="F",IF(D391&lt;2.5,0,IF(D391&gt;19.99,5,D391/4)),IF(D391&lt;3,0, IF(D391&gt;20.99,5,D391/4.2)))</f>
        <v>5</v>
      </c>
      <c r="K391" s="92">
        <f>IF(J391=0,0,IF(B391="F",VLOOKUP(I391,Barem!$G$2:$H$11,2,1),VLOOKUP(I391,Barem!$G$12:$H$21,2,1)))</f>
        <v>4</v>
      </c>
      <c r="L391" s="110" t="s">
        <v>109</v>
      </c>
      <c r="M391" s="11">
        <f t="shared" ref="M391:M415" si="110">IF(OR(L391="P1",L391="P2",L391="P3"),"",IF(C391=15,0.5,IF(L391="D",0.75,0.25)))</f>
        <v>0.75</v>
      </c>
      <c r="N391" s="11">
        <f t="shared" ref="N391:N415" si="111">IF(OR(L391="P1",L391="P2",L391="P3"),"",IF(C391=15,0.5,IF(L391="V",0.75,0.25)))</f>
        <v>0.25</v>
      </c>
      <c r="O391" s="49">
        <f t="shared" ref="O391:O415" si="112">IF(H391&lt;-49,H391/1500,IF(H391&gt;49,H391/1500,0))</f>
        <v>0.12333333333333334</v>
      </c>
      <c r="P391" s="27">
        <f>IF(D391&gt;21,VLOOKUP(D391,Barem!$S$1:$T$141,2,1),0)</f>
        <v>0</v>
      </c>
      <c r="Q391" s="27">
        <f>IF(D391&lt;1.609,0,IF(B391="F",VLOOKUP(I391,Barem!$W$2:$Y$13,2,1),VLOOKUP(I391,Barem!$W$14:$Y$25,2,1)))</f>
        <v>0</v>
      </c>
      <c r="R391" s="27">
        <f>VLOOKUP(A391,Participanti!A:C,3,0)</f>
        <v>0</v>
      </c>
      <c r="S391" s="21">
        <f t="shared" ref="S391:S415" si="113">J391*M391+K391*N391+O391+P391+Q391+R391</f>
        <v>4.8733333333333331</v>
      </c>
      <c r="T391" s="82">
        <v>44526</v>
      </c>
      <c r="U391" s="143">
        <f>COUNTIFS(A:A,A391,C:C,C391)</f>
        <v>1</v>
      </c>
      <c r="V391" s="77" t="str">
        <f>VLOOKUP(A391,Data_echipe!A:U,21,0)</f>
        <v>All Stars</v>
      </c>
      <c r="X391" s="154">
        <v>1</v>
      </c>
    </row>
    <row r="392" spans="1:24" x14ac:dyDescent="0.25">
      <c r="A392" s="64" t="s">
        <v>51</v>
      </c>
      <c r="B392" s="77" t="str">
        <f>VLOOKUP(A392,Participanti!A:B,2,0)</f>
        <v>M</v>
      </c>
      <c r="C392" s="139">
        <v>12</v>
      </c>
      <c r="D392" s="66">
        <v>21.28</v>
      </c>
      <c r="E392" s="67">
        <v>9.9409722222222219E-2</v>
      </c>
      <c r="F392" s="67">
        <v>0.11681712962962963</v>
      </c>
      <c r="G392" s="100">
        <f t="shared" si="101"/>
        <v>0.10811342592592593</v>
      </c>
      <c r="H392" s="68">
        <v>735</v>
      </c>
      <c r="I392" s="112">
        <f t="shared" si="108"/>
        <v>5.0805181356168199E-3</v>
      </c>
      <c r="J392" s="92">
        <f t="shared" si="109"/>
        <v>5</v>
      </c>
      <c r="K392" s="92">
        <f>IF(J392=0,0,IF(B392="F",VLOOKUP(I392,Barem!$G$2:$H$11,2,1),VLOOKUP(I392,Barem!$G$12:$H$21,2,1)))</f>
        <v>1</v>
      </c>
      <c r="L392" s="110" t="s">
        <v>109</v>
      </c>
      <c r="M392" s="11">
        <f t="shared" si="110"/>
        <v>0.75</v>
      </c>
      <c r="N392" s="11">
        <f t="shared" si="111"/>
        <v>0.25</v>
      </c>
      <c r="O392" s="49">
        <f t="shared" si="112"/>
        <v>0.49</v>
      </c>
      <c r="P392" s="27">
        <f>IF(D392&gt;21,VLOOKUP(D392,Barem!$S$1:$T$141,2,1),0)</f>
        <v>0</v>
      </c>
      <c r="Q392" s="27">
        <f>IF(D392&lt;1.609,0,IF(B392="F",VLOOKUP(I392,Barem!$W$2:$Y$13,2,1),VLOOKUP(I392,Barem!$W$14:$Y$25,2,1)))</f>
        <v>0</v>
      </c>
      <c r="R392" s="27">
        <f>VLOOKUP(A392,Participanti!A:C,3,0)</f>
        <v>0</v>
      </c>
      <c r="S392" s="21">
        <f t="shared" si="113"/>
        <v>4.49</v>
      </c>
      <c r="T392" s="82">
        <v>44528</v>
      </c>
      <c r="U392" s="143">
        <f>COUNTIFS(A:A,A392,C:C,C392)</f>
        <v>1</v>
      </c>
      <c r="V392" s="77" t="str">
        <f>VLOOKUP(A392,Data_echipe!A:U,21,0)</f>
        <v>UltraSYR</v>
      </c>
      <c r="X392" s="154">
        <v>1</v>
      </c>
    </row>
    <row r="393" spans="1:24" x14ac:dyDescent="0.25">
      <c r="A393" s="64" t="s">
        <v>211</v>
      </c>
      <c r="B393" s="77" t="str">
        <f>VLOOKUP(A393,Participanti!A:B,2,0)</f>
        <v>F</v>
      </c>
      <c r="C393" s="139">
        <v>12</v>
      </c>
      <c r="D393" s="66">
        <v>17.03</v>
      </c>
      <c r="E393" s="67">
        <v>5.6099537037037038E-2</v>
      </c>
      <c r="F393" s="67">
        <v>6.1666666666666668E-2</v>
      </c>
      <c r="G393" s="100">
        <f t="shared" si="101"/>
        <v>5.8883101851851853E-2</v>
      </c>
      <c r="H393" s="68">
        <v>88</v>
      </c>
      <c r="I393" s="112">
        <f t="shared" si="108"/>
        <v>3.4576102085644069E-3</v>
      </c>
      <c r="J393" s="92">
        <f t="shared" si="109"/>
        <v>4.2575000000000003</v>
      </c>
      <c r="K393" s="92">
        <f>IF(J393=0,0,IF(B393="F",VLOOKUP(I393,Barem!$G$2:$H$11,2,1),VLOOKUP(I393,Barem!$G$12:$H$21,2,1)))</f>
        <v>4</v>
      </c>
      <c r="L393" s="65" t="str">
        <f>VLOOKUP(C393,Barem!L:Q,6,0)</f>
        <v>V</v>
      </c>
      <c r="M393" s="11">
        <f t="shared" si="110"/>
        <v>0.25</v>
      </c>
      <c r="N393" s="11">
        <f t="shared" si="111"/>
        <v>0.75</v>
      </c>
      <c r="O393" s="49">
        <f t="shared" si="112"/>
        <v>5.8666666666666666E-2</v>
      </c>
      <c r="P393" s="27">
        <f>IF(D393&gt;21,VLOOKUP(D393,Barem!$S$1:$T$141,2,1),0)</f>
        <v>0</v>
      </c>
      <c r="Q393" s="27">
        <f>IF(D393&lt;1.609,0,IF(B393="F",VLOOKUP(I393,Barem!$W$2:$Y$13,2,1),VLOOKUP(I393,Barem!$W$14:$Y$25,2,1)))</f>
        <v>0</v>
      </c>
      <c r="R393" s="27">
        <f>VLOOKUP(A393,Participanti!A:C,3,0)</f>
        <v>0</v>
      </c>
      <c r="S393" s="21">
        <f t="shared" si="113"/>
        <v>4.1230416666666665</v>
      </c>
      <c r="T393" s="82">
        <v>44525</v>
      </c>
      <c r="U393" s="143">
        <f>COUNTIFS(A:A,A393,C:C,C393)</f>
        <v>1</v>
      </c>
      <c r="V393" s="77" t="str">
        <f>VLOOKUP(A393,Data_echipe!A:U,21,0)</f>
        <v>UltraSYR</v>
      </c>
      <c r="X393" s="154">
        <v>1</v>
      </c>
    </row>
    <row r="394" spans="1:24" x14ac:dyDescent="0.25">
      <c r="A394" s="64" t="s">
        <v>203</v>
      </c>
      <c r="B394" s="77" t="str">
        <f>VLOOKUP(A394,Participanti!A:B,2,0)</f>
        <v>M</v>
      </c>
      <c r="C394" s="139">
        <v>12</v>
      </c>
      <c r="D394" s="66">
        <v>30.05</v>
      </c>
      <c r="E394" s="67">
        <v>8.7141203703703707E-2</v>
      </c>
      <c r="F394" s="67">
        <v>8.7337962962962964E-2</v>
      </c>
      <c r="G394" s="100">
        <f t="shared" si="101"/>
        <v>8.7239583333333343E-2</v>
      </c>
      <c r="H394" s="68">
        <v>168</v>
      </c>
      <c r="I394" s="112">
        <f t="shared" si="108"/>
        <v>2.9031475318912923E-3</v>
      </c>
      <c r="J394" s="92">
        <f t="shared" si="109"/>
        <v>5</v>
      </c>
      <c r="K394" s="92">
        <f>IF(J394=0,0,IF(B394="F",VLOOKUP(I394,Barem!$G$2:$H$11,2,1),VLOOKUP(I394,Barem!$G$12:$H$21,2,1)))</f>
        <v>4.5</v>
      </c>
      <c r="L394" s="65" t="str">
        <f>VLOOKUP(C394,Barem!L:Q,6,0)</f>
        <v>V</v>
      </c>
      <c r="M394" s="11">
        <f t="shared" si="110"/>
        <v>0.25</v>
      </c>
      <c r="N394" s="11">
        <f t="shared" si="111"/>
        <v>0.75</v>
      </c>
      <c r="O394" s="49">
        <f t="shared" si="112"/>
        <v>0.112</v>
      </c>
      <c r="P394" s="27">
        <f>IF(D394&gt;21,VLOOKUP(D394,Barem!$S$1:$T$141,2,1),0)</f>
        <v>0.4</v>
      </c>
      <c r="Q394" s="27">
        <f>IF(D394&lt;1.609,0,IF(B394="F",VLOOKUP(I394,Barem!$W$2:$Y$13,2,1),VLOOKUP(I394,Barem!$W$14:$Y$25,2,1)))</f>
        <v>0</v>
      </c>
      <c r="R394" s="27">
        <f>VLOOKUP(A394,Participanti!A:C,3,0)</f>
        <v>0</v>
      </c>
      <c r="S394" s="21">
        <f t="shared" si="113"/>
        <v>5.1370000000000005</v>
      </c>
      <c r="T394" s="82">
        <v>44525</v>
      </c>
      <c r="U394" s="143">
        <f>COUNTIFS(A:A,A394,C:C,C394)</f>
        <v>1</v>
      </c>
      <c r="V394" s="77" t="str">
        <f>VLOOKUP(A394,Data_echipe!A:U,21,0)</f>
        <v>All Stars</v>
      </c>
      <c r="X394" s="154">
        <v>1</v>
      </c>
    </row>
    <row r="395" spans="1:24" x14ac:dyDescent="0.25">
      <c r="A395" s="64" t="s">
        <v>119</v>
      </c>
      <c r="B395" s="77" t="str">
        <f>VLOOKUP(A395,Participanti!A:B,2,0)</f>
        <v>M</v>
      </c>
      <c r="C395" s="139">
        <v>12</v>
      </c>
      <c r="D395" s="66">
        <v>11.01</v>
      </c>
      <c r="E395" s="67">
        <v>3.2141203703703707E-2</v>
      </c>
      <c r="F395" s="67">
        <v>3.3136574074074075E-2</v>
      </c>
      <c r="G395" s="100">
        <f t="shared" si="101"/>
        <v>3.2638888888888891E-2</v>
      </c>
      <c r="H395" s="68">
        <v>5</v>
      </c>
      <c r="I395" s="112">
        <f t="shared" si="108"/>
        <v>2.9644767383187006E-3</v>
      </c>
      <c r="J395" s="92">
        <f t="shared" si="109"/>
        <v>2.6214285714285714</v>
      </c>
      <c r="K395" s="92">
        <f>IF(J395=0,0,IF(B395="F",VLOOKUP(I395,Barem!$G$2:$H$11,2,1),VLOOKUP(I395,Barem!$G$12:$H$21,2,1)))</f>
        <v>4</v>
      </c>
      <c r="L395" s="65" t="str">
        <f>VLOOKUP(C395,Barem!L:Q,6,0)</f>
        <v>V</v>
      </c>
      <c r="M395" s="11">
        <f t="shared" si="110"/>
        <v>0.25</v>
      </c>
      <c r="N395" s="11">
        <f t="shared" si="111"/>
        <v>0.75</v>
      </c>
      <c r="O395" s="49">
        <f t="shared" si="112"/>
        <v>0</v>
      </c>
      <c r="P395" s="27">
        <f>IF(D395&gt;21,VLOOKUP(D395,Barem!$S$1:$T$141,2,1),0)</f>
        <v>0</v>
      </c>
      <c r="Q395" s="27">
        <f>IF(D395&lt;1.609,0,IF(B395="F",VLOOKUP(I395,Barem!$W$2:$Y$13,2,1),VLOOKUP(I395,Barem!$W$14:$Y$25,2,1)))</f>
        <v>0</v>
      </c>
      <c r="R395" s="27">
        <f>VLOOKUP(A395,Participanti!A:C,3,0)</f>
        <v>0</v>
      </c>
      <c r="S395" s="21">
        <f t="shared" si="113"/>
        <v>3.655357142857143</v>
      </c>
      <c r="T395" s="82">
        <v>44525</v>
      </c>
      <c r="U395" s="143">
        <f>COUNTIFS(A:A,A395,C:C,C395)</f>
        <v>1</v>
      </c>
      <c r="V395" s="77" t="e">
        <f>VLOOKUP(A395,Data_echipe!A:U,21,0)</f>
        <v>#N/A</v>
      </c>
      <c r="X395" s="154">
        <v>1</v>
      </c>
    </row>
    <row r="396" spans="1:24" x14ac:dyDescent="0.25">
      <c r="A396" s="64" t="s">
        <v>111</v>
      </c>
      <c r="B396" s="77" t="str">
        <f>VLOOKUP(A396,Participanti!A:B,2,0)</f>
        <v>M</v>
      </c>
      <c r="C396" s="139">
        <v>12</v>
      </c>
      <c r="D396" s="66">
        <v>22.1</v>
      </c>
      <c r="E396" s="67">
        <v>7.4791666666666659E-2</v>
      </c>
      <c r="F396" s="67">
        <v>7.4791666666666659E-2</v>
      </c>
      <c r="G396" s="100">
        <f t="shared" si="101"/>
        <v>7.4791666666666659E-2</v>
      </c>
      <c r="H396" s="68">
        <v>28</v>
      </c>
      <c r="I396" s="112">
        <f t="shared" si="108"/>
        <v>3.3842383107088982E-3</v>
      </c>
      <c r="J396" s="92">
        <f t="shared" si="109"/>
        <v>5</v>
      </c>
      <c r="K396" s="92">
        <f>IF(J396=0,0,IF(B396="F",VLOOKUP(I396,Barem!$G$2:$H$11,2,1),VLOOKUP(I396,Barem!$G$12:$H$21,2,1)))</f>
        <v>3</v>
      </c>
      <c r="L396" s="110" t="s">
        <v>109</v>
      </c>
      <c r="M396" s="11">
        <f t="shared" si="110"/>
        <v>0.75</v>
      </c>
      <c r="N396" s="11">
        <f t="shared" si="111"/>
        <v>0.25</v>
      </c>
      <c r="O396" s="49">
        <f t="shared" si="112"/>
        <v>0</v>
      </c>
      <c r="P396" s="27">
        <f>IF(D396&gt;21,VLOOKUP(D396,Barem!$S$1:$T$141,2,1),0)</f>
        <v>0</v>
      </c>
      <c r="Q396" s="27">
        <f>IF(D396&lt;1.609,0,IF(B396="F",VLOOKUP(I396,Barem!$W$2:$Y$13,2,1),VLOOKUP(I396,Barem!$W$14:$Y$25,2,1)))</f>
        <v>0</v>
      </c>
      <c r="R396" s="27">
        <f>VLOOKUP(A396,Participanti!A:C,3,0)</f>
        <v>0</v>
      </c>
      <c r="S396" s="21">
        <f t="shared" si="113"/>
        <v>4.5</v>
      </c>
      <c r="T396" s="82">
        <v>44527</v>
      </c>
      <c r="U396" s="143">
        <f>COUNTIFS(A:A,A396,C:C,C396)</f>
        <v>1</v>
      </c>
      <c r="V396" s="77" t="str">
        <f>VLOOKUP(A396,Data_echipe!A:U,21,0)</f>
        <v>UltraSYR</v>
      </c>
      <c r="X396" s="154">
        <v>1</v>
      </c>
    </row>
    <row r="397" spans="1:24" x14ac:dyDescent="0.25">
      <c r="A397" s="64" t="s">
        <v>53</v>
      </c>
      <c r="B397" s="77" t="str">
        <f>VLOOKUP(A397,Participanti!A:B,2,0)</f>
        <v>M</v>
      </c>
      <c r="C397" s="139">
        <v>12</v>
      </c>
      <c r="D397" s="66">
        <v>12.04</v>
      </c>
      <c r="E397" s="67">
        <v>3.8541666666666669E-2</v>
      </c>
      <c r="F397" s="67">
        <v>3.8541666666666669E-2</v>
      </c>
      <c r="G397" s="100">
        <f t="shared" si="101"/>
        <v>3.8541666666666669E-2</v>
      </c>
      <c r="H397" s="68">
        <v>50</v>
      </c>
      <c r="I397" s="112">
        <f t="shared" si="108"/>
        <v>3.2011351052048729E-3</v>
      </c>
      <c r="J397" s="92">
        <f t="shared" si="109"/>
        <v>2.8666666666666663</v>
      </c>
      <c r="K397" s="92">
        <f>IF(J397=0,0,IF(B397="F",VLOOKUP(I397,Barem!$G$2:$H$11,2,1),VLOOKUP(I397,Barem!$G$12:$H$21,2,1)))</f>
        <v>3.5</v>
      </c>
      <c r="L397" s="65" t="str">
        <f>VLOOKUP(C397,Barem!L:Q,6,0)</f>
        <v>V</v>
      </c>
      <c r="M397" s="11">
        <f t="shared" si="110"/>
        <v>0.25</v>
      </c>
      <c r="N397" s="11">
        <f t="shared" si="111"/>
        <v>0.75</v>
      </c>
      <c r="O397" s="49">
        <f t="shared" si="112"/>
        <v>3.3333333333333333E-2</v>
      </c>
      <c r="P397" s="27">
        <f>IF(D397&gt;21,VLOOKUP(D397,Barem!$S$1:$T$141,2,1),0)</f>
        <v>0</v>
      </c>
      <c r="Q397" s="27">
        <f>IF(D397&lt;1.609,0,IF(B397="F",VLOOKUP(I397,Barem!$W$2:$Y$13,2,1),VLOOKUP(I397,Barem!$W$14:$Y$25,2,1)))</f>
        <v>0</v>
      </c>
      <c r="R397" s="27">
        <f>VLOOKUP(A397,Participanti!A:C,3,0)</f>
        <v>0</v>
      </c>
      <c r="S397" s="21">
        <f t="shared" si="113"/>
        <v>3.375</v>
      </c>
      <c r="T397" s="82">
        <v>44525</v>
      </c>
      <c r="U397" s="143">
        <f>COUNTIFS(A:A,A397,C:C,C397)</f>
        <v>1</v>
      </c>
      <c r="V397" s="77" t="str">
        <f>VLOOKUP(A397,Data_echipe!A:U,21,0)</f>
        <v>UltraSYR</v>
      </c>
      <c r="X397" s="154">
        <v>1</v>
      </c>
    </row>
    <row r="398" spans="1:24" x14ac:dyDescent="0.25">
      <c r="A398" s="64" t="s">
        <v>118</v>
      </c>
      <c r="B398" s="77" t="str">
        <f>VLOOKUP(A398,Participanti!A:B,2,0)</f>
        <v>M</v>
      </c>
      <c r="C398" s="139">
        <v>12</v>
      </c>
      <c r="D398" s="66">
        <v>11.59</v>
      </c>
      <c r="E398" s="67">
        <v>4.1724537037037039E-2</v>
      </c>
      <c r="F398" s="67">
        <v>4.223379629629629E-2</v>
      </c>
      <c r="G398" s="100">
        <f t="shared" si="101"/>
        <v>4.1979166666666665E-2</v>
      </c>
      <c r="H398" s="68">
        <v>53</v>
      </c>
      <c r="I398" s="112">
        <f t="shared" si="108"/>
        <v>3.6220161058383663E-3</v>
      </c>
      <c r="J398" s="92">
        <f t="shared" si="109"/>
        <v>2.7595238095238095</v>
      </c>
      <c r="K398" s="92">
        <f>IF(J398=0,0,IF(B398="F",VLOOKUP(I398,Barem!$G$2:$H$11,2,1),VLOOKUP(I398,Barem!$G$12:$H$21,2,1)))</f>
        <v>2.5</v>
      </c>
      <c r="L398" s="65" t="str">
        <f>VLOOKUP(C398,Barem!L:Q,6,0)</f>
        <v>V</v>
      </c>
      <c r="M398" s="11">
        <f t="shared" si="110"/>
        <v>0.25</v>
      </c>
      <c r="N398" s="11">
        <f t="shared" si="111"/>
        <v>0.75</v>
      </c>
      <c r="O398" s="49">
        <f t="shared" si="112"/>
        <v>3.5333333333333335E-2</v>
      </c>
      <c r="P398" s="27">
        <f>IF(D398&gt;21,VLOOKUP(D398,Barem!$S$1:$T$141,2,1),0)</f>
        <v>0</v>
      </c>
      <c r="Q398" s="27">
        <f>IF(D398&lt;1.609,0,IF(B398="F",VLOOKUP(I398,Barem!$W$2:$Y$13,2,1),VLOOKUP(I398,Barem!$W$14:$Y$25,2,1)))</f>
        <v>0</v>
      </c>
      <c r="R398" s="27">
        <f>VLOOKUP(A398,Participanti!A:C,3,0)</f>
        <v>0</v>
      </c>
      <c r="S398" s="21">
        <f t="shared" si="113"/>
        <v>2.6002142857142858</v>
      </c>
      <c r="T398" s="82">
        <v>44527</v>
      </c>
      <c r="U398" s="143">
        <f>COUNTIFS(A:A,A398,C:C,C398)</f>
        <v>1</v>
      </c>
      <c r="V398" s="77" t="str">
        <f>VLOOKUP(A398,Data_echipe!A:U,21,0)</f>
        <v>UltraSYR</v>
      </c>
      <c r="X398" s="154">
        <v>1</v>
      </c>
    </row>
    <row r="399" spans="1:24" x14ac:dyDescent="0.25">
      <c r="A399" s="64" t="s">
        <v>240</v>
      </c>
      <c r="B399" s="77" t="str">
        <f>VLOOKUP(A399,Participanti!A:B,2,0)</f>
        <v>M</v>
      </c>
      <c r="C399" s="139">
        <v>12</v>
      </c>
      <c r="D399" s="66">
        <v>25.29</v>
      </c>
      <c r="E399" s="67">
        <v>8.5763888888888876E-2</v>
      </c>
      <c r="F399" s="67">
        <v>8.9560185185185173E-2</v>
      </c>
      <c r="G399" s="100">
        <f t="shared" si="101"/>
        <v>8.7662037037037024E-2</v>
      </c>
      <c r="H399" s="68">
        <v>78</v>
      </c>
      <c r="I399" s="112">
        <f t="shared" si="108"/>
        <v>3.4662727179532236E-3</v>
      </c>
      <c r="J399" s="92">
        <f t="shared" si="109"/>
        <v>5</v>
      </c>
      <c r="K399" s="92">
        <f>IF(J399=0,0,IF(B399="F",VLOOKUP(I399,Barem!$G$2:$H$11,2,1),VLOOKUP(I399,Barem!$G$12:$H$21,2,1)))</f>
        <v>3</v>
      </c>
      <c r="L399" s="110" t="s">
        <v>109</v>
      </c>
      <c r="M399" s="11">
        <f t="shared" si="110"/>
        <v>0.75</v>
      </c>
      <c r="N399" s="11">
        <f t="shared" si="111"/>
        <v>0.25</v>
      </c>
      <c r="O399" s="49">
        <f t="shared" si="112"/>
        <v>5.1999999999999998E-2</v>
      </c>
      <c r="P399" s="27">
        <f>IF(D399&gt;21,VLOOKUP(D399,Barem!$S$1:$T$141,2,1),0)</f>
        <v>0.2</v>
      </c>
      <c r="Q399" s="27">
        <f>IF(D399&lt;1.609,0,IF(B399="F",VLOOKUP(I399,Barem!$W$2:$Y$13,2,1),VLOOKUP(I399,Barem!$W$14:$Y$25,2,1)))</f>
        <v>0</v>
      </c>
      <c r="R399" s="27">
        <f>VLOOKUP(A399,Participanti!A:C,3,0)</f>
        <v>0</v>
      </c>
      <c r="S399" s="21">
        <f t="shared" si="113"/>
        <v>4.7519999999999998</v>
      </c>
      <c r="T399" s="82">
        <v>44527</v>
      </c>
      <c r="U399" s="143">
        <f>COUNTIFS(A:A,A399,C:C,C399)</f>
        <v>1</v>
      </c>
      <c r="V399" s="77" t="str">
        <f>VLOOKUP(A399,Data_echipe!A:U,21,0)</f>
        <v>All Stars</v>
      </c>
      <c r="X399" s="154">
        <v>1</v>
      </c>
    </row>
    <row r="400" spans="1:24" x14ac:dyDescent="0.25">
      <c r="A400" s="64" t="s">
        <v>102</v>
      </c>
      <c r="B400" s="77" t="str">
        <f>VLOOKUP(A400,Participanti!A:B,2,0)</f>
        <v>M</v>
      </c>
      <c r="C400" s="139">
        <v>12</v>
      </c>
      <c r="D400" s="66">
        <v>10.130000000000001</v>
      </c>
      <c r="E400" s="67">
        <v>3.1145833333333334E-2</v>
      </c>
      <c r="F400" s="67">
        <v>3.125E-2</v>
      </c>
      <c r="G400" s="100">
        <f t="shared" si="101"/>
        <v>3.1197916666666665E-2</v>
      </c>
      <c r="H400" s="68">
        <v>22</v>
      </c>
      <c r="I400" s="112">
        <f t="shared" si="108"/>
        <v>3.0797548535702532E-3</v>
      </c>
      <c r="J400" s="92">
        <f t="shared" si="109"/>
        <v>2.4119047619047618</v>
      </c>
      <c r="K400" s="92">
        <f>IF(J400=0,0,IF(B400="F",VLOOKUP(I400,Barem!$G$2:$H$11,2,1),VLOOKUP(I400,Barem!$G$12:$H$21,2,1)))</f>
        <v>4</v>
      </c>
      <c r="L400" s="65" t="str">
        <f>VLOOKUP(C400,Barem!L:Q,6,0)</f>
        <v>V</v>
      </c>
      <c r="M400" s="11">
        <f t="shared" si="110"/>
        <v>0.25</v>
      </c>
      <c r="N400" s="11">
        <f t="shared" si="111"/>
        <v>0.75</v>
      </c>
      <c r="O400" s="49">
        <f t="shared" si="112"/>
        <v>0</v>
      </c>
      <c r="P400" s="27">
        <f>IF(D400&gt;21,VLOOKUP(D400,Barem!$S$1:$T$141,2,1),0)</f>
        <v>0</v>
      </c>
      <c r="Q400" s="27">
        <f>IF(D400&lt;1.609,0,IF(B400="F",VLOOKUP(I400,Barem!$W$2:$Y$13,2,1),VLOOKUP(I400,Barem!$W$14:$Y$25,2,1)))</f>
        <v>0</v>
      </c>
      <c r="R400" s="27">
        <f>VLOOKUP(A400,Participanti!A:C,3,0)</f>
        <v>0</v>
      </c>
      <c r="S400" s="21">
        <f t="shared" si="113"/>
        <v>3.6029761904761903</v>
      </c>
      <c r="T400" s="82">
        <v>44523</v>
      </c>
      <c r="U400" s="143">
        <f>COUNTIFS(A:A,A400,C:C,C400)</f>
        <v>1</v>
      </c>
      <c r="V400" s="77" t="str">
        <f>VLOOKUP(A400,Data_echipe!A:U,21,0)</f>
        <v>All Stars</v>
      </c>
      <c r="X400" s="154">
        <v>1</v>
      </c>
    </row>
    <row r="401" spans="1:24" x14ac:dyDescent="0.25">
      <c r="A401" s="64" t="s">
        <v>49</v>
      </c>
      <c r="B401" s="77" t="str">
        <f>VLOOKUP(A401,Participanti!A:B,2,0)</f>
        <v>M</v>
      </c>
      <c r="C401" s="139">
        <v>12</v>
      </c>
      <c r="D401" s="66">
        <v>14.5</v>
      </c>
      <c r="E401" s="67">
        <v>4.7557870370370368E-2</v>
      </c>
      <c r="F401" s="67">
        <v>4.7557870370370368E-2</v>
      </c>
      <c r="G401" s="100">
        <f t="shared" si="101"/>
        <v>4.7557870370370368E-2</v>
      </c>
      <c r="H401" s="68">
        <v>15</v>
      </c>
      <c r="I401" s="112">
        <f t="shared" si="108"/>
        <v>3.2798531289910597E-3</v>
      </c>
      <c r="J401" s="92">
        <f t="shared" si="109"/>
        <v>3.4523809523809521</v>
      </c>
      <c r="K401" s="92">
        <f>IF(J401=0,0,IF(B401="F",VLOOKUP(I401,Barem!$G$2:$H$11,2,1),VLOOKUP(I401,Barem!$G$12:$H$21,2,1)))</f>
        <v>3.5</v>
      </c>
      <c r="L401" s="65" t="str">
        <f>VLOOKUP(C401,Barem!L:Q,6,0)</f>
        <v>V</v>
      </c>
      <c r="M401" s="11">
        <f t="shared" si="110"/>
        <v>0.25</v>
      </c>
      <c r="N401" s="11">
        <f t="shared" si="111"/>
        <v>0.75</v>
      </c>
      <c r="O401" s="49">
        <f t="shared" si="112"/>
        <v>0</v>
      </c>
      <c r="P401" s="27">
        <f>IF(D401&gt;21,VLOOKUP(D401,Barem!$S$1:$T$141,2,1),0)</f>
        <v>0</v>
      </c>
      <c r="Q401" s="27">
        <f>IF(D401&lt;1.609,0,IF(B401="F",VLOOKUP(I401,Barem!$W$2:$Y$13,2,1),VLOOKUP(I401,Barem!$W$14:$Y$25,2,1)))</f>
        <v>0</v>
      </c>
      <c r="R401" s="27">
        <f>VLOOKUP(A401,Participanti!A:C,3,0)</f>
        <v>0</v>
      </c>
      <c r="S401" s="21">
        <f t="shared" si="113"/>
        <v>3.4880952380952381</v>
      </c>
      <c r="T401" s="82">
        <v>44522</v>
      </c>
      <c r="U401" s="143">
        <f>COUNTIFS(A:A,A401,C:C,C401)</f>
        <v>1</v>
      </c>
      <c r="V401" s="77" t="str">
        <f>VLOOKUP(A401,Data_echipe!A:U,21,0)</f>
        <v>All Stars</v>
      </c>
      <c r="X401" s="154">
        <v>1</v>
      </c>
    </row>
    <row r="402" spans="1:24" x14ac:dyDescent="0.25">
      <c r="A402" s="64" t="s">
        <v>239</v>
      </c>
      <c r="B402" s="77" t="str">
        <f>VLOOKUP(A402,Participanti!A:B,2,0)</f>
        <v>M</v>
      </c>
      <c r="C402" s="139">
        <v>12</v>
      </c>
      <c r="D402" s="66">
        <v>3.52</v>
      </c>
      <c r="E402" s="67">
        <v>1.1354166666666667E-2</v>
      </c>
      <c r="F402" s="67">
        <v>1.2013888888888888E-2</v>
      </c>
      <c r="G402" s="100">
        <f t="shared" si="101"/>
        <v>1.1684027777777778E-2</v>
      </c>
      <c r="H402" s="68">
        <v>56</v>
      </c>
      <c r="I402" s="112">
        <f t="shared" si="108"/>
        <v>3.319326073232323E-3</v>
      </c>
      <c r="J402" s="92">
        <f t="shared" si="109"/>
        <v>0.83809523809523812</v>
      </c>
      <c r="K402" s="92">
        <f>IF(J402=0,0,IF(B402="F",VLOOKUP(I402,Barem!$G$2:$H$11,2,1),VLOOKUP(I402,Barem!$G$12:$H$21,2,1)))</f>
        <v>3</v>
      </c>
      <c r="L402" s="65" t="str">
        <f>VLOOKUP(C402,Barem!L:Q,6,0)</f>
        <v>V</v>
      </c>
      <c r="M402" s="11">
        <f t="shared" si="110"/>
        <v>0.25</v>
      </c>
      <c r="N402" s="11">
        <f t="shared" si="111"/>
        <v>0.75</v>
      </c>
      <c r="O402" s="49">
        <f t="shared" si="112"/>
        <v>3.7333333333333336E-2</v>
      </c>
      <c r="P402" s="27">
        <f>IF(D402&gt;21,VLOOKUP(D402,Barem!$S$1:$T$141,2,1),0)</f>
        <v>0</v>
      </c>
      <c r="Q402" s="27">
        <f>IF(D402&lt;1.609,0,IF(B402="F",VLOOKUP(I402,Barem!$W$2:$Y$13,2,1),VLOOKUP(I402,Barem!$W$14:$Y$25,2,1)))</f>
        <v>0</v>
      </c>
      <c r="R402" s="27">
        <f>VLOOKUP(A402,Participanti!A:C,3,0)</f>
        <v>0</v>
      </c>
      <c r="S402" s="21">
        <f t="shared" si="113"/>
        <v>2.4968571428571429</v>
      </c>
      <c r="T402" s="82">
        <v>44523</v>
      </c>
      <c r="U402" s="143">
        <f>COUNTIFS(A:A,A402,C:C,C402)</f>
        <v>1</v>
      </c>
      <c r="V402" s="77" t="str">
        <f>VLOOKUP(A402,Data_echipe!A:U,21,0)</f>
        <v>All Stars</v>
      </c>
      <c r="X402" s="154">
        <v>1</v>
      </c>
    </row>
    <row r="403" spans="1:24" x14ac:dyDescent="0.25">
      <c r="A403" s="64" t="s">
        <v>67</v>
      </c>
      <c r="B403" s="77" t="str">
        <f>VLOOKUP(A403,Participanti!A:B,2,0)</f>
        <v>M</v>
      </c>
      <c r="C403" s="139">
        <v>12</v>
      </c>
      <c r="D403" s="66">
        <v>5</v>
      </c>
      <c r="E403" s="67">
        <v>1.6145833333333335E-2</v>
      </c>
      <c r="F403" s="67">
        <v>1.6145833333333335E-2</v>
      </c>
      <c r="G403" s="100">
        <f t="shared" si="101"/>
        <v>1.6145833333333335E-2</v>
      </c>
      <c r="H403" s="68">
        <v>21</v>
      </c>
      <c r="I403" s="112">
        <f t="shared" si="108"/>
        <v>3.2291666666666671E-3</v>
      </c>
      <c r="J403" s="92">
        <f t="shared" si="109"/>
        <v>1.1904761904761905</v>
      </c>
      <c r="K403" s="92">
        <f>IF(J403=0,0,IF(B403="F",VLOOKUP(I403,Barem!$G$2:$H$11,2,1),VLOOKUP(I403,Barem!$G$12:$H$21,2,1)))</f>
        <v>3.5</v>
      </c>
      <c r="L403" s="65" t="str">
        <f>VLOOKUP(C403,Barem!L:Q,6,0)</f>
        <v>V</v>
      </c>
      <c r="M403" s="11">
        <f t="shared" si="110"/>
        <v>0.25</v>
      </c>
      <c r="N403" s="11">
        <f t="shared" si="111"/>
        <v>0.75</v>
      </c>
      <c r="O403" s="49">
        <f t="shared" si="112"/>
        <v>0</v>
      </c>
      <c r="P403" s="27">
        <f>IF(D403&gt;21,VLOOKUP(D403,Barem!$S$1:$T$141,2,1),0)</f>
        <v>0</v>
      </c>
      <c r="Q403" s="27">
        <f>IF(D403&lt;1.609,0,IF(B403="F",VLOOKUP(I403,Barem!$W$2:$Y$13,2,1),VLOOKUP(I403,Barem!$W$14:$Y$25,2,1)))</f>
        <v>0</v>
      </c>
      <c r="R403" s="27">
        <f>VLOOKUP(A403,Participanti!A:C,3,0)</f>
        <v>0</v>
      </c>
      <c r="S403" s="21">
        <f t="shared" si="113"/>
        <v>2.9226190476190474</v>
      </c>
      <c r="T403" s="82">
        <v>44522</v>
      </c>
      <c r="U403" s="143">
        <f>COUNTIFS(A:A,A403,C:C,C403)</f>
        <v>1</v>
      </c>
      <c r="V403" s="77" t="e">
        <f>VLOOKUP(A403,Data_echipe!A:U,21,0)</f>
        <v>#N/A</v>
      </c>
      <c r="X403" s="154">
        <v>1</v>
      </c>
    </row>
    <row r="404" spans="1:24" x14ac:dyDescent="0.25">
      <c r="A404" s="64" t="s">
        <v>153</v>
      </c>
      <c r="B404" s="77" t="str">
        <f>VLOOKUP(A404,Participanti!A:B,2,0)</f>
        <v>F</v>
      </c>
      <c r="C404" s="139">
        <v>12</v>
      </c>
      <c r="D404" s="66">
        <v>3.01</v>
      </c>
      <c r="E404" s="67">
        <v>9.9537037037037042E-3</v>
      </c>
      <c r="F404" s="67">
        <v>9.9537037037037042E-3</v>
      </c>
      <c r="G404" s="100">
        <f t="shared" si="101"/>
        <v>9.9537037037037042E-3</v>
      </c>
      <c r="H404" s="68">
        <v>2</v>
      </c>
      <c r="I404" s="112">
        <f t="shared" si="108"/>
        <v>3.3068783068783071E-3</v>
      </c>
      <c r="J404" s="92">
        <f t="shared" si="109"/>
        <v>0.75249999999999995</v>
      </c>
      <c r="K404" s="92">
        <f>IF(J404=0,0,IF(B404="F",VLOOKUP(I404,Barem!$G$2:$H$11,2,1),VLOOKUP(I404,Barem!$G$12:$H$21,2,1)))</f>
        <v>4.5</v>
      </c>
      <c r="L404" s="110" t="s">
        <v>109</v>
      </c>
      <c r="M404" s="11">
        <f t="shared" si="110"/>
        <v>0.75</v>
      </c>
      <c r="N404" s="11">
        <f t="shared" si="111"/>
        <v>0.25</v>
      </c>
      <c r="O404" s="49">
        <f t="shared" si="112"/>
        <v>0</v>
      </c>
      <c r="P404" s="27">
        <f>IF(D404&gt;21,VLOOKUP(D404,Barem!$S$1:$T$141,2,1),0)</f>
        <v>0</v>
      </c>
      <c r="Q404" s="27">
        <f>IF(D404&lt;1.609,0,IF(B404="F",VLOOKUP(I404,Barem!$W$2:$Y$13,2,1),VLOOKUP(I404,Barem!$W$14:$Y$25,2,1)))</f>
        <v>0</v>
      </c>
      <c r="R404" s="27">
        <f>VLOOKUP(A404,Participanti!A:C,3,0)</f>
        <v>0</v>
      </c>
      <c r="S404" s="21">
        <f t="shared" si="113"/>
        <v>1.6893750000000001</v>
      </c>
      <c r="T404" s="82">
        <v>44525</v>
      </c>
      <c r="U404" s="143">
        <f>COUNTIFS(A:A,A404,C:C,C404)</f>
        <v>1</v>
      </c>
      <c r="V404" s="77" t="str">
        <f>VLOOKUP(A404,Data_echipe!A:U,21,0)</f>
        <v>All Stars</v>
      </c>
      <c r="X404" s="154">
        <v>1</v>
      </c>
    </row>
    <row r="405" spans="1:24" x14ac:dyDescent="0.25">
      <c r="A405" s="64" t="s">
        <v>61</v>
      </c>
      <c r="B405" s="77" t="str">
        <f>VLOOKUP(A405,Participanti!A:B,2,0)</f>
        <v>M</v>
      </c>
      <c r="C405" s="139">
        <v>12</v>
      </c>
      <c r="D405" s="66">
        <v>10.16</v>
      </c>
      <c r="E405" s="67">
        <v>3.4317129629629628E-2</v>
      </c>
      <c r="F405" s="67">
        <v>3.4317129629629628E-2</v>
      </c>
      <c r="G405" s="100">
        <f t="shared" si="101"/>
        <v>3.4317129629629628E-2</v>
      </c>
      <c r="H405" s="68">
        <v>0</v>
      </c>
      <c r="I405" s="112">
        <f t="shared" si="108"/>
        <v>3.3776702391367743E-3</v>
      </c>
      <c r="J405" s="92">
        <f t="shared" si="109"/>
        <v>2.4190476190476189</v>
      </c>
      <c r="K405" s="92">
        <f>IF(J405=0,0,IF(B405="F",VLOOKUP(I405,Barem!$G$2:$H$11,2,1),VLOOKUP(I405,Barem!$G$12:$H$21,2,1)))</f>
        <v>3</v>
      </c>
      <c r="L405" s="65" t="str">
        <f>VLOOKUP(C405,Barem!L:Q,6,0)</f>
        <v>V</v>
      </c>
      <c r="M405" s="11">
        <f t="shared" si="110"/>
        <v>0.25</v>
      </c>
      <c r="N405" s="11">
        <f t="shared" si="111"/>
        <v>0.75</v>
      </c>
      <c r="O405" s="49">
        <f t="shared" si="112"/>
        <v>0</v>
      </c>
      <c r="P405" s="27">
        <f>IF(D405&gt;21,VLOOKUP(D405,Barem!$S$1:$T$141,2,1),0)</f>
        <v>0</v>
      </c>
      <c r="Q405" s="27">
        <f>IF(D405&lt;1.609,0,IF(B405="F",VLOOKUP(I405,Barem!$W$2:$Y$13,2,1),VLOOKUP(I405,Barem!$W$14:$Y$25,2,1)))</f>
        <v>0</v>
      </c>
      <c r="R405" s="27">
        <f>VLOOKUP(A405,Participanti!A:C,3,0)</f>
        <v>0</v>
      </c>
      <c r="S405" s="21">
        <f t="shared" si="113"/>
        <v>2.8547619047619048</v>
      </c>
      <c r="T405" s="82">
        <v>44525</v>
      </c>
      <c r="U405" s="143">
        <f>COUNTIFS(A:A,A405,C:C,C405)</f>
        <v>1</v>
      </c>
      <c r="V405" s="77" t="str">
        <f>VLOOKUP(A405,Data_echipe!A:U,21,0)</f>
        <v>UltraSYR</v>
      </c>
      <c r="X405" s="154">
        <v>1</v>
      </c>
    </row>
    <row r="406" spans="1:24" x14ac:dyDescent="0.25">
      <c r="A406" s="64" t="s">
        <v>154</v>
      </c>
      <c r="B406" s="77" t="str">
        <f>VLOOKUP(A406,Participanti!A:B,2,0)</f>
        <v>M</v>
      </c>
      <c r="C406" s="139">
        <v>12</v>
      </c>
      <c r="D406" s="66">
        <v>14.01</v>
      </c>
      <c r="E406" s="67">
        <v>4.8888888888888891E-2</v>
      </c>
      <c r="F406" s="67">
        <v>5.168981481481482E-2</v>
      </c>
      <c r="G406" s="100">
        <f t="shared" si="101"/>
        <v>5.0289351851851856E-2</v>
      </c>
      <c r="H406" s="68">
        <v>53</v>
      </c>
      <c r="I406" s="112">
        <f t="shared" si="108"/>
        <v>3.5895326089830019E-3</v>
      </c>
      <c r="J406" s="92">
        <f t="shared" si="109"/>
        <v>3.3357142857142854</v>
      </c>
      <c r="K406" s="92">
        <f>IF(J406=0,0,IF(B406="F",VLOOKUP(I406,Barem!$G$2:$H$11,2,1),VLOOKUP(I406,Barem!$G$12:$H$21,2,1)))</f>
        <v>2.5</v>
      </c>
      <c r="L406" s="65" t="str">
        <f>VLOOKUP(C406,Barem!L:Q,6,0)</f>
        <v>V</v>
      </c>
      <c r="M406" s="11">
        <f t="shared" si="110"/>
        <v>0.25</v>
      </c>
      <c r="N406" s="11">
        <f t="shared" si="111"/>
        <v>0.75</v>
      </c>
      <c r="O406" s="49">
        <f t="shared" si="112"/>
        <v>3.5333333333333335E-2</v>
      </c>
      <c r="P406" s="27">
        <f>IF(D406&gt;21,VLOOKUP(D406,Barem!$S$1:$T$141,2,1),0)</f>
        <v>0</v>
      </c>
      <c r="Q406" s="27">
        <f>IF(D406&lt;1.609,0,IF(B406="F",VLOOKUP(I406,Barem!$W$2:$Y$13,2,1),VLOOKUP(I406,Barem!$W$14:$Y$25,2,1)))</f>
        <v>0</v>
      </c>
      <c r="R406" s="27">
        <f>VLOOKUP(A406,Participanti!A:C,3,0)</f>
        <v>0</v>
      </c>
      <c r="S406" s="21">
        <f t="shared" si="113"/>
        <v>2.7442619047619048</v>
      </c>
      <c r="T406" s="82">
        <v>44523</v>
      </c>
      <c r="U406" s="143">
        <f>COUNTIFS(A:A,A406,C:C,C406)</f>
        <v>1</v>
      </c>
      <c r="V406" s="77" t="str">
        <f>VLOOKUP(A406,Data_echipe!A:U,21,0)</f>
        <v>All Stars</v>
      </c>
      <c r="X406" s="154">
        <v>1</v>
      </c>
    </row>
    <row r="407" spans="1:24" x14ac:dyDescent="0.25">
      <c r="A407" s="64" t="s">
        <v>7</v>
      </c>
      <c r="B407" s="77" t="str">
        <f>VLOOKUP(A407,Participanti!A:B,2,0)</f>
        <v>M</v>
      </c>
      <c r="C407" s="139">
        <v>12</v>
      </c>
      <c r="D407" s="66">
        <v>19</v>
      </c>
      <c r="E407" s="67">
        <v>6.8564814814814815E-2</v>
      </c>
      <c r="F407" s="67">
        <v>6.8564814814814815E-2</v>
      </c>
      <c r="G407" s="100">
        <f t="shared" si="101"/>
        <v>6.8564814814814815E-2</v>
      </c>
      <c r="H407" s="68">
        <v>36</v>
      </c>
      <c r="I407" s="112">
        <f t="shared" si="108"/>
        <v>3.6086744639376219E-3</v>
      </c>
      <c r="J407" s="92">
        <f t="shared" si="109"/>
        <v>4.5238095238095237</v>
      </c>
      <c r="K407" s="92">
        <f>IF(J407=0,0,IF(B407="F",VLOOKUP(I407,Barem!$G$2:$H$11,2,1),VLOOKUP(I407,Barem!$G$12:$H$21,2,1)))</f>
        <v>2.5</v>
      </c>
      <c r="L407" s="110" t="s">
        <v>109</v>
      </c>
      <c r="M407" s="11">
        <f t="shared" si="110"/>
        <v>0.75</v>
      </c>
      <c r="N407" s="11">
        <f t="shared" si="111"/>
        <v>0.25</v>
      </c>
      <c r="O407" s="49">
        <f t="shared" si="112"/>
        <v>0</v>
      </c>
      <c r="P407" s="27">
        <f>IF(D407&gt;21,VLOOKUP(D407,Barem!$S$1:$T$141,2,1),0)</f>
        <v>0</v>
      </c>
      <c r="Q407" s="27">
        <f>IF(D407&lt;1.609,0,IF(B407="F",VLOOKUP(I407,Barem!$W$2:$Y$13,2,1),VLOOKUP(I407,Barem!$W$14:$Y$25,2,1)))</f>
        <v>0</v>
      </c>
      <c r="R407" s="27">
        <f>VLOOKUP(A407,Participanti!A:C,3,0)</f>
        <v>0</v>
      </c>
      <c r="S407" s="21">
        <f t="shared" si="113"/>
        <v>4.0178571428571423</v>
      </c>
      <c r="T407" s="82">
        <v>44528</v>
      </c>
      <c r="U407" s="143">
        <f>COUNTIFS(A:A,A407,C:C,C407)</f>
        <v>1</v>
      </c>
      <c r="V407" s="77" t="str">
        <f>VLOOKUP(A407,Data_echipe!A:U,21,0)</f>
        <v>All Stars</v>
      </c>
      <c r="X407" s="154">
        <v>1</v>
      </c>
    </row>
    <row r="408" spans="1:24" x14ac:dyDescent="0.25">
      <c r="A408" s="64" t="s">
        <v>241</v>
      </c>
      <c r="B408" s="77" t="str">
        <f>VLOOKUP(A408,Participanti!A:B,2,0)</f>
        <v>M</v>
      </c>
      <c r="C408" s="139">
        <v>12</v>
      </c>
      <c r="D408" s="66">
        <v>17.010000000000002</v>
      </c>
      <c r="E408" s="67">
        <v>6.1631944444444448E-2</v>
      </c>
      <c r="F408" s="67">
        <v>6.177083333333333E-2</v>
      </c>
      <c r="G408" s="100">
        <f t="shared" si="101"/>
        <v>6.1701388888888889E-2</v>
      </c>
      <c r="H408" s="68">
        <v>6</v>
      </c>
      <c r="I408" s="112">
        <f t="shared" si="108"/>
        <v>3.6273597230387349E-3</v>
      </c>
      <c r="J408" s="92">
        <f t="shared" si="109"/>
        <v>4.05</v>
      </c>
      <c r="K408" s="92">
        <f>IF(J408=0,0,IF(B408="F",VLOOKUP(I408,Barem!$G$2:$H$11,2,1),VLOOKUP(I408,Barem!$G$12:$H$21,2,1)))</f>
        <v>2.5</v>
      </c>
      <c r="L408" s="65" t="str">
        <f>VLOOKUP(C408,Barem!L:Q,6,0)</f>
        <v>V</v>
      </c>
      <c r="M408" s="11">
        <f t="shared" si="110"/>
        <v>0.25</v>
      </c>
      <c r="N408" s="11">
        <f t="shared" si="111"/>
        <v>0.75</v>
      </c>
      <c r="O408" s="49">
        <f t="shared" si="112"/>
        <v>0</v>
      </c>
      <c r="P408" s="27">
        <f>IF(D408&gt;21,VLOOKUP(D408,Barem!$S$1:$T$141,2,1),0)</f>
        <v>0</v>
      </c>
      <c r="Q408" s="27">
        <f>IF(D408&lt;1.609,0,IF(B408="F",VLOOKUP(I408,Barem!$W$2:$Y$13,2,1),VLOOKUP(I408,Barem!$W$14:$Y$25,2,1)))</f>
        <v>0</v>
      </c>
      <c r="R408" s="27">
        <f>VLOOKUP(A408,Participanti!A:C,3,0)</f>
        <v>0</v>
      </c>
      <c r="S408" s="21">
        <f t="shared" si="113"/>
        <v>2.8875000000000002</v>
      </c>
      <c r="T408" s="82">
        <v>44526</v>
      </c>
      <c r="U408" s="143">
        <f>COUNTIFS(A:A,A408,C:C,C408)</f>
        <v>1</v>
      </c>
      <c r="V408" s="77" t="e">
        <f>VLOOKUP(A408,Data_echipe!A:U,21,0)</f>
        <v>#N/A</v>
      </c>
      <c r="X408" s="154">
        <v>1</v>
      </c>
    </row>
    <row r="409" spans="1:24" x14ac:dyDescent="0.25">
      <c r="A409" s="64" t="s">
        <v>103</v>
      </c>
      <c r="B409" s="77" t="str">
        <f>VLOOKUP(A409,Participanti!A:B,2,0)</f>
        <v>F</v>
      </c>
      <c r="C409" s="139">
        <v>12</v>
      </c>
      <c r="D409" s="66">
        <v>15.01</v>
      </c>
      <c r="E409" s="67">
        <v>5.8981481481481489E-2</v>
      </c>
      <c r="F409" s="67">
        <v>6.0543981481481483E-2</v>
      </c>
      <c r="G409" s="100">
        <f t="shared" si="101"/>
        <v>5.9762731481481486E-2</v>
      </c>
      <c r="H409" s="68">
        <v>72</v>
      </c>
      <c r="I409" s="112">
        <f t="shared" si="108"/>
        <v>3.9815277469341433E-3</v>
      </c>
      <c r="J409" s="92">
        <f t="shared" si="109"/>
        <v>3.7524999999999999</v>
      </c>
      <c r="K409" s="92">
        <f>IF(J409=0,0,IF(B409="F",VLOOKUP(I409,Barem!$G$2:$H$11,2,1),VLOOKUP(I409,Barem!$G$12:$H$21,2,1)))</f>
        <v>2.5</v>
      </c>
      <c r="L409" s="110" t="s">
        <v>109</v>
      </c>
      <c r="M409" s="11">
        <f t="shared" si="110"/>
        <v>0.75</v>
      </c>
      <c r="N409" s="11">
        <f t="shared" si="111"/>
        <v>0.25</v>
      </c>
      <c r="O409" s="49">
        <f t="shared" si="112"/>
        <v>4.8000000000000001E-2</v>
      </c>
      <c r="P409" s="27">
        <f>IF(D409&gt;21,VLOOKUP(D409,Barem!$S$1:$T$141,2,1),0)</f>
        <v>0</v>
      </c>
      <c r="Q409" s="27">
        <f>IF(D409&lt;1.609,0,IF(B409="F",VLOOKUP(I409,Barem!$W$2:$Y$13,2,1),VLOOKUP(I409,Barem!$W$14:$Y$25,2,1)))</f>
        <v>0</v>
      </c>
      <c r="R409" s="27">
        <f>VLOOKUP(A409,Participanti!A:C,3,0)</f>
        <v>0</v>
      </c>
      <c r="S409" s="21">
        <f t="shared" si="113"/>
        <v>3.4873750000000001</v>
      </c>
      <c r="T409" s="82">
        <v>44528</v>
      </c>
      <c r="U409" s="143">
        <f>COUNTIFS(A:A,A409,C:C,C409)</f>
        <v>1</v>
      </c>
      <c r="V409" s="77" t="str">
        <f>VLOOKUP(A409,Data_echipe!A:U,21,0)</f>
        <v>UltraSYR</v>
      </c>
      <c r="X409" s="154">
        <v>1</v>
      </c>
    </row>
    <row r="410" spans="1:24" x14ac:dyDescent="0.25">
      <c r="A410" s="64" t="s">
        <v>196</v>
      </c>
      <c r="B410" s="77" t="str">
        <f>VLOOKUP(A410,Participanti!A:B,2,0)</f>
        <v>F</v>
      </c>
      <c r="C410" s="139">
        <v>12</v>
      </c>
      <c r="D410" s="66">
        <v>11.65</v>
      </c>
      <c r="E410" s="67">
        <v>4.701388888888889E-2</v>
      </c>
      <c r="F410" s="67">
        <v>6.8182870370370366E-2</v>
      </c>
      <c r="G410" s="100">
        <f t="shared" si="101"/>
        <v>5.7598379629629631E-2</v>
      </c>
      <c r="H410" s="68">
        <v>29</v>
      </c>
      <c r="I410" s="112">
        <f t="shared" si="108"/>
        <v>4.9440669209982512E-3</v>
      </c>
      <c r="J410" s="92">
        <f t="shared" si="109"/>
        <v>2.9125000000000001</v>
      </c>
      <c r="K410" s="92">
        <f>IF(J410=0,0,IF(B410="F",VLOOKUP(I410,Barem!$G$2:$H$11,2,1),VLOOKUP(I410,Barem!$G$12:$H$21,2,1)))</f>
        <v>1</v>
      </c>
      <c r="L410" s="65" t="str">
        <f>VLOOKUP(C410,Barem!L:Q,6,0)</f>
        <v>V</v>
      </c>
      <c r="M410" s="11">
        <f t="shared" si="110"/>
        <v>0.25</v>
      </c>
      <c r="N410" s="11">
        <f t="shared" si="111"/>
        <v>0.75</v>
      </c>
      <c r="O410" s="49">
        <f t="shared" si="112"/>
        <v>0</v>
      </c>
      <c r="P410" s="27">
        <f>IF(D410&gt;21,VLOOKUP(D410,Barem!$S$1:$T$141,2,1),0)</f>
        <v>0</v>
      </c>
      <c r="Q410" s="27">
        <f>IF(D410&lt;1.609,0,IF(B410="F",VLOOKUP(I410,Barem!$W$2:$Y$13,2,1),VLOOKUP(I410,Barem!$W$14:$Y$25,2,1)))</f>
        <v>0</v>
      </c>
      <c r="R410" s="27">
        <f>VLOOKUP(A410,Participanti!A:C,3,0)</f>
        <v>0</v>
      </c>
      <c r="S410" s="21">
        <f t="shared" si="113"/>
        <v>1.4781249999999999</v>
      </c>
      <c r="T410" s="82">
        <v>44526</v>
      </c>
      <c r="U410" s="143">
        <f>COUNTIFS(A:A,A410,C:C,C410)</f>
        <v>1</v>
      </c>
      <c r="V410" s="77" t="str">
        <f>VLOOKUP(A410,Data_echipe!A:U,21,0)</f>
        <v>UltraSYR</v>
      </c>
      <c r="X410" s="154">
        <v>1</v>
      </c>
    </row>
    <row r="411" spans="1:24" x14ac:dyDescent="0.25">
      <c r="A411" s="64" t="s">
        <v>52</v>
      </c>
      <c r="B411" s="77" t="str">
        <f>VLOOKUP(A411,Participanti!A:B,2,0)</f>
        <v>M</v>
      </c>
      <c r="C411" s="139">
        <v>12</v>
      </c>
      <c r="D411" s="66">
        <v>15.22</v>
      </c>
      <c r="E411" s="67">
        <v>6.1666666666666668E-2</v>
      </c>
      <c r="F411" s="67">
        <v>6.400462962962962E-2</v>
      </c>
      <c r="G411" s="100">
        <f t="shared" si="101"/>
        <v>6.283564814814814E-2</v>
      </c>
      <c r="H411" s="68">
        <v>19</v>
      </c>
      <c r="I411" s="112">
        <f t="shared" si="108"/>
        <v>4.128491993965055E-3</v>
      </c>
      <c r="J411" s="92">
        <f t="shared" si="109"/>
        <v>3.6238095238095238</v>
      </c>
      <c r="K411" s="92">
        <f>IF(J411=0,0,IF(B411="F",VLOOKUP(I411,Barem!$G$2:$H$11,2,1),VLOOKUP(I411,Barem!$G$12:$H$21,2,1)))</f>
        <v>1.5</v>
      </c>
      <c r="L411" s="65" t="str">
        <f>VLOOKUP(C411,Barem!L:Q,6,0)</f>
        <v>V</v>
      </c>
      <c r="M411" s="11">
        <f t="shared" si="110"/>
        <v>0.25</v>
      </c>
      <c r="N411" s="11">
        <f t="shared" si="111"/>
        <v>0.75</v>
      </c>
      <c r="O411" s="49">
        <f t="shared" si="112"/>
        <v>0</v>
      </c>
      <c r="P411" s="27">
        <f>IF(D411&gt;21,VLOOKUP(D411,Barem!$S$1:$T$141,2,1),0)</f>
        <v>0</v>
      </c>
      <c r="Q411" s="27">
        <f>IF(D411&lt;1.609,0,IF(B411="F",VLOOKUP(I411,Barem!$W$2:$Y$13,2,1),VLOOKUP(I411,Barem!$W$14:$Y$25,2,1)))</f>
        <v>0</v>
      </c>
      <c r="R411" s="27">
        <f>VLOOKUP(A411,Participanti!A:C,3,0)</f>
        <v>0</v>
      </c>
      <c r="S411" s="21">
        <f t="shared" si="113"/>
        <v>2.0309523809523808</v>
      </c>
      <c r="T411" s="82">
        <v>44527</v>
      </c>
      <c r="U411" s="143">
        <f>COUNTIFS(A:A,A411,C:C,C411)</f>
        <v>1</v>
      </c>
      <c r="V411" s="77" t="e">
        <f>VLOOKUP(A411,Data_echipe!A:U,21,0)</f>
        <v>#N/A</v>
      </c>
      <c r="X411" s="154">
        <v>1</v>
      </c>
    </row>
    <row r="412" spans="1:24" x14ac:dyDescent="0.25">
      <c r="A412" s="64" t="s">
        <v>50</v>
      </c>
      <c r="B412" s="77" t="str">
        <f>VLOOKUP(A412,Participanti!A:B,2,0)</f>
        <v>M</v>
      </c>
      <c r="C412" s="139">
        <v>12</v>
      </c>
      <c r="D412" s="66">
        <v>13.39</v>
      </c>
      <c r="E412" s="67">
        <v>6.987268518518519E-2</v>
      </c>
      <c r="F412" s="67">
        <v>8.965277777777779E-2</v>
      </c>
      <c r="G412" s="100">
        <f t="shared" si="101"/>
        <v>7.9762731481481497E-2</v>
      </c>
      <c r="H412" s="68">
        <v>134</v>
      </c>
      <c r="I412" s="112">
        <f t="shared" si="108"/>
        <v>5.9568880867424566E-3</v>
      </c>
      <c r="J412" s="92">
        <f t="shared" si="109"/>
        <v>3.1880952380952383</v>
      </c>
      <c r="K412" s="92">
        <f>IF(J412=0,0,IF(B412="F",VLOOKUP(I412,Barem!$G$2:$H$11,2,1),VLOOKUP(I412,Barem!$G$12:$H$21,2,1)))</f>
        <v>0</v>
      </c>
      <c r="L412" s="65" t="str">
        <f>VLOOKUP(C412,Barem!L:Q,6,0)</f>
        <v>V</v>
      </c>
      <c r="M412" s="11">
        <f t="shared" si="110"/>
        <v>0.25</v>
      </c>
      <c r="N412" s="11">
        <f t="shared" si="111"/>
        <v>0.75</v>
      </c>
      <c r="O412" s="49">
        <f t="shared" si="112"/>
        <v>8.9333333333333334E-2</v>
      </c>
      <c r="P412" s="27">
        <f>IF(D412&gt;21,VLOOKUP(D412,Barem!$S$1:$T$141,2,1),0)</f>
        <v>0</v>
      </c>
      <c r="Q412" s="27">
        <f>IF(D412&lt;1.609,0,IF(B412="F",VLOOKUP(I412,Barem!$W$2:$Y$13,2,1),VLOOKUP(I412,Barem!$W$14:$Y$25,2,1)))</f>
        <v>0</v>
      </c>
      <c r="R412" s="27">
        <f>VLOOKUP(A412,Participanti!A:C,3,0)</f>
        <v>0.4</v>
      </c>
      <c r="S412" s="21">
        <f t="shared" si="113"/>
        <v>1.286357142857143</v>
      </c>
      <c r="T412" s="82">
        <v>44527</v>
      </c>
      <c r="U412" s="143">
        <f>COUNTIFS(A:A,A412,C:C,C412)</f>
        <v>1</v>
      </c>
      <c r="V412" s="77" t="str">
        <f>VLOOKUP(A412,Data_echipe!A:U,21,0)</f>
        <v>UltraSYR</v>
      </c>
      <c r="X412" s="154"/>
    </row>
    <row r="413" spans="1:24" x14ac:dyDescent="0.25">
      <c r="A413" s="64" t="s">
        <v>202</v>
      </c>
      <c r="B413" s="77" t="str">
        <f>VLOOKUP(A413,Participanti!A:B,2,0)</f>
        <v>F</v>
      </c>
      <c r="C413" s="139">
        <v>12</v>
      </c>
      <c r="D413" s="66">
        <v>6.86</v>
      </c>
      <c r="E413" s="67">
        <v>2.9178240740740741E-2</v>
      </c>
      <c r="F413" s="67">
        <v>3.1296296296296301E-2</v>
      </c>
      <c r="G413" s="100">
        <f t="shared" si="101"/>
        <v>3.0237268518518521E-2</v>
      </c>
      <c r="H413" s="68">
        <v>50</v>
      </c>
      <c r="I413" s="112">
        <f t="shared" si="108"/>
        <v>4.4077650901630499E-3</v>
      </c>
      <c r="J413" s="92">
        <f t="shared" si="109"/>
        <v>1.7150000000000001</v>
      </c>
      <c r="K413" s="92">
        <f>IF(J413=0,0,IF(B413="F",VLOOKUP(I413,Barem!$G$2:$H$11,2,1),VLOOKUP(I413,Barem!$G$12:$H$21,2,1)))</f>
        <v>1.5</v>
      </c>
      <c r="L413" s="110" t="s">
        <v>109</v>
      </c>
      <c r="M413" s="11">
        <f t="shared" si="110"/>
        <v>0.75</v>
      </c>
      <c r="N413" s="11">
        <f t="shared" si="111"/>
        <v>0.25</v>
      </c>
      <c r="O413" s="49">
        <f t="shared" si="112"/>
        <v>3.3333333333333333E-2</v>
      </c>
      <c r="P413" s="27">
        <f>IF(D413&gt;21,VLOOKUP(D413,Barem!$S$1:$T$141,2,1),0)</f>
        <v>0</v>
      </c>
      <c r="Q413" s="27">
        <f>IF(D413&lt;1.609,0,IF(B413="F",VLOOKUP(I413,Barem!$W$2:$Y$13,2,1),VLOOKUP(I413,Barem!$W$14:$Y$25,2,1)))</f>
        <v>0</v>
      </c>
      <c r="R413" s="27">
        <f>VLOOKUP(A413,Participanti!A:C,3,0)</f>
        <v>0</v>
      </c>
      <c r="S413" s="21">
        <f t="shared" si="113"/>
        <v>1.6945833333333336</v>
      </c>
      <c r="T413" s="82">
        <v>44528</v>
      </c>
      <c r="U413" s="143">
        <f>COUNTIFS(A:A,A413,C:C,C413)</f>
        <v>1</v>
      </c>
      <c r="V413" s="77" t="e">
        <f>VLOOKUP(A413,Data_echipe!A:U,21,0)</f>
        <v>#N/A</v>
      </c>
      <c r="X413" s="154">
        <v>1</v>
      </c>
    </row>
    <row r="414" spans="1:24" ht="11.4" customHeight="1" x14ac:dyDescent="0.25">
      <c r="A414" s="64" t="s">
        <v>117</v>
      </c>
      <c r="B414" s="77" t="str">
        <f>VLOOKUP(A414,Participanti!A:B,2,0)</f>
        <v>M</v>
      </c>
      <c r="C414" s="139">
        <v>12</v>
      </c>
      <c r="D414" s="66">
        <v>10.83</v>
      </c>
      <c r="E414" s="67">
        <v>4.6817129629629632E-2</v>
      </c>
      <c r="F414" s="67">
        <v>4.6817129629629632E-2</v>
      </c>
      <c r="G414" s="100">
        <f t="shared" si="101"/>
        <v>4.6817129629629632E-2</v>
      </c>
      <c r="H414" s="68">
        <v>31</v>
      </c>
      <c r="I414" s="112">
        <f t="shared" si="108"/>
        <v>4.3229113231421637E-3</v>
      </c>
      <c r="J414" s="92">
        <f t="shared" si="109"/>
        <v>2.5785714285714283</v>
      </c>
      <c r="K414" s="92">
        <f>IF(J414=0,0,IF(B414="F",VLOOKUP(I414,Barem!$G$2:$H$11,2,1),VLOOKUP(I414,Barem!$G$12:$H$21,2,1)))</f>
        <v>1</v>
      </c>
      <c r="L414" s="110" t="s">
        <v>109</v>
      </c>
      <c r="M414" s="11">
        <f t="shared" si="110"/>
        <v>0.75</v>
      </c>
      <c r="N414" s="11">
        <f t="shared" si="111"/>
        <v>0.25</v>
      </c>
      <c r="O414" s="49">
        <f t="shared" si="112"/>
        <v>0</v>
      </c>
      <c r="P414" s="27">
        <f>IF(D414&gt;21,VLOOKUP(D414,Barem!$S$1:$T$141,2,1),0)</f>
        <v>0</v>
      </c>
      <c r="Q414" s="27">
        <f>IF(D414&lt;1.609,0,IF(B414="F",VLOOKUP(I414,Barem!$W$2:$Y$13,2,1),VLOOKUP(I414,Barem!$W$14:$Y$25,2,1)))</f>
        <v>0</v>
      </c>
      <c r="R414" s="27">
        <f>VLOOKUP(A414,Participanti!A:C,3,0)</f>
        <v>0</v>
      </c>
      <c r="S414" s="21">
        <f t="shared" si="113"/>
        <v>2.183928571428571</v>
      </c>
      <c r="T414" s="82">
        <v>44527</v>
      </c>
      <c r="U414" s="143">
        <f>COUNTIFS(A:A,A414,C:C,C414)</f>
        <v>1</v>
      </c>
      <c r="V414" s="77" t="str">
        <f>VLOOKUP(A414,Data_echipe!A:U,21,0)</f>
        <v>UltraSYR</v>
      </c>
      <c r="X414" s="154">
        <v>1</v>
      </c>
    </row>
    <row r="415" spans="1:24" s="196" customFormat="1" ht="12.6" thickBot="1" x14ac:dyDescent="0.3">
      <c r="A415" s="180" t="s">
        <v>314</v>
      </c>
      <c r="B415" s="181" t="str">
        <f>VLOOKUP(A415,Participanti!A:B,2,0)</f>
        <v>M</v>
      </c>
      <c r="C415" s="197">
        <v>12</v>
      </c>
      <c r="D415" s="183">
        <v>4</v>
      </c>
      <c r="E415" s="184">
        <v>1.1481481481481483E-2</v>
      </c>
      <c r="F415" s="184">
        <v>1.1481481481481483E-2</v>
      </c>
      <c r="G415" s="185">
        <f t="shared" si="101"/>
        <v>1.1481481481481483E-2</v>
      </c>
      <c r="H415" s="186">
        <v>7</v>
      </c>
      <c r="I415" s="187">
        <f t="shared" si="108"/>
        <v>2.8703703703703708E-3</v>
      </c>
      <c r="J415" s="188">
        <f t="shared" si="109"/>
        <v>0.95238095238095233</v>
      </c>
      <c r="K415" s="188">
        <f>IF(J415=0,0,IF(B415="F",VLOOKUP(I415,Barem!$G$2:$H$11,2,1),VLOOKUP(I415,Barem!$G$12:$H$21,2,1)))</f>
        <v>4.5</v>
      </c>
      <c r="L415" s="189" t="str">
        <f>VLOOKUP(C415,Barem!L:Q,6,0)</f>
        <v>V</v>
      </c>
      <c r="M415" s="190">
        <f t="shared" si="110"/>
        <v>0.25</v>
      </c>
      <c r="N415" s="190">
        <f t="shared" si="111"/>
        <v>0.75</v>
      </c>
      <c r="O415" s="191">
        <f t="shared" si="112"/>
        <v>0</v>
      </c>
      <c r="P415" s="192">
        <f>IF(D415&gt;21,VLOOKUP(D415,Barem!$S$1:$T$141,2,1),0)</f>
        <v>0</v>
      </c>
      <c r="Q415" s="192">
        <f>IF(D415&lt;1.609,0,IF(B415="F",VLOOKUP(I415,Barem!$W$2:$Y$13,2,1),VLOOKUP(I415,Barem!$W$14:$Y$25,2,1)))</f>
        <v>0</v>
      </c>
      <c r="R415" s="192">
        <f>VLOOKUP(A415,Participanti!A:C,3,0)</f>
        <v>0</v>
      </c>
      <c r="S415" s="193">
        <f t="shared" si="113"/>
        <v>3.6130952380952381</v>
      </c>
      <c r="T415" s="194">
        <v>44522</v>
      </c>
      <c r="U415" s="195">
        <f>COUNTIFS(A:A,A415,C:C,C415)</f>
        <v>1</v>
      </c>
      <c r="V415" s="181" t="e">
        <f>VLOOKUP(A415,Data_echipe!A:U,21,0)</f>
        <v>#N/A</v>
      </c>
      <c r="X415" s="154">
        <v>1</v>
      </c>
    </row>
    <row r="416" spans="1:24" x14ac:dyDescent="0.25">
      <c r="A416" s="64" t="s">
        <v>242</v>
      </c>
      <c r="B416" s="77" t="str">
        <f>VLOOKUP(A416,Participanti!A:B,2,0)</f>
        <v>M</v>
      </c>
      <c r="C416" s="139">
        <v>13</v>
      </c>
      <c r="D416" s="66">
        <v>10.01</v>
      </c>
      <c r="E416" s="67">
        <v>2.5949074074074072E-2</v>
      </c>
      <c r="F416" s="67">
        <v>2.5949074074074072E-2</v>
      </c>
      <c r="G416" s="100">
        <f t="shared" si="101"/>
        <v>2.5949074074074072E-2</v>
      </c>
      <c r="H416" s="68">
        <v>54</v>
      </c>
      <c r="I416" s="112">
        <f>G416/D416</f>
        <v>2.5923150923150922E-3</v>
      </c>
      <c r="J416" s="92">
        <f>IF(B416="F",IF(D416&lt;2.5,0,IF(D416&gt;19.99,5,D416/4)),IF(D416&lt;3,0, IF(D416&gt;20.99,5,D416/4.2)))</f>
        <v>2.3833333333333333</v>
      </c>
      <c r="K416" s="92">
        <f>IF(J416=0,0,IF(B416="F",VLOOKUP(I416,Barem!$G$2:$H$11,2,1),VLOOKUP(I416,Barem!$G$12:$H$21,2,1)))</f>
        <v>5</v>
      </c>
      <c r="L416" s="110" t="s">
        <v>110</v>
      </c>
      <c r="M416" s="11">
        <f>IF(OR(L416="P1",L416="P2",L416="P3"),"",IF(C416=15,0.5,IF(L416="D",0.75,0.25)))</f>
        <v>0.25</v>
      </c>
      <c r="N416" s="11">
        <f>IF(OR(L416="P1",L416="P2",L416="P3"),"",IF(C416=15,0.5,IF(L416="V",0.75,0.25)))</f>
        <v>0.75</v>
      </c>
      <c r="O416" s="49">
        <f>IF(H416&lt;-49,H416/1500,IF(H416&gt;49,H416/1500,0))</f>
        <v>3.5999999999999997E-2</v>
      </c>
      <c r="P416" s="27">
        <f>IF(D416&gt;21,VLOOKUP(D416,Barem!$S$1:$T$141,2,1),0)</f>
        <v>0</v>
      </c>
      <c r="Q416" s="27">
        <f>IF(D416&lt;1.609,0,IF(B416="F",VLOOKUP(I416,Barem!$W$2:$Y$13,2,1),VLOOKUP(I416,Barem!$W$14:$Y$25,2,1)))</f>
        <v>1.4999999999999998</v>
      </c>
      <c r="R416" s="27">
        <f>VLOOKUP(A416,Participanti!A:C,3,0)</f>
        <v>0</v>
      </c>
      <c r="S416" s="21">
        <f>J416*M416+K416*N416+O416+P416+Q416+R416</f>
        <v>5.8818333333333328</v>
      </c>
      <c r="T416" s="82">
        <v>44530</v>
      </c>
      <c r="U416" s="143">
        <f>COUNTIFS(A:A,A416,C:C,C416)</f>
        <v>1</v>
      </c>
      <c r="V416" s="77" t="str">
        <f>VLOOKUP(A416,Data_echipe!A:U,21,0)</f>
        <v>All Stars</v>
      </c>
      <c r="W416" s="23" t="s">
        <v>351</v>
      </c>
      <c r="X416" s="154">
        <v>1</v>
      </c>
    </row>
    <row r="417" spans="1:24" x14ac:dyDescent="0.25">
      <c r="A417" s="64" t="s">
        <v>152</v>
      </c>
      <c r="B417" s="77" t="str">
        <f>VLOOKUP(A417,Participanti!A:B,2,0)</f>
        <v>F</v>
      </c>
      <c r="C417" s="139">
        <v>13</v>
      </c>
      <c r="D417" s="66">
        <v>13.57</v>
      </c>
      <c r="E417" s="67">
        <v>5.230324074074074E-2</v>
      </c>
      <c r="F417" s="67">
        <v>5.230324074074074E-2</v>
      </c>
      <c r="G417" s="100">
        <f t="shared" si="101"/>
        <v>5.230324074074074E-2</v>
      </c>
      <c r="H417" s="68">
        <v>460</v>
      </c>
      <c r="I417" s="112">
        <f t="shared" ref="I417:I439" si="114">G417/D417</f>
        <v>3.8543287207620292E-3</v>
      </c>
      <c r="J417" s="92">
        <f t="shared" ref="J417:J439" si="115">IF(B417="F",IF(D417&lt;2.5,0,IF(D417&gt;19.99,5,D417/4)),IF(D417&lt;3,0, IF(D417&gt;20.99,5,D417/4.2)))</f>
        <v>3.3925000000000001</v>
      </c>
      <c r="K417" s="92">
        <f>IF(J417=0,0,IF(B417="F",VLOOKUP(I417,Barem!$G$2:$H$11,2,1),VLOOKUP(I417,Barem!$G$12:$H$21,2,1)))</f>
        <v>2.5</v>
      </c>
      <c r="L417" s="65" t="str">
        <f>VLOOKUP(C417,Barem!L:Q,6,0)</f>
        <v>D</v>
      </c>
      <c r="M417" s="11">
        <f t="shared" ref="M417:M439" si="116">IF(OR(L417="P1",L417="P2",L417="P3"),"",IF(C417=15,0.5,IF(L417="D",0.75,0.25)))</f>
        <v>0.75</v>
      </c>
      <c r="N417" s="11">
        <f t="shared" ref="N417:N439" si="117">IF(OR(L417="P1",L417="P2",L417="P3"),"",IF(C417=15,0.5,IF(L417="V",0.75,0.25)))</f>
        <v>0.25</v>
      </c>
      <c r="O417" s="49">
        <f t="shared" ref="O417:O439" si="118">IF(H417&lt;-49,H417/1500,IF(H417&gt;49,H417/1500,0))</f>
        <v>0.30666666666666664</v>
      </c>
      <c r="P417" s="27">
        <f>IF(D417&gt;21,VLOOKUP(D417,Barem!$S$1:$T$141,2,1),0)</f>
        <v>0</v>
      </c>
      <c r="Q417" s="27">
        <f>IF(D417&lt;1.609,0,IF(B417="F",VLOOKUP(I417,Barem!$W$2:$Y$13,2,1),VLOOKUP(I417,Barem!$W$14:$Y$25,2,1)))</f>
        <v>0</v>
      </c>
      <c r="R417" s="27">
        <f>VLOOKUP(A417,Participanti!A:C,3,0)</f>
        <v>0</v>
      </c>
      <c r="S417" s="21">
        <f t="shared" ref="S417:S439" si="119">J417*M417+K417*N417+O417+P417+Q417+R417</f>
        <v>3.4760416666666667</v>
      </c>
      <c r="T417" s="82">
        <v>44531</v>
      </c>
      <c r="U417" s="143">
        <f>COUNTIFS(A:A,A417,C:C,C417)</f>
        <v>1</v>
      </c>
      <c r="V417" s="77" t="str">
        <f>VLOOKUP(A417,Data_echipe!A:U,21,0)</f>
        <v>All Stars</v>
      </c>
      <c r="X417" s="154">
        <v>1</v>
      </c>
    </row>
    <row r="418" spans="1:24" x14ac:dyDescent="0.25">
      <c r="A418" s="64" t="s">
        <v>51</v>
      </c>
      <c r="B418" s="77" t="str">
        <f>VLOOKUP(A418,Participanti!A:B,2,0)</f>
        <v>M</v>
      </c>
      <c r="C418" s="139">
        <v>13</v>
      </c>
      <c r="D418" s="66">
        <v>22.98</v>
      </c>
      <c r="E418" s="67">
        <v>7.4768518518518512E-2</v>
      </c>
      <c r="F418" s="67">
        <v>7.5173611111111108E-2</v>
      </c>
      <c r="G418" s="100">
        <f t="shared" si="101"/>
        <v>7.4971064814814803E-2</v>
      </c>
      <c r="H418" s="68">
        <v>68</v>
      </c>
      <c r="I418" s="112">
        <f t="shared" si="114"/>
        <v>3.2624484253618276E-3</v>
      </c>
      <c r="J418" s="92">
        <f t="shared" si="115"/>
        <v>5</v>
      </c>
      <c r="K418" s="92">
        <f>IF(J418=0,0,IF(B418="F",VLOOKUP(I418,Barem!$G$2:$H$11,2,1),VLOOKUP(I418,Barem!$G$12:$H$21,2,1)))</f>
        <v>3.5</v>
      </c>
      <c r="L418" s="110" t="s">
        <v>110</v>
      </c>
      <c r="M418" s="11">
        <f t="shared" si="116"/>
        <v>0.25</v>
      </c>
      <c r="N418" s="11">
        <f t="shared" si="117"/>
        <v>0.75</v>
      </c>
      <c r="O418" s="49">
        <f t="shared" si="118"/>
        <v>4.5333333333333337E-2</v>
      </c>
      <c r="P418" s="27">
        <f>IF(D418&gt;21,VLOOKUP(D418,Barem!$S$1:$T$141,2,1),0)</f>
        <v>0</v>
      </c>
      <c r="Q418" s="27">
        <f>IF(D418&lt;1.609,0,IF(B418="F",VLOOKUP(I418,Barem!$W$2:$Y$13,2,1),VLOOKUP(I418,Barem!$W$14:$Y$25,2,1)))</f>
        <v>0</v>
      </c>
      <c r="R418" s="27">
        <f>VLOOKUP(A418,Participanti!A:C,3,0)</f>
        <v>0</v>
      </c>
      <c r="S418" s="21">
        <f t="shared" si="119"/>
        <v>3.9203333333333332</v>
      </c>
      <c r="T418" s="82">
        <v>44534</v>
      </c>
      <c r="U418" s="143">
        <f>COUNTIFS(A:A,A418,C:C,C418)</f>
        <v>1</v>
      </c>
      <c r="V418" s="77" t="str">
        <f>VLOOKUP(A418,Data_echipe!A:U,21,0)</f>
        <v>UltraSYR</v>
      </c>
      <c r="X418" s="154">
        <v>1</v>
      </c>
    </row>
    <row r="419" spans="1:24" x14ac:dyDescent="0.25">
      <c r="A419" s="64" t="s">
        <v>211</v>
      </c>
      <c r="B419" s="77" t="str">
        <f>VLOOKUP(A419,Participanti!A:B,2,0)</f>
        <v>F</v>
      </c>
      <c r="C419" s="139">
        <v>13</v>
      </c>
      <c r="D419" s="66">
        <v>3.01</v>
      </c>
      <c r="E419" s="67">
        <v>9.3518518518518525E-3</v>
      </c>
      <c r="F419" s="67">
        <v>9.6296296296296303E-3</v>
      </c>
      <c r="G419" s="100">
        <f t="shared" si="101"/>
        <v>9.4907407407407406E-3</v>
      </c>
      <c r="H419" s="68">
        <v>2</v>
      </c>
      <c r="I419" s="112">
        <f t="shared" si="114"/>
        <v>3.1530700135351301E-3</v>
      </c>
      <c r="J419" s="92">
        <f t="shared" si="115"/>
        <v>0.75249999999999995</v>
      </c>
      <c r="K419" s="92">
        <f>IF(J419=0,0,IF(B419="F",VLOOKUP(I419,Barem!$G$2:$H$11,2,1),VLOOKUP(I419,Barem!$G$12:$H$21,2,1)))</f>
        <v>4.5</v>
      </c>
      <c r="L419" s="110" t="s">
        <v>110</v>
      </c>
      <c r="M419" s="11">
        <f t="shared" si="116"/>
        <v>0.25</v>
      </c>
      <c r="N419" s="11">
        <f t="shared" si="117"/>
        <v>0.75</v>
      </c>
      <c r="O419" s="49">
        <f t="shared" si="118"/>
        <v>0</v>
      </c>
      <c r="P419" s="27">
        <f>IF(D419&gt;21,VLOOKUP(D419,Barem!$S$1:$T$141,2,1),0)</f>
        <v>0</v>
      </c>
      <c r="Q419" s="27">
        <f>IF(D419&lt;1.609,0,IF(B419="F",VLOOKUP(I419,Barem!$W$2:$Y$13,2,1),VLOOKUP(I419,Barem!$W$14:$Y$25,2,1)))</f>
        <v>0</v>
      </c>
      <c r="R419" s="27">
        <f>VLOOKUP(A419,Participanti!A:C,3,0)</f>
        <v>0</v>
      </c>
      <c r="S419" s="21">
        <f t="shared" si="119"/>
        <v>3.5631249999999999</v>
      </c>
      <c r="T419" s="82">
        <v>44534</v>
      </c>
      <c r="U419" s="143">
        <f>COUNTIFS(A:A,A419,C:C,C419)</f>
        <v>1</v>
      </c>
      <c r="V419" s="77" t="str">
        <f>VLOOKUP(A419,Data_echipe!A:U,21,0)</f>
        <v>UltraSYR</v>
      </c>
      <c r="X419" s="154">
        <v>1</v>
      </c>
    </row>
    <row r="420" spans="1:24" x14ac:dyDescent="0.25">
      <c r="A420" s="64" t="s">
        <v>203</v>
      </c>
      <c r="B420" s="77" t="str">
        <f>VLOOKUP(A420,Participanti!A:B,2,0)</f>
        <v>M</v>
      </c>
      <c r="C420" s="139">
        <v>13</v>
      </c>
      <c r="D420" s="66">
        <v>51.93</v>
      </c>
      <c r="E420" s="67">
        <v>0.20979166666666668</v>
      </c>
      <c r="F420" s="67">
        <v>0.21231481481481482</v>
      </c>
      <c r="G420" s="100">
        <f t="shared" si="101"/>
        <v>0.21105324074074075</v>
      </c>
      <c r="H420" s="68">
        <v>1761</v>
      </c>
      <c r="I420" s="112">
        <f t="shared" si="114"/>
        <v>4.064187189307544E-3</v>
      </c>
      <c r="J420" s="92">
        <f t="shared" si="115"/>
        <v>5</v>
      </c>
      <c r="K420" s="92">
        <f>IF(J420=0,0,IF(B420="F",VLOOKUP(I420,Barem!$G$2:$H$11,2,1),VLOOKUP(I420,Barem!$G$12:$H$21,2,1)))</f>
        <v>1.5</v>
      </c>
      <c r="L420" s="65" t="str">
        <f>VLOOKUP(C420,Barem!L:Q,6,0)</f>
        <v>D</v>
      </c>
      <c r="M420" s="11">
        <f t="shared" si="116"/>
        <v>0.75</v>
      </c>
      <c r="N420" s="11">
        <f t="shared" si="117"/>
        <v>0.25</v>
      </c>
      <c r="O420" s="49">
        <f t="shared" si="118"/>
        <v>1.1739999999999999</v>
      </c>
      <c r="P420" s="27">
        <f>IF(D420&gt;21,VLOOKUP(D420,Barem!$S$1:$T$141,2,1),0)</f>
        <v>1.5</v>
      </c>
      <c r="Q420" s="27">
        <f>IF(D420&lt;1.609,0,IF(B420="F",VLOOKUP(I420,Barem!$W$2:$Y$13,2,1),VLOOKUP(I420,Barem!$W$14:$Y$25,2,1)))</f>
        <v>0</v>
      </c>
      <c r="R420" s="27">
        <f>VLOOKUP(A420,Participanti!A:C,3,0)</f>
        <v>0</v>
      </c>
      <c r="S420" s="21">
        <f t="shared" si="119"/>
        <v>6.7989999999999995</v>
      </c>
      <c r="T420" s="82">
        <v>44531</v>
      </c>
      <c r="U420" s="143">
        <f>COUNTIFS(A:A,A420,C:C,C420)</f>
        <v>1</v>
      </c>
      <c r="V420" s="77" t="str">
        <f>VLOOKUP(A420,Data_echipe!A:U,21,0)</f>
        <v>All Stars</v>
      </c>
      <c r="X420" s="154">
        <v>1</v>
      </c>
    </row>
    <row r="421" spans="1:24" x14ac:dyDescent="0.25">
      <c r="A421" s="64" t="s">
        <v>53</v>
      </c>
      <c r="B421" s="77" t="str">
        <f>VLOOKUP(A421,Participanti!A:B,2,0)</f>
        <v>M</v>
      </c>
      <c r="C421" s="139">
        <v>13</v>
      </c>
      <c r="D421" s="66">
        <v>30.44</v>
      </c>
      <c r="E421" s="67">
        <v>0.11208333333333333</v>
      </c>
      <c r="F421" s="67">
        <v>0.12068287037037036</v>
      </c>
      <c r="G421" s="100">
        <f t="shared" si="101"/>
        <v>0.11638310185185184</v>
      </c>
      <c r="H421" s="68">
        <v>838</v>
      </c>
      <c r="I421" s="112">
        <f t="shared" si="114"/>
        <v>3.8233607704287725E-3</v>
      </c>
      <c r="J421" s="92">
        <f t="shared" si="115"/>
        <v>5</v>
      </c>
      <c r="K421" s="92">
        <f>IF(J421=0,0,IF(B421="F",VLOOKUP(I421,Barem!$G$2:$H$11,2,1),VLOOKUP(I421,Barem!$G$12:$H$21,2,1)))</f>
        <v>2</v>
      </c>
      <c r="L421" s="65" t="str">
        <f>VLOOKUP(C421,Barem!L:Q,6,0)</f>
        <v>D</v>
      </c>
      <c r="M421" s="11">
        <f t="shared" si="116"/>
        <v>0.75</v>
      </c>
      <c r="N421" s="11">
        <f t="shared" si="117"/>
        <v>0.25</v>
      </c>
      <c r="O421" s="49">
        <f t="shared" si="118"/>
        <v>0.55866666666666664</v>
      </c>
      <c r="P421" s="27">
        <f>IF(D421&gt;21,VLOOKUP(D421,Barem!$S$1:$T$141,2,1),0)</f>
        <v>0.4</v>
      </c>
      <c r="Q421" s="27">
        <f>IF(D421&lt;1.609,0,IF(B421="F",VLOOKUP(I421,Barem!$W$2:$Y$13,2,1),VLOOKUP(I421,Barem!$W$14:$Y$25,2,1)))</f>
        <v>0</v>
      </c>
      <c r="R421" s="27">
        <f>VLOOKUP(A421,Participanti!A:C,3,0)</f>
        <v>0</v>
      </c>
      <c r="S421" s="21">
        <f t="shared" si="119"/>
        <v>5.2086666666666668</v>
      </c>
      <c r="T421" s="82">
        <v>44535</v>
      </c>
      <c r="U421" s="143">
        <f>COUNTIFS(A:A,A421,C:C,C421)</f>
        <v>1</v>
      </c>
      <c r="V421" s="77" t="str">
        <f>VLOOKUP(A421,Data_echipe!A:U,21,0)</f>
        <v>UltraSYR</v>
      </c>
      <c r="X421" s="154">
        <v>1</v>
      </c>
    </row>
    <row r="422" spans="1:24" x14ac:dyDescent="0.25">
      <c r="A422" s="64" t="s">
        <v>119</v>
      </c>
      <c r="B422" s="77" t="str">
        <f>VLOOKUP(A422,Participanti!A:B,2,0)</f>
        <v>M</v>
      </c>
      <c r="C422" s="139">
        <v>13</v>
      </c>
      <c r="D422" s="66">
        <v>20.76</v>
      </c>
      <c r="E422" s="67">
        <v>6.0462962962962961E-2</v>
      </c>
      <c r="F422" s="67">
        <v>6.0486111111111109E-2</v>
      </c>
      <c r="G422" s="100">
        <f t="shared" si="101"/>
        <v>6.0474537037037035E-2</v>
      </c>
      <c r="H422" s="68">
        <v>56</v>
      </c>
      <c r="I422" s="112">
        <f t="shared" si="114"/>
        <v>2.9130316491829014E-3</v>
      </c>
      <c r="J422" s="92">
        <f t="shared" si="115"/>
        <v>4.9428571428571431</v>
      </c>
      <c r="K422" s="92">
        <f>IF(J422=0,0,IF(B422="F",VLOOKUP(I422,Barem!$G$2:$H$11,2,1),VLOOKUP(I422,Barem!$G$12:$H$21,2,1)))</f>
        <v>4.5</v>
      </c>
      <c r="L422" s="65" t="str">
        <f>VLOOKUP(C422,Barem!L:Q,6,0)</f>
        <v>D</v>
      </c>
      <c r="M422" s="11">
        <f t="shared" si="116"/>
        <v>0.75</v>
      </c>
      <c r="N422" s="11">
        <f t="shared" si="117"/>
        <v>0.25</v>
      </c>
      <c r="O422" s="49">
        <f t="shared" si="118"/>
        <v>3.7333333333333336E-2</v>
      </c>
      <c r="P422" s="27">
        <f>IF(D422&gt;21,VLOOKUP(D422,Barem!$S$1:$T$141,2,1),0)</f>
        <v>0</v>
      </c>
      <c r="Q422" s="27">
        <f>IF(D422&lt;1.609,0,IF(B422="F",VLOOKUP(I422,Barem!$W$2:$Y$13,2,1),VLOOKUP(I422,Barem!$W$14:$Y$25,2,1)))</f>
        <v>0</v>
      </c>
      <c r="R422" s="27">
        <f>VLOOKUP(A422,Participanti!A:C,3,0)</f>
        <v>0</v>
      </c>
      <c r="S422" s="21">
        <f t="shared" si="119"/>
        <v>4.869476190476191</v>
      </c>
      <c r="T422" s="82">
        <v>44531</v>
      </c>
      <c r="U422" s="143">
        <f>COUNTIFS(A:A,A422,C:C,C422)</f>
        <v>1</v>
      </c>
      <c r="V422" s="77" t="e">
        <f>VLOOKUP(A422,Data_echipe!A:U,21,0)</f>
        <v>#N/A</v>
      </c>
      <c r="X422" s="154">
        <v>1</v>
      </c>
    </row>
    <row r="423" spans="1:24" x14ac:dyDescent="0.25">
      <c r="A423" s="64" t="s">
        <v>240</v>
      </c>
      <c r="B423" s="77" t="str">
        <f>VLOOKUP(A423,Participanti!A:B,2,0)</f>
        <v>M</v>
      </c>
      <c r="C423" s="139">
        <v>13</v>
      </c>
      <c r="D423" s="66">
        <v>21.1</v>
      </c>
      <c r="E423" s="67">
        <v>6.3599537037037038E-2</v>
      </c>
      <c r="F423" s="67">
        <v>6.40162037037037E-2</v>
      </c>
      <c r="G423" s="100">
        <f t="shared" si="101"/>
        <v>6.3807870370370362E-2</v>
      </c>
      <c r="H423" s="68">
        <v>61</v>
      </c>
      <c r="I423" s="112">
        <f t="shared" si="114"/>
        <v>3.0240696857995429E-3</v>
      </c>
      <c r="J423" s="92">
        <f t="shared" si="115"/>
        <v>5</v>
      </c>
      <c r="K423" s="92">
        <f>IF(J423=0,0,IF(B423="F",VLOOKUP(I423,Barem!$G$2:$H$11,2,1),VLOOKUP(I423,Barem!$G$12:$H$21,2,1)))</f>
        <v>4</v>
      </c>
      <c r="L423" s="110" t="s">
        <v>110</v>
      </c>
      <c r="M423" s="11">
        <f t="shared" si="116"/>
        <v>0.25</v>
      </c>
      <c r="N423" s="11">
        <f t="shared" si="117"/>
        <v>0.75</v>
      </c>
      <c r="O423" s="49">
        <f t="shared" si="118"/>
        <v>4.0666666666666663E-2</v>
      </c>
      <c r="P423" s="27">
        <f>IF(D423&gt;21,VLOOKUP(D423,Barem!$S$1:$T$141,2,1),0)</f>
        <v>0</v>
      </c>
      <c r="Q423" s="27">
        <f>IF(D423&lt;1.609,0,IF(B423="F",VLOOKUP(I423,Barem!$W$2:$Y$13,2,1),VLOOKUP(I423,Barem!$W$14:$Y$25,2,1)))</f>
        <v>0</v>
      </c>
      <c r="R423" s="27">
        <f>VLOOKUP(A423,Participanti!A:C,3,0)</f>
        <v>0</v>
      </c>
      <c r="S423" s="21">
        <f t="shared" si="119"/>
        <v>4.2906666666666666</v>
      </c>
      <c r="T423" s="82">
        <v>44531</v>
      </c>
      <c r="U423" s="143">
        <f>COUNTIFS(A:A,A423,C:C,C423)</f>
        <v>1</v>
      </c>
      <c r="V423" s="77" t="str">
        <f>VLOOKUP(A423,Data_echipe!A:U,21,0)</f>
        <v>All Stars</v>
      </c>
      <c r="X423" s="154">
        <v>1</v>
      </c>
    </row>
    <row r="424" spans="1:24" x14ac:dyDescent="0.25">
      <c r="A424" s="64" t="s">
        <v>118</v>
      </c>
      <c r="B424" s="77" t="str">
        <f>VLOOKUP(A424,Participanti!A:B,2,0)</f>
        <v>M</v>
      </c>
      <c r="C424" s="139">
        <v>13</v>
      </c>
      <c r="D424" s="66">
        <v>20.86</v>
      </c>
      <c r="E424" s="67">
        <v>6.4409722222222229E-2</v>
      </c>
      <c r="F424" s="67">
        <v>6.4409722222222229E-2</v>
      </c>
      <c r="G424" s="100">
        <f t="shared" si="101"/>
        <v>6.4409722222222229E-2</v>
      </c>
      <c r="H424" s="68">
        <v>84</v>
      </c>
      <c r="I424" s="112">
        <f t="shared" si="114"/>
        <v>3.0877143922445941E-3</v>
      </c>
      <c r="J424" s="92">
        <f t="shared" si="115"/>
        <v>4.9666666666666659</v>
      </c>
      <c r="K424" s="92">
        <f>IF(J424=0,0,IF(B424="F",VLOOKUP(I424,Barem!$G$2:$H$11,2,1),VLOOKUP(I424,Barem!$G$12:$H$21,2,1)))</f>
        <v>4</v>
      </c>
      <c r="L424" s="65" t="str">
        <f>VLOOKUP(C424,Barem!L:Q,6,0)</f>
        <v>D</v>
      </c>
      <c r="M424" s="11">
        <f t="shared" si="116"/>
        <v>0.75</v>
      </c>
      <c r="N424" s="11">
        <f t="shared" si="117"/>
        <v>0.25</v>
      </c>
      <c r="O424" s="49">
        <f t="shared" si="118"/>
        <v>5.6000000000000001E-2</v>
      </c>
      <c r="P424" s="27">
        <f>IF(D424&gt;21,VLOOKUP(D424,Barem!$S$1:$T$141,2,1),0)</f>
        <v>0</v>
      </c>
      <c r="Q424" s="27">
        <f>IF(D424&lt;1.609,0,IF(B424="F",VLOOKUP(I424,Barem!$W$2:$Y$13,2,1),VLOOKUP(I424,Barem!$W$14:$Y$25,2,1)))</f>
        <v>0</v>
      </c>
      <c r="R424" s="27">
        <f>VLOOKUP(A424,Participanti!A:C,3,0)</f>
        <v>0</v>
      </c>
      <c r="S424" s="21">
        <f t="shared" si="119"/>
        <v>4.7809999999999997</v>
      </c>
      <c r="T424" s="82">
        <v>44531</v>
      </c>
      <c r="U424" s="143">
        <f>COUNTIFS(A:A,A424,C:C,C424)</f>
        <v>1</v>
      </c>
      <c r="V424" s="77" t="str">
        <f>VLOOKUP(A424,Data_echipe!A:U,21,0)</f>
        <v>UltraSYR</v>
      </c>
      <c r="X424" s="154">
        <v>1</v>
      </c>
    </row>
    <row r="425" spans="1:24" x14ac:dyDescent="0.25">
      <c r="A425" s="64" t="s">
        <v>49</v>
      </c>
      <c r="B425" s="77" t="str">
        <f>VLOOKUP(A425,Participanti!A:B,2,0)</f>
        <v>M</v>
      </c>
      <c r="C425" s="139">
        <v>13</v>
      </c>
      <c r="D425" s="66">
        <v>15.63</v>
      </c>
      <c r="E425" s="67">
        <v>5.5335648148148148E-2</v>
      </c>
      <c r="F425" s="67">
        <v>5.5694444444444442E-2</v>
      </c>
      <c r="G425" s="100">
        <f t="shared" si="101"/>
        <v>5.5515046296296292E-2</v>
      </c>
      <c r="H425" s="68">
        <v>16</v>
      </c>
      <c r="I425" s="112">
        <f t="shared" si="114"/>
        <v>3.5518263785218355E-3</v>
      </c>
      <c r="J425" s="92">
        <f t="shared" si="115"/>
        <v>3.7214285714285715</v>
      </c>
      <c r="K425" s="92">
        <f>IF(J425=0,0,IF(B425="F",VLOOKUP(I425,Barem!$G$2:$H$11,2,1),VLOOKUP(I425,Barem!$G$12:$H$21,2,1)))</f>
        <v>2.5</v>
      </c>
      <c r="L425" s="65" t="str">
        <f>VLOOKUP(C425,Barem!L:Q,6,0)</f>
        <v>D</v>
      </c>
      <c r="M425" s="11">
        <f t="shared" si="116"/>
        <v>0.75</v>
      </c>
      <c r="N425" s="11">
        <f t="shared" si="117"/>
        <v>0.25</v>
      </c>
      <c r="O425" s="49">
        <f t="shared" si="118"/>
        <v>0</v>
      </c>
      <c r="P425" s="27">
        <f>IF(D425&gt;21,VLOOKUP(D425,Barem!$S$1:$T$141,2,1),0)</f>
        <v>0</v>
      </c>
      <c r="Q425" s="27">
        <f>IF(D425&lt;1.609,0,IF(B425="F",VLOOKUP(I425,Barem!$W$2:$Y$13,2,1),VLOOKUP(I425,Barem!$W$14:$Y$25,2,1)))</f>
        <v>0</v>
      </c>
      <c r="R425" s="27">
        <f>VLOOKUP(A425,Participanti!A:C,3,0)</f>
        <v>0</v>
      </c>
      <c r="S425" s="21">
        <f t="shared" si="119"/>
        <v>3.4160714285714286</v>
      </c>
      <c r="T425" s="82">
        <v>44534</v>
      </c>
      <c r="U425" s="143">
        <f>COUNTIFS(A:A,A425,C:C,C425)</f>
        <v>1</v>
      </c>
      <c r="V425" s="77" t="str">
        <f>VLOOKUP(A425,Data_echipe!A:U,21,0)</f>
        <v>All Stars</v>
      </c>
      <c r="X425" s="154">
        <v>1</v>
      </c>
    </row>
    <row r="426" spans="1:24" x14ac:dyDescent="0.25">
      <c r="A426" s="64" t="s">
        <v>102</v>
      </c>
      <c r="B426" s="77" t="str">
        <f>VLOOKUP(A426,Participanti!A:B,2,0)</f>
        <v>M</v>
      </c>
      <c r="C426" s="139">
        <v>13</v>
      </c>
      <c r="D426" s="66">
        <v>20.66</v>
      </c>
      <c r="E426" s="67">
        <v>6.0532407407407403E-2</v>
      </c>
      <c r="F426" s="67">
        <v>6.0532407407407403E-2</v>
      </c>
      <c r="G426" s="100">
        <f t="shared" si="101"/>
        <v>6.0532407407407403E-2</v>
      </c>
      <c r="H426" s="68">
        <v>94</v>
      </c>
      <c r="I426" s="112">
        <f t="shared" si="114"/>
        <v>2.9299325947438237E-3</v>
      </c>
      <c r="J426" s="92">
        <f t="shared" si="115"/>
        <v>4.9190476190476184</v>
      </c>
      <c r="K426" s="92">
        <f>IF(J426=0,0,IF(B426="F",VLOOKUP(I426,Barem!$G$2:$H$11,2,1),VLOOKUP(I426,Barem!$G$12:$H$21,2,1)))</f>
        <v>4.5</v>
      </c>
      <c r="L426" s="65" t="str">
        <f>VLOOKUP(C426,Barem!L:Q,6,0)</f>
        <v>D</v>
      </c>
      <c r="M426" s="11">
        <f t="shared" si="116"/>
        <v>0.75</v>
      </c>
      <c r="N426" s="11">
        <f t="shared" si="117"/>
        <v>0.25</v>
      </c>
      <c r="O426" s="49">
        <f t="shared" si="118"/>
        <v>6.2666666666666662E-2</v>
      </c>
      <c r="P426" s="27">
        <f>IF(D426&gt;21,VLOOKUP(D426,Barem!$S$1:$T$141,2,1),0)</f>
        <v>0</v>
      </c>
      <c r="Q426" s="27">
        <f>IF(D426&lt;1.609,0,IF(B426="F",VLOOKUP(I426,Barem!$W$2:$Y$13,2,1),VLOOKUP(I426,Barem!$W$14:$Y$25,2,1)))</f>
        <v>0</v>
      </c>
      <c r="R426" s="27">
        <f>VLOOKUP(A426,Participanti!A:C,3,0)</f>
        <v>0</v>
      </c>
      <c r="S426" s="21">
        <f t="shared" si="119"/>
        <v>4.8769523809523809</v>
      </c>
      <c r="T426" s="82">
        <v>44531</v>
      </c>
      <c r="U426" s="143">
        <f>COUNTIFS(A:A,A426,C:C,C426)</f>
        <v>1</v>
      </c>
      <c r="V426" s="77" t="str">
        <f>VLOOKUP(A426,Data_echipe!A:U,21,0)</f>
        <v>All Stars</v>
      </c>
      <c r="X426" s="154">
        <v>1</v>
      </c>
    </row>
    <row r="427" spans="1:24" x14ac:dyDescent="0.25">
      <c r="A427" s="64" t="s">
        <v>67</v>
      </c>
      <c r="B427" s="77" t="str">
        <f>VLOOKUP(A427,Participanti!A:B,2,0)</f>
        <v>M</v>
      </c>
      <c r="C427" s="139">
        <v>13</v>
      </c>
      <c r="D427" s="66">
        <v>21.19</v>
      </c>
      <c r="E427" s="67">
        <v>7.5833333333333336E-2</v>
      </c>
      <c r="F427" s="67">
        <v>7.962962962962962E-2</v>
      </c>
      <c r="G427" s="100">
        <f t="shared" si="101"/>
        <v>7.7731481481481485E-2</v>
      </c>
      <c r="H427" s="68">
        <v>45</v>
      </c>
      <c r="I427" s="112">
        <f t="shared" si="114"/>
        <v>3.6683096499047418E-3</v>
      </c>
      <c r="J427" s="92">
        <f t="shared" si="115"/>
        <v>5</v>
      </c>
      <c r="K427" s="92">
        <f>IF(J427=0,0,IF(B427="F",VLOOKUP(I427,Barem!$G$2:$H$11,2,1),VLOOKUP(I427,Barem!$G$12:$H$21,2,1)))</f>
        <v>2</v>
      </c>
      <c r="L427" s="65" t="str">
        <f>VLOOKUP(C427,Barem!L:Q,6,0)</f>
        <v>D</v>
      </c>
      <c r="M427" s="11">
        <f t="shared" si="116"/>
        <v>0.75</v>
      </c>
      <c r="N427" s="11">
        <f t="shared" si="117"/>
        <v>0.25</v>
      </c>
      <c r="O427" s="49">
        <f t="shared" si="118"/>
        <v>0</v>
      </c>
      <c r="P427" s="27">
        <f>IF(D427&gt;21,VLOOKUP(D427,Barem!$S$1:$T$141,2,1),0)</f>
        <v>0</v>
      </c>
      <c r="Q427" s="27">
        <f>IF(D427&lt;1.609,0,IF(B427="F",VLOOKUP(I427,Barem!$W$2:$Y$13,2,1),VLOOKUP(I427,Barem!$W$14:$Y$25,2,1)))</f>
        <v>0</v>
      </c>
      <c r="R427" s="27">
        <f>VLOOKUP(A427,Participanti!A:C,3,0)</f>
        <v>0</v>
      </c>
      <c r="S427" s="21">
        <f t="shared" si="119"/>
        <v>4.25</v>
      </c>
      <c r="T427" s="82">
        <v>44534</v>
      </c>
      <c r="U427" s="143">
        <f>COUNTIFS(A:A,A427,C:C,C427)</f>
        <v>1</v>
      </c>
      <c r="V427" s="77" t="e">
        <f>VLOOKUP(A427,Data_echipe!A:U,21,0)</f>
        <v>#N/A</v>
      </c>
      <c r="X427" s="154">
        <v>1</v>
      </c>
    </row>
    <row r="428" spans="1:24" x14ac:dyDescent="0.25">
      <c r="A428" s="64" t="s">
        <v>61</v>
      </c>
      <c r="B428" s="77" t="str">
        <f>VLOOKUP(A428,Participanti!A:B,2,0)</f>
        <v>M</v>
      </c>
      <c r="C428" s="139">
        <v>13</v>
      </c>
      <c r="D428" s="66">
        <v>7.08</v>
      </c>
      <c r="E428" s="67">
        <v>2.1886574074074072E-2</v>
      </c>
      <c r="F428" s="67">
        <v>2.1886574074074072E-2</v>
      </c>
      <c r="G428" s="100">
        <f t="shared" ref="G428:G489" si="120">AVERAGE(E428:F428)</f>
        <v>2.1886574074074072E-2</v>
      </c>
      <c r="H428" s="68">
        <v>2</v>
      </c>
      <c r="I428" s="112">
        <f t="shared" si="114"/>
        <v>3.0913240217618747E-3</v>
      </c>
      <c r="J428" s="92">
        <f t="shared" si="115"/>
        <v>1.6857142857142857</v>
      </c>
      <c r="K428" s="92">
        <f>IF(J428=0,0,IF(B428="F",VLOOKUP(I428,Barem!$G$2:$H$11,2,1),VLOOKUP(I428,Barem!$G$12:$H$21,2,1)))</f>
        <v>4</v>
      </c>
      <c r="L428" s="110" t="s">
        <v>110</v>
      </c>
      <c r="M428" s="11">
        <f t="shared" si="116"/>
        <v>0.25</v>
      </c>
      <c r="N428" s="11">
        <f t="shared" si="117"/>
        <v>0.75</v>
      </c>
      <c r="O428" s="49">
        <f t="shared" si="118"/>
        <v>0</v>
      </c>
      <c r="P428" s="27">
        <f>IF(D428&gt;21,VLOOKUP(D428,Barem!$S$1:$T$141,2,1),0)</f>
        <v>0</v>
      </c>
      <c r="Q428" s="27">
        <f>IF(D428&lt;1.609,0,IF(B428="F",VLOOKUP(I428,Barem!$W$2:$Y$13,2,1),VLOOKUP(I428,Barem!$W$14:$Y$25,2,1)))</f>
        <v>0</v>
      </c>
      <c r="R428" s="27">
        <f>VLOOKUP(A428,Participanti!A:C,3,0)</f>
        <v>0</v>
      </c>
      <c r="S428" s="21">
        <f t="shared" si="119"/>
        <v>3.4214285714285713</v>
      </c>
      <c r="T428" s="82">
        <v>44531</v>
      </c>
      <c r="U428" s="143">
        <f>COUNTIFS(A:A,A428,C:C,C428)</f>
        <v>1</v>
      </c>
      <c r="V428" s="77" t="str">
        <f>VLOOKUP(A428,Data_echipe!A:U,21,0)</f>
        <v>UltraSYR</v>
      </c>
      <c r="X428" s="154">
        <v>1</v>
      </c>
    </row>
    <row r="429" spans="1:24" x14ac:dyDescent="0.25">
      <c r="A429" s="64" t="s">
        <v>239</v>
      </c>
      <c r="B429" s="77" t="str">
        <f>VLOOKUP(A429,Participanti!A:B,2,0)</f>
        <v>M</v>
      </c>
      <c r="C429" s="139">
        <v>13</v>
      </c>
      <c r="D429" s="66">
        <v>13.64</v>
      </c>
      <c r="E429" s="67">
        <v>5.1527777777777777E-2</v>
      </c>
      <c r="F429" s="67">
        <v>5.1574074074074078E-2</v>
      </c>
      <c r="G429" s="100">
        <f t="shared" si="120"/>
        <v>5.1550925925925931E-2</v>
      </c>
      <c r="H429" s="68">
        <v>445</v>
      </c>
      <c r="I429" s="112">
        <f t="shared" si="114"/>
        <v>3.7793933963288806E-3</v>
      </c>
      <c r="J429" s="92">
        <f t="shared" si="115"/>
        <v>3.2476190476190476</v>
      </c>
      <c r="K429" s="92">
        <f>IF(J429=0,0,IF(B429="F",VLOOKUP(I429,Barem!$G$2:$H$11,2,1),VLOOKUP(I429,Barem!$G$12:$H$21,2,1)))</f>
        <v>2</v>
      </c>
      <c r="L429" s="65" t="str">
        <f>VLOOKUP(C429,Barem!L:Q,6,0)</f>
        <v>D</v>
      </c>
      <c r="M429" s="11">
        <f t="shared" si="116"/>
        <v>0.75</v>
      </c>
      <c r="N429" s="11">
        <f t="shared" si="117"/>
        <v>0.25</v>
      </c>
      <c r="O429" s="49">
        <f t="shared" si="118"/>
        <v>0.29666666666666669</v>
      </c>
      <c r="P429" s="27">
        <f>IF(D429&gt;21,VLOOKUP(D429,Barem!$S$1:$T$141,2,1),0)</f>
        <v>0</v>
      </c>
      <c r="Q429" s="27">
        <f>IF(D429&lt;1.609,0,IF(B429="F",VLOOKUP(I429,Barem!$W$2:$Y$13,2,1),VLOOKUP(I429,Barem!$W$14:$Y$25,2,1)))</f>
        <v>0</v>
      </c>
      <c r="R429" s="27">
        <f>VLOOKUP(A429,Participanti!A:C,3,0)</f>
        <v>0</v>
      </c>
      <c r="S429" s="21">
        <f t="shared" si="119"/>
        <v>3.2323809523809528</v>
      </c>
      <c r="T429" s="82">
        <v>44531</v>
      </c>
      <c r="U429" s="143">
        <f>COUNTIFS(A:A,A429,C:C,C429)</f>
        <v>1</v>
      </c>
      <c r="V429" s="77" t="str">
        <f>VLOOKUP(A429,Data_echipe!A:U,21,0)</f>
        <v>All Stars</v>
      </c>
      <c r="X429" s="154">
        <v>1</v>
      </c>
    </row>
    <row r="430" spans="1:24" x14ac:dyDescent="0.25">
      <c r="A430" s="64" t="s">
        <v>153</v>
      </c>
      <c r="B430" s="77" t="str">
        <f>VLOOKUP(A430,Participanti!A:B,2,0)</f>
        <v>F</v>
      </c>
      <c r="C430" s="139">
        <v>13</v>
      </c>
      <c r="D430" s="66">
        <v>11.01</v>
      </c>
      <c r="E430" s="67">
        <v>4.0706018518518523E-2</v>
      </c>
      <c r="F430" s="67">
        <v>4.0740740740740737E-2</v>
      </c>
      <c r="G430" s="100">
        <f t="shared" si="120"/>
        <v>4.072337962962963E-2</v>
      </c>
      <c r="H430" s="68">
        <v>71</v>
      </c>
      <c r="I430" s="112">
        <f t="shared" si="114"/>
        <v>3.6987629091398393E-3</v>
      </c>
      <c r="J430" s="92">
        <f t="shared" si="115"/>
        <v>2.7524999999999999</v>
      </c>
      <c r="K430" s="92">
        <f>IF(J430=0,0,IF(B430="F",VLOOKUP(I430,Barem!$G$2:$H$11,2,1),VLOOKUP(I430,Barem!$G$12:$H$21,2,1)))</f>
        <v>3</v>
      </c>
      <c r="L430" s="65" t="str">
        <f>VLOOKUP(C430,Barem!L:Q,6,0)</f>
        <v>D</v>
      </c>
      <c r="M430" s="11">
        <f t="shared" si="116"/>
        <v>0.75</v>
      </c>
      <c r="N430" s="11">
        <f t="shared" si="117"/>
        <v>0.25</v>
      </c>
      <c r="O430" s="49">
        <f t="shared" si="118"/>
        <v>4.7333333333333331E-2</v>
      </c>
      <c r="P430" s="27">
        <f>IF(D430&gt;21,VLOOKUP(D430,Barem!$S$1:$T$141,2,1),0)</f>
        <v>0</v>
      </c>
      <c r="Q430" s="27">
        <f>IF(D430&lt;1.609,0,IF(B430="F",VLOOKUP(I430,Barem!$W$2:$Y$13,2,1),VLOOKUP(I430,Barem!$W$14:$Y$25,2,1)))</f>
        <v>0</v>
      </c>
      <c r="R430" s="27">
        <f>VLOOKUP(A430,Participanti!A:C,3,0)</f>
        <v>0</v>
      </c>
      <c r="S430" s="21">
        <f t="shared" si="119"/>
        <v>2.8617083333333335</v>
      </c>
      <c r="T430" s="82">
        <v>44532</v>
      </c>
      <c r="U430" s="143">
        <f>COUNTIFS(A:A,A430,C:C,C430)</f>
        <v>1</v>
      </c>
      <c r="V430" s="77" t="str">
        <f>VLOOKUP(A430,Data_echipe!A:U,21,0)</f>
        <v>All Stars</v>
      </c>
      <c r="X430" s="154">
        <v>1</v>
      </c>
    </row>
    <row r="431" spans="1:24" x14ac:dyDescent="0.25">
      <c r="A431" s="64" t="s">
        <v>7</v>
      </c>
      <c r="B431" s="77" t="str">
        <f>VLOOKUP(A431,Participanti!A:B,2,0)</f>
        <v>M</v>
      </c>
      <c r="C431" s="139">
        <v>13</v>
      </c>
      <c r="D431" s="66">
        <v>11.24</v>
      </c>
      <c r="E431" s="67">
        <v>3.5046296296296298E-2</v>
      </c>
      <c r="F431" s="67">
        <v>3.5046296296296298E-2</v>
      </c>
      <c r="G431" s="100">
        <f t="shared" si="120"/>
        <v>3.5046296296296298E-2</v>
      </c>
      <c r="H431" s="68">
        <v>66</v>
      </c>
      <c r="I431" s="112">
        <f t="shared" si="114"/>
        <v>3.1179978911295638E-3</v>
      </c>
      <c r="J431" s="92">
        <f t="shared" si="115"/>
        <v>2.676190476190476</v>
      </c>
      <c r="K431" s="92">
        <f>IF(J431=0,0,IF(B431="F",VLOOKUP(I431,Barem!$G$2:$H$11,2,1),VLOOKUP(I431,Barem!$G$12:$H$21,2,1)))</f>
        <v>4</v>
      </c>
      <c r="L431" s="110" t="s">
        <v>110</v>
      </c>
      <c r="M431" s="11">
        <f t="shared" si="116"/>
        <v>0.25</v>
      </c>
      <c r="N431" s="11">
        <f t="shared" si="117"/>
        <v>0.75</v>
      </c>
      <c r="O431" s="49">
        <f t="shared" si="118"/>
        <v>4.3999999999999997E-2</v>
      </c>
      <c r="P431" s="27">
        <f>IF(D431&gt;21,VLOOKUP(D431,Barem!$S$1:$T$141,2,1),0)</f>
        <v>0</v>
      </c>
      <c r="Q431" s="27">
        <f>IF(D431&lt;1.609,0,IF(B431="F",VLOOKUP(I431,Barem!$W$2:$Y$13,2,1),VLOOKUP(I431,Barem!$W$14:$Y$25,2,1)))</f>
        <v>0</v>
      </c>
      <c r="R431" s="27">
        <f>VLOOKUP(A431,Participanti!A:C,3,0)</f>
        <v>0</v>
      </c>
      <c r="S431" s="21">
        <f t="shared" si="119"/>
        <v>3.7130476190476189</v>
      </c>
      <c r="T431" s="82">
        <v>44531</v>
      </c>
      <c r="U431" s="143">
        <f>COUNTIFS(A:A,A431,C:C,C431)</f>
        <v>1</v>
      </c>
      <c r="V431" s="77" t="str">
        <f>VLOOKUP(A431,Data_echipe!A:U,21,0)</f>
        <v>All Stars</v>
      </c>
      <c r="X431" s="154">
        <v>1</v>
      </c>
    </row>
    <row r="432" spans="1:24" x14ac:dyDescent="0.25">
      <c r="A432" s="64" t="s">
        <v>154</v>
      </c>
      <c r="B432" s="77" t="str">
        <f>VLOOKUP(A432,Participanti!A:B,2,0)</f>
        <v>M</v>
      </c>
      <c r="C432" s="139">
        <v>13</v>
      </c>
      <c r="D432" s="66">
        <v>22.03</v>
      </c>
      <c r="E432" s="67">
        <v>8.4525462962962969E-2</v>
      </c>
      <c r="F432" s="67">
        <v>8.5706018518518515E-2</v>
      </c>
      <c r="G432" s="100">
        <f t="shared" si="120"/>
        <v>8.5115740740740742E-2</v>
      </c>
      <c r="H432" s="68">
        <v>82</v>
      </c>
      <c r="I432" s="112">
        <f t="shared" si="114"/>
        <v>3.8636287217767018E-3</v>
      </c>
      <c r="J432" s="92">
        <f t="shared" si="115"/>
        <v>5</v>
      </c>
      <c r="K432" s="92">
        <f>IF(J432=0,0,IF(B432="F",VLOOKUP(I432,Barem!$G$2:$H$11,2,1),VLOOKUP(I432,Barem!$G$12:$H$21,2,1)))</f>
        <v>1.5</v>
      </c>
      <c r="L432" s="65" t="str">
        <f>VLOOKUP(C432,Barem!L:Q,6,0)</f>
        <v>D</v>
      </c>
      <c r="M432" s="11">
        <f t="shared" si="116"/>
        <v>0.75</v>
      </c>
      <c r="N432" s="11">
        <f t="shared" si="117"/>
        <v>0.25</v>
      </c>
      <c r="O432" s="49">
        <f t="shared" si="118"/>
        <v>5.4666666666666669E-2</v>
      </c>
      <c r="P432" s="27">
        <f>IF(D432&gt;21,VLOOKUP(D432,Barem!$S$1:$T$141,2,1),0)</f>
        <v>0</v>
      </c>
      <c r="Q432" s="27">
        <f>IF(D432&lt;1.609,0,IF(B432="F",VLOOKUP(I432,Barem!$W$2:$Y$13,2,1),VLOOKUP(I432,Barem!$W$14:$Y$25,2,1)))</f>
        <v>0</v>
      </c>
      <c r="R432" s="27">
        <f>VLOOKUP(A432,Participanti!A:C,3,0)</f>
        <v>0</v>
      </c>
      <c r="S432" s="21">
        <f t="shared" si="119"/>
        <v>4.1796666666666669</v>
      </c>
      <c r="T432" s="82">
        <v>44530</v>
      </c>
      <c r="U432" s="143">
        <f>COUNTIFS(A:A,A432,C:C,C432)</f>
        <v>1</v>
      </c>
      <c r="V432" s="77" t="str">
        <f>VLOOKUP(A432,Data_echipe!A:U,21,0)</f>
        <v>All Stars</v>
      </c>
      <c r="X432" s="154">
        <v>1</v>
      </c>
    </row>
    <row r="433" spans="1:24" x14ac:dyDescent="0.25">
      <c r="A433" s="64" t="s">
        <v>103</v>
      </c>
      <c r="B433" s="77" t="str">
        <f>VLOOKUP(A433,Participanti!A:B,2,0)</f>
        <v>F</v>
      </c>
      <c r="C433" s="139">
        <v>13</v>
      </c>
      <c r="D433" s="66">
        <v>3.01</v>
      </c>
      <c r="E433" s="67">
        <v>1.0393518518518519E-2</v>
      </c>
      <c r="F433" s="67">
        <v>1.0752314814814814E-2</v>
      </c>
      <c r="G433" s="100">
        <f t="shared" si="120"/>
        <v>1.0572916666666666E-2</v>
      </c>
      <c r="H433" s="68">
        <v>0</v>
      </c>
      <c r="I433" s="112">
        <f t="shared" si="114"/>
        <v>3.5125968992248064E-3</v>
      </c>
      <c r="J433" s="92">
        <f t="shared" si="115"/>
        <v>0.75249999999999995</v>
      </c>
      <c r="K433" s="92">
        <f>IF(J433=0,0,IF(B433="F",VLOOKUP(I433,Barem!$G$2:$H$11,2,1),VLOOKUP(I433,Barem!$G$12:$H$21,2,1)))</f>
        <v>3.5</v>
      </c>
      <c r="L433" s="110" t="s">
        <v>110</v>
      </c>
      <c r="M433" s="11">
        <f t="shared" si="116"/>
        <v>0.25</v>
      </c>
      <c r="N433" s="11">
        <f t="shared" si="117"/>
        <v>0.75</v>
      </c>
      <c r="O433" s="49">
        <f t="shared" si="118"/>
        <v>0</v>
      </c>
      <c r="P433" s="27">
        <f>IF(D433&gt;21,VLOOKUP(D433,Barem!$S$1:$T$141,2,1),0)</f>
        <v>0</v>
      </c>
      <c r="Q433" s="27">
        <f>IF(D433&lt;1.609,0,IF(B433="F",VLOOKUP(I433,Barem!$W$2:$Y$13,2,1),VLOOKUP(I433,Barem!$W$14:$Y$25,2,1)))</f>
        <v>0</v>
      </c>
      <c r="R433" s="27">
        <f>VLOOKUP(A433,Participanti!A:C,3,0)</f>
        <v>0</v>
      </c>
      <c r="S433" s="21">
        <f t="shared" si="119"/>
        <v>2.8131249999999999</v>
      </c>
      <c r="T433" s="82">
        <v>44535</v>
      </c>
      <c r="U433" s="143">
        <f>COUNTIFS(A:A,A433,C:C,C433)</f>
        <v>1</v>
      </c>
      <c r="V433" s="77" t="str">
        <f>VLOOKUP(A433,Data_echipe!A:U,21,0)</f>
        <v>UltraSYR</v>
      </c>
      <c r="X433" s="154">
        <v>1</v>
      </c>
    </row>
    <row r="434" spans="1:24" x14ac:dyDescent="0.25">
      <c r="A434" s="64" t="s">
        <v>196</v>
      </c>
      <c r="B434" s="77" t="str">
        <f>VLOOKUP(A434,Participanti!A:B,2,0)</f>
        <v>F</v>
      </c>
      <c r="C434" s="139">
        <v>13</v>
      </c>
      <c r="D434" s="66">
        <v>3</v>
      </c>
      <c r="E434" s="67">
        <v>9.9768518518518531E-3</v>
      </c>
      <c r="F434" s="67">
        <v>9.9768518518518531E-3</v>
      </c>
      <c r="G434" s="100">
        <f t="shared" si="120"/>
        <v>9.9768518518518531E-3</v>
      </c>
      <c r="H434" s="68">
        <v>0</v>
      </c>
      <c r="I434" s="112">
        <f t="shared" si="114"/>
        <v>3.3256172839506177E-3</v>
      </c>
      <c r="J434" s="92">
        <f t="shared" si="115"/>
        <v>0.75</v>
      </c>
      <c r="K434" s="92">
        <f>IF(J434=0,0,IF(B434="F",VLOOKUP(I434,Barem!$G$2:$H$11,2,1),VLOOKUP(I434,Barem!$G$12:$H$21,2,1)))</f>
        <v>4</v>
      </c>
      <c r="L434" s="110" t="s">
        <v>110</v>
      </c>
      <c r="M434" s="11">
        <f t="shared" si="116"/>
        <v>0.25</v>
      </c>
      <c r="N434" s="11">
        <f t="shared" si="117"/>
        <v>0.75</v>
      </c>
      <c r="O434" s="49">
        <f t="shared" si="118"/>
        <v>0</v>
      </c>
      <c r="P434" s="27">
        <f>IF(D434&gt;21,VLOOKUP(D434,Barem!$S$1:$T$141,2,1),0)</f>
        <v>0</v>
      </c>
      <c r="Q434" s="27">
        <f>IF(D434&lt;1.609,0,IF(B434="F",VLOOKUP(I434,Barem!$W$2:$Y$13,2,1),VLOOKUP(I434,Barem!$W$14:$Y$25,2,1)))</f>
        <v>0</v>
      </c>
      <c r="R434" s="27">
        <f>VLOOKUP(A434,Participanti!A:C,3,0)</f>
        <v>0</v>
      </c>
      <c r="S434" s="21">
        <f t="shared" si="119"/>
        <v>3.1875</v>
      </c>
      <c r="T434" s="82">
        <v>44535</v>
      </c>
      <c r="U434" s="143">
        <f>COUNTIFS(A:A,A434,C:C,C434)</f>
        <v>1</v>
      </c>
      <c r="V434" s="77" t="str">
        <f>VLOOKUP(A434,Data_echipe!A:U,21,0)</f>
        <v>UltraSYR</v>
      </c>
      <c r="X434" s="154">
        <v>1</v>
      </c>
    </row>
    <row r="435" spans="1:24" x14ac:dyDescent="0.25">
      <c r="A435" s="64" t="s">
        <v>244</v>
      </c>
      <c r="B435" s="77" t="str">
        <f>VLOOKUP(A435,Participanti!A:B,2,0)</f>
        <v>M</v>
      </c>
      <c r="C435" s="139">
        <v>13</v>
      </c>
      <c r="D435" s="66">
        <v>20.77</v>
      </c>
      <c r="E435" s="67">
        <v>0.25542824074074072</v>
      </c>
      <c r="F435" s="67">
        <v>0.31277777777777777</v>
      </c>
      <c r="G435" s="100">
        <f t="shared" si="120"/>
        <v>0.28410300925925924</v>
      </c>
      <c r="H435" s="68">
        <v>1819</v>
      </c>
      <c r="I435" s="112">
        <f t="shared" si="114"/>
        <v>1.3678527167032222E-2</v>
      </c>
      <c r="J435" s="92">
        <f t="shared" si="115"/>
        <v>4.9452380952380945</v>
      </c>
      <c r="K435" s="92">
        <f>IF(J435=0,0,IF(B435="F",VLOOKUP(I435,Barem!$G$2:$H$11,2,1),VLOOKUP(I435,Barem!$G$12:$H$21,2,1)))</f>
        <v>0</v>
      </c>
      <c r="L435" s="65" t="str">
        <f>VLOOKUP(C435,Barem!L:Q,6,0)</f>
        <v>D</v>
      </c>
      <c r="M435" s="11">
        <f t="shared" si="116"/>
        <v>0.75</v>
      </c>
      <c r="N435" s="11">
        <f t="shared" si="117"/>
        <v>0.25</v>
      </c>
      <c r="O435" s="49">
        <f t="shared" si="118"/>
        <v>1.2126666666666666</v>
      </c>
      <c r="P435" s="27">
        <f>IF(D435&gt;21,VLOOKUP(D435,Barem!$S$1:$T$141,2,1),0)</f>
        <v>0</v>
      </c>
      <c r="Q435" s="27">
        <f>IF(D435&lt;1.609,0,IF(B435="F",VLOOKUP(I435,Barem!$W$2:$Y$13,2,1),VLOOKUP(I435,Barem!$W$14:$Y$25,2,1)))</f>
        <v>0</v>
      </c>
      <c r="R435" s="27">
        <f>VLOOKUP(A435,Participanti!A:C,3,0)</f>
        <v>0</v>
      </c>
      <c r="S435" s="21">
        <f t="shared" si="119"/>
        <v>4.9215952380952377</v>
      </c>
      <c r="T435" s="82">
        <v>44531</v>
      </c>
      <c r="U435" s="143">
        <f>COUNTIFS(A:A,A435,C:C,C435)</f>
        <v>1</v>
      </c>
      <c r="V435" s="77" t="str">
        <f>VLOOKUP(A435,Data_echipe!A:U,21,0)</f>
        <v>All Stars</v>
      </c>
      <c r="X435" s="154"/>
    </row>
    <row r="436" spans="1:24" x14ac:dyDescent="0.25">
      <c r="A436" s="64" t="s">
        <v>50</v>
      </c>
      <c r="B436" s="77" t="str">
        <f>VLOOKUP(A436,Participanti!A:B,2,0)</f>
        <v>M</v>
      </c>
      <c r="C436" s="139">
        <v>13</v>
      </c>
      <c r="D436" s="66">
        <v>12.24</v>
      </c>
      <c r="E436" s="67">
        <v>5.4155092592592595E-2</v>
      </c>
      <c r="F436" s="67">
        <v>6.2164351851851853E-2</v>
      </c>
      <c r="G436" s="100">
        <f t="shared" si="120"/>
        <v>5.8159722222222224E-2</v>
      </c>
      <c r="H436" s="68">
        <v>143</v>
      </c>
      <c r="I436" s="112">
        <f t="shared" si="114"/>
        <v>4.7516112926652143E-3</v>
      </c>
      <c r="J436" s="92">
        <f t="shared" si="115"/>
        <v>2.9142857142857141</v>
      </c>
      <c r="K436" s="92">
        <f>IF(J436=0,0,IF(B436="F",VLOOKUP(I436,Barem!$G$2:$H$11,2,1),VLOOKUP(I436,Barem!$G$12:$H$21,2,1)))</f>
        <v>1</v>
      </c>
      <c r="L436" s="65" t="str">
        <f>VLOOKUP(C436,Barem!L:Q,6,0)</f>
        <v>D</v>
      </c>
      <c r="M436" s="11">
        <f t="shared" si="116"/>
        <v>0.75</v>
      </c>
      <c r="N436" s="11">
        <f t="shared" si="117"/>
        <v>0.25</v>
      </c>
      <c r="O436" s="49">
        <f t="shared" si="118"/>
        <v>9.5333333333333339E-2</v>
      </c>
      <c r="P436" s="27">
        <f>IF(D436&gt;21,VLOOKUP(D436,Barem!$S$1:$T$141,2,1),0)</f>
        <v>0</v>
      </c>
      <c r="Q436" s="27">
        <f>IF(D436&lt;1.609,0,IF(B436="F",VLOOKUP(I436,Barem!$W$2:$Y$13,2,1),VLOOKUP(I436,Barem!$W$14:$Y$25,2,1)))</f>
        <v>0</v>
      </c>
      <c r="R436" s="27">
        <f>VLOOKUP(A436,Participanti!A:C,3,0)</f>
        <v>0.4</v>
      </c>
      <c r="S436" s="21">
        <f t="shared" si="119"/>
        <v>2.9310476190476189</v>
      </c>
      <c r="T436" s="82">
        <v>44531</v>
      </c>
      <c r="U436" s="143">
        <f>COUNTIFS(A:A,A436,C:C,C436)</f>
        <v>1</v>
      </c>
      <c r="V436" s="77" t="str">
        <f>VLOOKUP(A436,Data_echipe!A:U,21,0)</f>
        <v>UltraSYR</v>
      </c>
      <c r="X436" s="154">
        <v>1</v>
      </c>
    </row>
    <row r="437" spans="1:24" x14ac:dyDescent="0.25">
      <c r="A437" s="64" t="s">
        <v>202</v>
      </c>
      <c r="B437" s="77" t="str">
        <f>VLOOKUP(A437,Participanti!A:B,2,0)</f>
        <v>F</v>
      </c>
      <c r="C437" s="139">
        <v>13</v>
      </c>
      <c r="D437" s="66">
        <v>6.28</v>
      </c>
      <c r="E437" s="67">
        <v>2.8055555555555556E-2</v>
      </c>
      <c r="F437" s="67">
        <v>3.9687500000000001E-2</v>
      </c>
      <c r="G437" s="100">
        <f t="shared" si="120"/>
        <v>3.3871527777777778E-2</v>
      </c>
      <c r="H437" s="68">
        <v>6</v>
      </c>
      <c r="I437" s="112">
        <f t="shared" si="114"/>
        <v>5.3935553786270346E-3</v>
      </c>
      <c r="J437" s="92">
        <f t="shared" si="115"/>
        <v>1.57</v>
      </c>
      <c r="K437" s="92">
        <f>IF(J437=0,0,IF(B437="F",VLOOKUP(I437,Barem!$G$2:$H$11,2,1),VLOOKUP(I437,Barem!$G$12:$H$21,2,1)))</f>
        <v>1</v>
      </c>
      <c r="L437" s="65" t="str">
        <f>VLOOKUP(C437,Barem!L:Q,6,0)</f>
        <v>D</v>
      </c>
      <c r="M437" s="11">
        <f t="shared" si="116"/>
        <v>0.75</v>
      </c>
      <c r="N437" s="11">
        <f t="shared" si="117"/>
        <v>0.25</v>
      </c>
      <c r="O437" s="49">
        <f t="shared" si="118"/>
        <v>0</v>
      </c>
      <c r="P437" s="27">
        <f>IF(D437&gt;21,VLOOKUP(D437,Barem!$S$1:$T$141,2,1),0)</f>
        <v>0</v>
      </c>
      <c r="Q437" s="27">
        <f>IF(D437&lt;1.609,0,IF(B437="F",VLOOKUP(I437,Barem!$W$2:$Y$13,2,1),VLOOKUP(I437,Barem!$W$14:$Y$25,2,1)))</f>
        <v>0</v>
      </c>
      <c r="R437" s="27">
        <f>VLOOKUP(A437,Participanti!A:C,3,0)</f>
        <v>0</v>
      </c>
      <c r="S437" s="21">
        <f t="shared" si="119"/>
        <v>1.4275</v>
      </c>
      <c r="T437" s="82">
        <v>44535</v>
      </c>
      <c r="U437" s="143">
        <f>COUNTIFS(A:A,A437,C:C,C437)</f>
        <v>1</v>
      </c>
      <c r="V437" s="77" t="e">
        <f>VLOOKUP(A437,Data_echipe!A:U,21,0)</f>
        <v>#N/A</v>
      </c>
      <c r="X437" s="154">
        <v>1</v>
      </c>
    </row>
    <row r="438" spans="1:24" x14ac:dyDescent="0.25">
      <c r="A438" s="64" t="s">
        <v>66</v>
      </c>
      <c r="B438" s="77" t="str">
        <f>VLOOKUP(A438,Participanti!A:B,2,0)</f>
        <v>F</v>
      </c>
      <c r="C438" s="139">
        <v>13</v>
      </c>
      <c r="D438" s="66">
        <v>8.06</v>
      </c>
      <c r="E438" s="67">
        <v>3.7673611111111109E-2</v>
      </c>
      <c r="F438" s="67">
        <v>4.6574074074074073E-2</v>
      </c>
      <c r="G438" s="100">
        <f t="shared" si="120"/>
        <v>4.2123842592592595E-2</v>
      </c>
      <c r="H438" s="68">
        <v>0</v>
      </c>
      <c r="I438" s="112">
        <f t="shared" si="114"/>
        <v>5.2262832000735228E-3</v>
      </c>
      <c r="J438" s="92">
        <f t="shared" si="115"/>
        <v>2.0150000000000001</v>
      </c>
      <c r="K438" s="92">
        <f>IF(J438=0,0,IF(B438="F",VLOOKUP(I438,Barem!$G$2:$H$11,2,1),VLOOKUP(I438,Barem!$G$12:$H$21,2,1)))</f>
        <v>1</v>
      </c>
      <c r="L438" s="65" t="str">
        <f>VLOOKUP(C438,Barem!L:Q,6,0)</f>
        <v>D</v>
      </c>
      <c r="M438" s="11">
        <f t="shared" si="116"/>
        <v>0.75</v>
      </c>
      <c r="N438" s="11">
        <f t="shared" si="117"/>
        <v>0.25</v>
      </c>
      <c r="O438" s="49">
        <f t="shared" si="118"/>
        <v>0</v>
      </c>
      <c r="P438" s="27">
        <f>IF(D438&gt;21,VLOOKUP(D438,Barem!$S$1:$T$141,2,1),0)</f>
        <v>0</v>
      </c>
      <c r="Q438" s="27">
        <f>IF(D438&lt;1.609,0,IF(B438="F",VLOOKUP(I438,Barem!$W$2:$Y$13,2,1),VLOOKUP(I438,Barem!$W$14:$Y$25,2,1)))</f>
        <v>0</v>
      </c>
      <c r="R438" s="27">
        <f>VLOOKUP(A438,Participanti!A:C,3,0)</f>
        <v>0.7</v>
      </c>
      <c r="S438" s="21">
        <f t="shared" si="119"/>
        <v>2.4612499999999997</v>
      </c>
      <c r="T438" s="82">
        <v>44534</v>
      </c>
      <c r="U438" s="143">
        <f>COUNTIFS(A:A,A438,C:C,C438)</f>
        <v>1</v>
      </c>
      <c r="V438" s="77" t="e">
        <f>VLOOKUP(A438,Data_echipe!A:U,21,0)</f>
        <v>#N/A</v>
      </c>
      <c r="X438" s="154">
        <v>1</v>
      </c>
    </row>
    <row r="439" spans="1:24" ht="12.6" thickBot="1" x14ac:dyDescent="0.3">
      <c r="A439" s="180" t="s">
        <v>65</v>
      </c>
      <c r="B439" s="181" t="str">
        <f>VLOOKUP(A439,Participanti!A:B,2,0)</f>
        <v>M</v>
      </c>
      <c r="C439" s="197">
        <v>13</v>
      </c>
      <c r="D439" s="183">
        <v>31.16</v>
      </c>
      <c r="E439" s="184">
        <v>0.18306712962962965</v>
      </c>
      <c r="F439" s="184">
        <v>0.19976851851851851</v>
      </c>
      <c r="G439" s="185">
        <f t="shared" si="120"/>
        <v>0.19141782407407409</v>
      </c>
      <c r="H439" s="186">
        <v>1479</v>
      </c>
      <c r="I439" s="187">
        <f t="shared" si="114"/>
        <v>6.1430623900537258E-3</v>
      </c>
      <c r="J439" s="188">
        <f t="shared" si="115"/>
        <v>5</v>
      </c>
      <c r="K439" s="188">
        <f>IF(J439=0,0,IF(B439="F",VLOOKUP(I439,Barem!$G$2:$H$11,2,1),VLOOKUP(I439,Barem!$G$12:$H$21,2,1)))</f>
        <v>0</v>
      </c>
      <c r="L439" s="189" t="str">
        <f>VLOOKUP(C439,Barem!L:Q,6,0)</f>
        <v>D</v>
      </c>
      <c r="M439" s="190">
        <f t="shared" si="116"/>
        <v>0.75</v>
      </c>
      <c r="N439" s="190">
        <f t="shared" si="117"/>
        <v>0.25</v>
      </c>
      <c r="O439" s="191">
        <f t="shared" si="118"/>
        <v>0.98599999999999999</v>
      </c>
      <c r="P439" s="192">
        <f>IF(D439&gt;21,VLOOKUP(D439,Barem!$S$1:$T$141,2,1),0)</f>
        <v>0.5</v>
      </c>
      <c r="Q439" s="192">
        <f>IF(D439&lt;1.609,0,IF(B439="F",VLOOKUP(I439,Barem!$W$2:$Y$13,2,1),VLOOKUP(I439,Barem!$W$14:$Y$25,2,1)))</f>
        <v>0</v>
      </c>
      <c r="R439" s="192">
        <f>VLOOKUP(A439,Participanti!A:C,3,0)</f>
        <v>0</v>
      </c>
      <c r="S439" s="193">
        <f t="shared" si="119"/>
        <v>5.2359999999999998</v>
      </c>
      <c r="T439" s="194">
        <v>44531</v>
      </c>
      <c r="U439" s="195">
        <f>COUNTIFS(A:A,A439,C:C,C439)</f>
        <v>1</v>
      </c>
      <c r="V439" s="181" t="str">
        <f>VLOOKUP(A439,Data_echipe!A:U,21,0)</f>
        <v>UltraSYR</v>
      </c>
      <c r="W439" s="196"/>
      <c r="X439" s="154"/>
    </row>
    <row r="440" spans="1:24" x14ac:dyDescent="0.25">
      <c r="A440" s="64" t="s">
        <v>242</v>
      </c>
      <c r="B440" s="77" t="str">
        <f>VLOOKUP(A440,Participanti!A:B,2,0)</f>
        <v>M</v>
      </c>
      <c r="C440" s="139">
        <v>14</v>
      </c>
      <c r="D440" s="66">
        <v>5.01</v>
      </c>
      <c r="E440" s="67">
        <v>1.207175925925926E-2</v>
      </c>
      <c r="F440" s="67">
        <v>1.207175925925926E-2</v>
      </c>
      <c r="G440" s="100">
        <f t="shared" si="120"/>
        <v>1.207175925925926E-2</v>
      </c>
      <c r="H440" s="68">
        <v>21</v>
      </c>
      <c r="I440" s="112">
        <f t="shared" ref="I440:I467" si="121">G440/D440</f>
        <v>2.4095327862792932E-3</v>
      </c>
      <c r="J440" s="92">
        <f t="shared" ref="J440:J467" si="122">IF(B440="F",IF(D440&lt;2.5,0,IF(D440&gt;19.99,5,D440/4)),IF(D440&lt;3,0, IF(D440&gt;20.99,5,D440/4.2)))</f>
        <v>1.1928571428571428</v>
      </c>
      <c r="K440" s="92">
        <f>IF(J440=0,0,IF(B440="F",VLOOKUP(I440,Barem!$G$2:$H$11,2,1),VLOOKUP(I440,Barem!$G$12:$H$21,2,1)))</f>
        <v>5</v>
      </c>
      <c r="L440" s="65" t="str">
        <f>VLOOKUP(C440,Barem!L:Q,6,0)</f>
        <v>V</v>
      </c>
      <c r="M440" s="11">
        <f t="shared" ref="M440:M467" si="123">IF(OR(L440="P1",L440="P2",L440="P3"),"",IF(C440=15,0.5,IF(L440="D",0.75,0.25)))</f>
        <v>0.25</v>
      </c>
      <c r="N440" s="11">
        <f t="shared" ref="N440:N467" si="124">IF(OR(L440="P1",L440="P2",L440="P3"),"",IF(C440=15,0.5,IF(L440="V",0.75,0.25)))</f>
        <v>0.75</v>
      </c>
      <c r="O440" s="49">
        <f t="shared" ref="O440:O467" si="125">IF(H440&lt;-49,H440/1500,IF(H440&gt;49,H440/1500,0))</f>
        <v>0</v>
      </c>
      <c r="P440" s="27">
        <f>IF(D440&gt;21,VLOOKUP(D440,Barem!$S$1:$T$141,2,1),0)</f>
        <v>0</v>
      </c>
      <c r="Q440" s="27">
        <f>IF(D440&lt;1.609,0,IF(B440="F",VLOOKUP(I440,Barem!$W$2:$Y$13,2,1),VLOOKUP(I440,Barem!$W$14:$Y$25,2,1)))</f>
        <v>4.1999999999999993</v>
      </c>
      <c r="R440" s="27">
        <f>VLOOKUP(A440,Participanti!A:C,3,0)</f>
        <v>0</v>
      </c>
      <c r="S440" s="21">
        <f t="shared" ref="S440:S467" si="126">J440*M440+K440*N440+O440+P440+Q440+R440</f>
        <v>8.2482142857142851</v>
      </c>
      <c r="T440" s="82">
        <v>44536</v>
      </c>
      <c r="U440" s="143">
        <f>COUNTIFS(A:A,A440,C:C,C440)</f>
        <v>1</v>
      </c>
      <c r="V440" s="77" t="str">
        <f>VLOOKUP(A440,Data_echipe!A:U,21,0)</f>
        <v>All Stars</v>
      </c>
      <c r="W440" s="23" t="s">
        <v>352</v>
      </c>
      <c r="X440" s="154">
        <v>1</v>
      </c>
    </row>
    <row r="441" spans="1:24" x14ac:dyDescent="0.25">
      <c r="A441" s="64" t="s">
        <v>152</v>
      </c>
      <c r="B441" s="77" t="str">
        <f>VLOOKUP(A441,Participanti!A:B,2,0)</f>
        <v>F</v>
      </c>
      <c r="C441" s="139">
        <v>14</v>
      </c>
      <c r="D441" s="66">
        <v>2.5299999999999998</v>
      </c>
      <c r="E441" s="67">
        <v>7.2337962962962963E-3</v>
      </c>
      <c r="F441" s="67">
        <v>7.2337962962962963E-3</v>
      </c>
      <c r="G441" s="100">
        <f t="shared" si="120"/>
        <v>7.2337962962962963E-3</v>
      </c>
      <c r="H441" s="68">
        <v>26</v>
      </c>
      <c r="I441" s="112">
        <f t="shared" si="121"/>
        <v>2.8592080222515008E-3</v>
      </c>
      <c r="J441" s="92">
        <f t="shared" si="122"/>
        <v>0.63249999999999995</v>
      </c>
      <c r="K441" s="92">
        <f>IF(J441=0,0,IF(B441="F",VLOOKUP(I441,Barem!$G$2:$H$11,2,1),VLOOKUP(I441,Barem!$G$12:$H$21,2,1)))</f>
        <v>5</v>
      </c>
      <c r="L441" s="65" t="str">
        <f>VLOOKUP(C441,Barem!L:Q,6,0)</f>
        <v>V</v>
      </c>
      <c r="M441" s="11">
        <f t="shared" si="123"/>
        <v>0.25</v>
      </c>
      <c r="N441" s="11">
        <f t="shared" si="124"/>
        <v>0.75</v>
      </c>
      <c r="O441" s="49">
        <f t="shared" si="125"/>
        <v>0</v>
      </c>
      <c r="P441" s="27">
        <f>IF(D441&gt;21,VLOOKUP(D441,Barem!$S$1:$T$141,2,1),0)</f>
        <v>0</v>
      </c>
      <c r="Q441" s="27">
        <f>IF(D441&lt;1.609,0,IF(B441="F",VLOOKUP(I441,Barem!$W$2:$Y$13,2,1),VLOOKUP(I441,Barem!$W$14:$Y$25,2,1)))</f>
        <v>2.25</v>
      </c>
      <c r="R441" s="27">
        <f>VLOOKUP(A441,Participanti!A:C,3,0)</f>
        <v>0</v>
      </c>
      <c r="S441" s="21">
        <f t="shared" si="126"/>
        <v>6.1581250000000001</v>
      </c>
      <c r="T441" s="82">
        <v>44541</v>
      </c>
      <c r="U441" s="143">
        <f>COUNTIFS(A:A,A441,C:C,C441)</f>
        <v>1</v>
      </c>
      <c r="V441" s="77" t="str">
        <f>VLOOKUP(A441,Data_echipe!A:U,21,0)</f>
        <v>All Stars</v>
      </c>
      <c r="X441" s="154">
        <v>1</v>
      </c>
    </row>
    <row r="442" spans="1:24" x14ac:dyDescent="0.25">
      <c r="A442" s="64" t="s">
        <v>51</v>
      </c>
      <c r="B442" s="77" t="str">
        <f>VLOOKUP(A442,Participanti!A:B,2,0)</f>
        <v>M</v>
      </c>
      <c r="C442" s="139">
        <v>14</v>
      </c>
      <c r="D442" s="66">
        <v>21.02</v>
      </c>
      <c r="E442" s="67">
        <v>6.8472222222222226E-2</v>
      </c>
      <c r="F442" s="67">
        <v>6.9004629629629624E-2</v>
      </c>
      <c r="G442" s="100">
        <f t="shared" si="120"/>
        <v>6.8738425925925925E-2</v>
      </c>
      <c r="H442" s="68">
        <v>43</v>
      </c>
      <c r="I442" s="112">
        <f t="shared" si="121"/>
        <v>3.270143954611129E-3</v>
      </c>
      <c r="J442" s="92">
        <f t="shared" si="122"/>
        <v>5</v>
      </c>
      <c r="K442" s="92">
        <f>IF(J442=0,0,IF(B442="F",VLOOKUP(I442,Barem!$G$2:$H$11,2,1),VLOOKUP(I442,Barem!$G$12:$H$21,2,1)))</f>
        <v>3.5</v>
      </c>
      <c r="L442" s="65" t="str">
        <f>VLOOKUP(C442,Barem!L:Q,6,0)</f>
        <v>V</v>
      </c>
      <c r="M442" s="11">
        <f t="shared" si="123"/>
        <v>0.25</v>
      </c>
      <c r="N442" s="11">
        <f t="shared" si="124"/>
        <v>0.75</v>
      </c>
      <c r="O442" s="49">
        <f t="shared" si="125"/>
        <v>0</v>
      </c>
      <c r="P442" s="27">
        <f>IF(D442&gt;21,VLOOKUP(D442,Barem!$S$1:$T$141,2,1),0)</f>
        <v>0</v>
      </c>
      <c r="Q442" s="27">
        <f>IF(D442&lt;1.609,0,IF(B442="F",VLOOKUP(I442,Barem!$W$2:$Y$13,2,1),VLOOKUP(I442,Barem!$W$14:$Y$25,2,1)))</f>
        <v>0</v>
      </c>
      <c r="R442" s="27">
        <f>VLOOKUP(A442,Participanti!A:C,3,0)</f>
        <v>0</v>
      </c>
      <c r="S442" s="21">
        <f t="shared" si="126"/>
        <v>3.875</v>
      </c>
      <c r="T442" s="82">
        <v>44542</v>
      </c>
      <c r="U442" s="143">
        <f>COUNTIFS(A:A,A442,C:C,C442)</f>
        <v>1</v>
      </c>
      <c r="V442" s="77" t="str">
        <f>VLOOKUP(A442,Data_echipe!A:U,21,0)</f>
        <v>UltraSYR</v>
      </c>
      <c r="X442" s="154">
        <v>1</v>
      </c>
    </row>
    <row r="443" spans="1:24" x14ac:dyDescent="0.25">
      <c r="A443" s="64" t="s">
        <v>203</v>
      </c>
      <c r="B443" s="77" t="str">
        <f>VLOOKUP(A443,Participanti!A:B,2,0)</f>
        <v>M</v>
      </c>
      <c r="C443" s="139">
        <v>14</v>
      </c>
      <c r="D443" s="66">
        <v>5.04</v>
      </c>
      <c r="E443" s="67">
        <v>1.3310185185185187E-2</v>
      </c>
      <c r="F443" s="67">
        <v>1.3310185185185187E-2</v>
      </c>
      <c r="G443" s="100">
        <f t="shared" si="120"/>
        <v>1.3310185185185187E-2</v>
      </c>
      <c r="H443" s="68">
        <v>13</v>
      </c>
      <c r="I443" s="112">
        <f t="shared" si="121"/>
        <v>2.640909758965315E-3</v>
      </c>
      <c r="J443" s="92">
        <f t="shared" si="122"/>
        <v>1.2</v>
      </c>
      <c r="K443" s="92">
        <f>IF(J443=0,0,IF(B443="F",VLOOKUP(I443,Barem!$G$2:$H$11,2,1),VLOOKUP(I443,Barem!$G$12:$H$21,2,1)))</f>
        <v>5</v>
      </c>
      <c r="L443" s="65" t="str">
        <f>VLOOKUP(C443,Barem!L:Q,6,0)</f>
        <v>V</v>
      </c>
      <c r="M443" s="11">
        <f t="shared" si="123"/>
        <v>0.25</v>
      </c>
      <c r="N443" s="11">
        <f t="shared" si="124"/>
        <v>0.75</v>
      </c>
      <c r="O443" s="49">
        <f t="shared" si="125"/>
        <v>0</v>
      </c>
      <c r="P443" s="27">
        <f>IF(D443&gt;21,VLOOKUP(D443,Barem!$S$1:$T$141,2,1),0)</f>
        <v>0</v>
      </c>
      <c r="Q443" s="27">
        <f>IF(D443&lt;1.609,0,IF(B443="F",VLOOKUP(I443,Barem!$W$2:$Y$13,2,1),VLOOKUP(I443,Barem!$W$14:$Y$25,2,1)))</f>
        <v>0.89999999999999991</v>
      </c>
      <c r="R443" s="27">
        <f>VLOOKUP(A443,Participanti!A:C,3,0)</f>
        <v>0</v>
      </c>
      <c r="S443" s="21">
        <f t="shared" si="126"/>
        <v>4.9499999999999993</v>
      </c>
      <c r="T443" s="82">
        <v>44542</v>
      </c>
      <c r="U443" s="143">
        <f>COUNTIFS(A:A,A443,C:C,C443)</f>
        <v>1</v>
      </c>
      <c r="V443" s="77" t="str">
        <f>VLOOKUP(A443,Data_echipe!A:U,21,0)</f>
        <v>All Stars</v>
      </c>
      <c r="X443" s="154">
        <v>1</v>
      </c>
    </row>
    <row r="444" spans="1:24" x14ac:dyDescent="0.25">
      <c r="A444" s="64" t="s">
        <v>211</v>
      </c>
      <c r="B444" s="77" t="str">
        <f>VLOOKUP(A444,Participanti!A:B,2,0)</f>
        <v>F</v>
      </c>
      <c r="C444" s="139">
        <v>14</v>
      </c>
      <c r="D444" s="66">
        <v>3.22</v>
      </c>
      <c r="E444" s="67">
        <v>1.0300925925925927E-2</v>
      </c>
      <c r="F444" s="67">
        <v>1.042824074074074E-2</v>
      </c>
      <c r="G444" s="100">
        <f t="shared" si="120"/>
        <v>1.0364583333333333E-2</v>
      </c>
      <c r="H444" s="68">
        <v>4</v>
      </c>
      <c r="I444" s="112">
        <f t="shared" si="121"/>
        <v>3.2188146997929605E-3</v>
      </c>
      <c r="J444" s="92">
        <f t="shared" si="122"/>
        <v>0.80500000000000005</v>
      </c>
      <c r="K444" s="92">
        <f>IF(J444=0,0,IF(B444="F",VLOOKUP(I444,Barem!$G$2:$H$11,2,1),VLOOKUP(I444,Barem!$G$12:$H$21,2,1)))</f>
        <v>4.5</v>
      </c>
      <c r="L444" s="65" t="str">
        <f>VLOOKUP(C444,Barem!L:Q,6,0)</f>
        <v>V</v>
      </c>
      <c r="M444" s="11">
        <f t="shared" si="123"/>
        <v>0.25</v>
      </c>
      <c r="N444" s="11">
        <f t="shared" si="124"/>
        <v>0.75</v>
      </c>
      <c r="O444" s="49">
        <f t="shared" si="125"/>
        <v>0</v>
      </c>
      <c r="P444" s="27">
        <f>IF(D444&gt;21,VLOOKUP(D444,Barem!$S$1:$T$141,2,1),0)</f>
        <v>0</v>
      </c>
      <c r="Q444" s="27">
        <f>IF(D444&lt;1.609,0,IF(B444="F",VLOOKUP(I444,Barem!$W$2:$Y$13,2,1),VLOOKUP(I444,Barem!$W$14:$Y$25,2,1)))</f>
        <v>0</v>
      </c>
      <c r="R444" s="27">
        <f>VLOOKUP(A444,Participanti!A:C,3,0)</f>
        <v>0</v>
      </c>
      <c r="S444" s="21">
        <f t="shared" si="126"/>
        <v>3.5762499999999999</v>
      </c>
      <c r="T444" s="82">
        <v>44542</v>
      </c>
      <c r="U444" s="143">
        <f>COUNTIFS(A:A,A444,C:C,C444)</f>
        <v>1</v>
      </c>
      <c r="V444" s="77" t="str">
        <f>VLOOKUP(A444,Data_echipe!A:U,21,0)</f>
        <v>UltraSYR</v>
      </c>
      <c r="X444" s="154">
        <v>1</v>
      </c>
    </row>
    <row r="445" spans="1:24" x14ac:dyDescent="0.25">
      <c r="A445" s="64" t="s">
        <v>53</v>
      </c>
      <c r="B445" s="77" t="str">
        <f>VLOOKUP(A445,Participanti!A:B,2,0)</f>
        <v>M</v>
      </c>
      <c r="C445" s="139">
        <v>14</v>
      </c>
      <c r="D445" s="66">
        <v>16.46</v>
      </c>
      <c r="E445" s="67">
        <v>6.3321759259259258E-2</v>
      </c>
      <c r="F445" s="67">
        <v>6.8321759259259263E-2</v>
      </c>
      <c r="G445" s="100">
        <f t="shared" si="120"/>
        <v>6.582175925925926E-2</v>
      </c>
      <c r="H445" s="68">
        <v>613</v>
      </c>
      <c r="I445" s="112">
        <f t="shared" si="121"/>
        <v>3.998891814049773E-3</v>
      </c>
      <c r="J445" s="92">
        <f t="shared" si="122"/>
        <v>3.9190476190476189</v>
      </c>
      <c r="K445" s="92">
        <f>IF(J445=0,0,IF(B445="F",VLOOKUP(I445,Barem!$G$2:$H$11,2,1),VLOOKUP(I445,Barem!$G$12:$H$21,2,1)))</f>
        <v>1.5</v>
      </c>
      <c r="L445" s="110" t="s">
        <v>109</v>
      </c>
      <c r="M445" s="11">
        <f t="shared" si="123"/>
        <v>0.75</v>
      </c>
      <c r="N445" s="11">
        <f t="shared" si="124"/>
        <v>0.25</v>
      </c>
      <c r="O445" s="49">
        <f t="shared" si="125"/>
        <v>0.40866666666666668</v>
      </c>
      <c r="P445" s="27">
        <f>IF(D445&gt;21,VLOOKUP(D445,Barem!$S$1:$T$141,2,1),0)</f>
        <v>0</v>
      </c>
      <c r="Q445" s="27">
        <f>IF(D445&lt;1.609,0,IF(B445="F",VLOOKUP(I445,Barem!$W$2:$Y$13,2,1),VLOOKUP(I445,Barem!$W$14:$Y$25,2,1)))</f>
        <v>0</v>
      </c>
      <c r="R445" s="27">
        <f>VLOOKUP(A445,Participanti!A:C,3,0)</f>
        <v>0</v>
      </c>
      <c r="S445" s="21">
        <f t="shared" si="126"/>
        <v>3.7229523809523806</v>
      </c>
      <c r="T445" s="82">
        <v>44541</v>
      </c>
      <c r="U445" s="143">
        <f>COUNTIFS(A:A,A445,C:C,C445)</f>
        <v>1</v>
      </c>
      <c r="V445" s="77" t="str">
        <f>VLOOKUP(A445,Data_echipe!A:U,21,0)</f>
        <v>UltraSYR</v>
      </c>
      <c r="X445" s="154">
        <v>1</v>
      </c>
    </row>
    <row r="446" spans="1:24" x14ac:dyDescent="0.25">
      <c r="A446" s="64" t="s">
        <v>119</v>
      </c>
      <c r="B446" s="77" t="str">
        <f>VLOOKUP(A446,Participanti!A:B,2,0)</f>
        <v>M</v>
      </c>
      <c r="C446" s="139">
        <v>14</v>
      </c>
      <c r="D446" s="66">
        <v>22.6</v>
      </c>
      <c r="E446" s="67">
        <v>7.2685185185185186E-2</v>
      </c>
      <c r="F446" s="67">
        <v>7.7199074074074073E-2</v>
      </c>
      <c r="G446" s="100">
        <f t="shared" si="120"/>
        <v>7.4942129629629622E-2</v>
      </c>
      <c r="H446" s="68">
        <v>38</v>
      </c>
      <c r="I446" s="112">
        <f t="shared" si="121"/>
        <v>3.3160234349393636E-3</v>
      </c>
      <c r="J446" s="92">
        <f t="shared" si="122"/>
        <v>5</v>
      </c>
      <c r="K446" s="92">
        <f>IF(J446=0,0,IF(B446="F",VLOOKUP(I446,Barem!$G$2:$H$11,2,1),VLOOKUP(I446,Barem!$G$12:$H$21,2,1)))</f>
        <v>3</v>
      </c>
      <c r="L446" s="110" t="s">
        <v>109</v>
      </c>
      <c r="M446" s="11">
        <f t="shared" si="123"/>
        <v>0.75</v>
      </c>
      <c r="N446" s="11">
        <f t="shared" si="124"/>
        <v>0.25</v>
      </c>
      <c r="O446" s="49">
        <f t="shared" si="125"/>
        <v>0</v>
      </c>
      <c r="P446" s="27">
        <f>IF(D446&gt;21,VLOOKUP(D446,Barem!$S$1:$T$141,2,1),0)</f>
        <v>0</v>
      </c>
      <c r="Q446" s="27">
        <f>IF(D446&lt;1.609,0,IF(B446="F",VLOOKUP(I446,Barem!$W$2:$Y$13,2,1),VLOOKUP(I446,Barem!$W$14:$Y$25,2,1)))</f>
        <v>0</v>
      </c>
      <c r="R446" s="27">
        <f>VLOOKUP(A446,Participanti!A:C,3,0)</f>
        <v>0</v>
      </c>
      <c r="S446" s="21">
        <f t="shared" si="126"/>
        <v>4.5</v>
      </c>
      <c r="T446" s="82">
        <v>44542</v>
      </c>
      <c r="U446" s="143">
        <f>COUNTIFS(A:A,A446,C:C,C446)</f>
        <v>1</v>
      </c>
      <c r="V446" s="77" t="e">
        <f>VLOOKUP(A446,Data_echipe!A:U,21,0)</f>
        <v>#N/A</v>
      </c>
      <c r="X446" s="154">
        <v>1</v>
      </c>
    </row>
    <row r="447" spans="1:24" x14ac:dyDescent="0.25">
      <c r="A447" s="64" t="s">
        <v>118</v>
      </c>
      <c r="B447" s="77" t="str">
        <f>VLOOKUP(A447,Participanti!A:B,2,0)</f>
        <v>M</v>
      </c>
      <c r="C447" s="139">
        <v>14</v>
      </c>
      <c r="D447" s="66">
        <v>21.2</v>
      </c>
      <c r="E447" s="67">
        <v>8.5729166666666676E-2</v>
      </c>
      <c r="F447" s="67">
        <v>9.807870370370371E-2</v>
      </c>
      <c r="G447" s="100">
        <f t="shared" si="120"/>
        <v>9.1903935185185193E-2</v>
      </c>
      <c r="H447" s="68">
        <v>51</v>
      </c>
      <c r="I447" s="112">
        <f t="shared" si="121"/>
        <v>4.3350912823200563E-3</v>
      </c>
      <c r="J447" s="92">
        <f t="shared" si="122"/>
        <v>5</v>
      </c>
      <c r="K447" s="92">
        <f>IF(J447=0,0,IF(B447="F",VLOOKUP(I447,Barem!$G$2:$H$11,2,1),VLOOKUP(I447,Barem!$G$12:$H$21,2,1)))</f>
        <v>1</v>
      </c>
      <c r="L447" s="110" t="s">
        <v>109</v>
      </c>
      <c r="M447" s="11">
        <f t="shared" si="123"/>
        <v>0.75</v>
      </c>
      <c r="N447" s="11">
        <f t="shared" si="124"/>
        <v>0.25</v>
      </c>
      <c r="O447" s="49">
        <f t="shared" si="125"/>
        <v>3.4000000000000002E-2</v>
      </c>
      <c r="P447" s="27">
        <f>IF(D447&gt;21,VLOOKUP(D447,Barem!$S$1:$T$141,2,1),0)</f>
        <v>0</v>
      </c>
      <c r="Q447" s="27">
        <f>IF(D447&lt;1.609,0,IF(B447="F",VLOOKUP(I447,Barem!$W$2:$Y$13,2,1),VLOOKUP(I447,Barem!$W$14:$Y$25,2,1)))</f>
        <v>0</v>
      </c>
      <c r="R447" s="27">
        <f>VLOOKUP(A447,Participanti!A:C,3,0)</f>
        <v>0</v>
      </c>
      <c r="S447" s="21">
        <f t="shared" si="126"/>
        <v>4.0339999999999998</v>
      </c>
      <c r="T447" s="82">
        <v>44540</v>
      </c>
      <c r="U447" s="143">
        <f>COUNTIFS(A:A,A447,C:C,C447)</f>
        <v>1</v>
      </c>
      <c r="V447" s="77" t="str">
        <f>VLOOKUP(A447,Data_echipe!A:U,21,0)</f>
        <v>UltraSYR</v>
      </c>
      <c r="X447" s="154">
        <v>1</v>
      </c>
    </row>
    <row r="448" spans="1:24" x14ac:dyDescent="0.25">
      <c r="A448" s="64" t="s">
        <v>240</v>
      </c>
      <c r="B448" s="77" t="str">
        <f>VLOOKUP(A448,Participanti!A:B,2,0)</f>
        <v>M</v>
      </c>
      <c r="C448" s="139">
        <v>14</v>
      </c>
      <c r="D448" s="66">
        <v>3</v>
      </c>
      <c r="E448" s="67">
        <v>8.8310185185185176E-3</v>
      </c>
      <c r="F448" s="67">
        <v>8.9236111111111113E-3</v>
      </c>
      <c r="G448" s="100">
        <f t="shared" si="120"/>
        <v>8.8773148148148136E-3</v>
      </c>
      <c r="H448" s="68">
        <v>6</v>
      </c>
      <c r="I448" s="112">
        <f t="shared" si="121"/>
        <v>2.9591049382716047E-3</v>
      </c>
      <c r="J448" s="92">
        <f t="shared" si="122"/>
        <v>0.7142857142857143</v>
      </c>
      <c r="K448" s="92">
        <f>IF(J448=0,0,IF(B448="F",VLOOKUP(I448,Barem!$G$2:$H$11,2,1),VLOOKUP(I448,Barem!$G$12:$H$21,2,1)))</f>
        <v>4.5</v>
      </c>
      <c r="L448" s="65" t="str">
        <f>VLOOKUP(C448,Barem!L:Q,6,0)</f>
        <v>V</v>
      </c>
      <c r="M448" s="11">
        <f t="shared" si="123"/>
        <v>0.25</v>
      </c>
      <c r="N448" s="11">
        <f t="shared" si="124"/>
        <v>0.75</v>
      </c>
      <c r="O448" s="49">
        <f t="shared" si="125"/>
        <v>0</v>
      </c>
      <c r="P448" s="27">
        <f>IF(D448&gt;21,VLOOKUP(D448,Barem!$S$1:$T$141,2,1),0)</f>
        <v>0</v>
      </c>
      <c r="Q448" s="27">
        <f>IF(D448&lt;1.609,0,IF(B448="F",VLOOKUP(I448,Barem!$W$2:$Y$13,2,1),VLOOKUP(I448,Barem!$W$14:$Y$25,2,1)))</f>
        <v>0</v>
      </c>
      <c r="R448" s="27">
        <f>VLOOKUP(A448,Participanti!A:C,3,0)</f>
        <v>0</v>
      </c>
      <c r="S448" s="21">
        <f t="shared" si="126"/>
        <v>3.5535714285714284</v>
      </c>
      <c r="T448" s="82">
        <v>44539</v>
      </c>
      <c r="U448" s="143">
        <f>COUNTIFS(A:A,A448,C:C,C448)</f>
        <v>1</v>
      </c>
      <c r="V448" s="77" t="str">
        <f>VLOOKUP(A448,Data_echipe!A:U,21,0)</f>
        <v>All Stars</v>
      </c>
      <c r="X448" s="154">
        <v>1</v>
      </c>
    </row>
    <row r="449" spans="1:24" x14ac:dyDescent="0.25">
      <c r="A449" s="64" t="s">
        <v>111</v>
      </c>
      <c r="B449" s="77" t="str">
        <f>VLOOKUP(A449,Participanti!A:B,2,0)</f>
        <v>M</v>
      </c>
      <c r="C449" s="139">
        <v>14</v>
      </c>
      <c r="D449" s="66">
        <v>22.1</v>
      </c>
      <c r="E449" s="67">
        <v>9.784722222222221E-2</v>
      </c>
      <c r="F449" s="67">
        <v>0.10145833333333333</v>
      </c>
      <c r="G449" s="100">
        <f t="shared" si="120"/>
        <v>9.9652777777777771E-2</v>
      </c>
      <c r="H449" s="68">
        <v>586</v>
      </c>
      <c r="I449" s="112">
        <f t="shared" si="121"/>
        <v>4.5091754650578176E-3</v>
      </c>
      <c r="J449" s="92">
        <f t="shared" si="122"/>
        <v>5</v>
      </c>
      <c r="K449" s="92">
        <f>IF(J449=0,0,IF(B449="F",VLOOKUP(I449,Barem!$G$2:$H$11,2,1),VLOOKUP(I449,Barem!$G$12:$H$21,2,1)))</f>
        <v>1</v>
      </c>
      <c r="L449" s="110" t="s">
        <v>109</v>
      </c>
      <c r="M449" s="11">
        <f t="shared" si="123"/>
        <v>0.75</v>
      </c>
      <c r="N449" s="11">
        <f t="shared" si="124"/>
        <v>0.25</v>
      </c>
      <c r="O449" s="49">
        <f t="shared" si="125"/>
        <v>0.39066666666666666</v>
      </c>
      <c r="P449" s="27">
        <f>IF(D449&gt;21,VLOOKUP(D449,Barem!$S$1:$T$141,2,1),0)</f>
        <v>0</v>
      </c>
      <c r="Q449" s="27">
        <f>IF(D449&lt;1.609,0,IF(B449="F",VLOOKUP(I449,Barem!$W$2:$Y$13,2,1),VLOOKUP(I449,Barem!$W$14:$Y$25,2,1)))</f>
        <v>0</v>
      </c>
      <c r="R449" s="27">
        <f>VLOOKUP(A449,Participanti!A:C,3,0)</f>
        <v>0</v>
      </c>
      <c r="S449" s="21">
        <f t="shared" si="126"/>
        <v>4.3906666666666663</v>
      </c>
      <c r="T449" s="82">
        <v>44541</v>
      </c>
      <c r="U449" s="143">
        <f>COUNTIFS(A:A,A449,C:C,C449)</f>
        <v>1</v>
      </c>
      <c r="V449" s="77" t="str">
        <f>VLOOKUP(A449,Data_echipe!A:U,21,0)</f>
        <v>UltraSYR</v>
      </c>
      <c r="X449" s="154">
        <v>1</v>
      </c>
    </row>
    <row r="450" spans="1:24" x14ac:dyDescent="0.25">
      <c r="A450" s="64" t="s">
        <v>102</v>
      </c>
      <c r="B450" s="77" t="str">
        <f>VLOOKUP(A450,Participanti!A:B,2,0)</f>
        <v>M</v>
      </c>
      <c r="C450" s="139">
        <v>14</v>
      </c>
      <c r="D450" s="66">
        <v>10.08</v>
      </c>
      <c r="E450" s="67">
        <v>3.1793981481481479E-2</v>
      </c>
      <c r="F450" s="67">
        <v>3.1793981481481479E-2</v>
      </c>
      <c r="G450" s="100">
        <f t="shared" si="120"/>
        <v>3.1793981481481479E-2</v>
      </c>
      <c r="H450" s="68">
        <v>15</v>
      </c>
      <c r="I450" s="112">
        <f t="shared" si="121"/>
        <v>3.1541648295120516E-3</v>
      </c>
      <c r="J450" s="92">
        <f t="shared" si="122"/>
        <v>2.4</v>
      </c>
      <c r="K450" s="92">
        <f>IF(J450=0,0,IF(B450="F",VLOOKUP(I450,Barem!$G$2:$H$11,2,1),VLOOKUP(I450,Barem!$G$12:$H$21,2,1)))</f>
        <v>3.5</v>
      </c>
      <c r="L450" s="201" t="s">
        <v>109</v>
      </c>
      <c r="M450" s="11">
        <f t="shared" si="123"/>
        <v>0.75</v>
      </c>
      <c r="N450" s="11">
        <f t="shared" si="124"/>
        <v>0.25</v>
      </c>
      <c r="O450" s="49">
        <f t="shared" si="125"/>
        <v>0</v>
      </c>
      <c r="P450" s="27">
        <f>IF(D450&gt;21,VLOOKUP(D450,Barem!$S$1:$T$141,2,1),0)</f>
        <v>0</v>
      </c>
      <c r="Q450" s="27">
        <f>IF(D450&lt;1.609,0,IF(B450="F",VLOOKUP(I450,Barem!$W$2:$Y$13,2,1),VLOOKUP(I450,Barem!$W$14:$Y$25,2,1)))</f>
        <v>0</v>
      </c>
      <c r="R450" s="27">
        <f>VLOOKUP(A450,Participanti!A:C,3,0)</f>
        <v>0</v>
      </c>
      <c r="S450" s="21">
        <f t="shared" si="126"/>
        <v>2.6749999999999998</v>
      </c>
      <c r="T450" s="82">
        <v>44537</v>
      </c>
      <c r="U450" s="143">
        <f>COUNTIFS(A:A,A450,C:C,C450)</f>
        <v>1</v>
      </c>
      <c r="V450" s="77" t="str">
        <f>VLOOKUP(A450,Data_echipe!A:U,21,0)</f>
        <v>All Stars</v>
      </c>
      <c r="X450" s="154">
        <v>1</v>
      </c>
    </row>
    <row r="451" spans="1:24" x14ac:dyDescent="0.25">
      <c r="A451" s="64" t="s">
        <v>49</v>
      </c>
      <c r="B451" s="77" t="str">
        <f>VLOOKUP(A451,Participanti!A:B,2,0)</f>
        <v>M</v>
      </c>
      <c r="C451" s="139">
        <v>14</v>
      </c>
      <c r="D451" s="66">
        <v>14.07</v>
      </c>
      <c r="E451" s="67">
        <v>5.1504629629629629E-2</v>
      </c>
      <c r="F451" s="67">
        <v>5.1504629629629629E-2</v>
      </c>
      <c r="G451" s="100">
        <f t="shared" si="120"/>
        <v>5.1504629629629629E-2</v>
      </c>
      <c r="H451" s="68">
        <v>16</v>
      </c>
      <c r="I451" s="112">
        <f t="shared" si="121"/>
        <v>3.6605991207981255E-3</v>
      </c>
      <c r="J451" s="92">
        <f t="shared" si="122"/>
        <v>3.35</v>
      </c>
      <c r="K451" s="92">
        <f>IF(J451=0,0,IF(B451="F",VLOOKUP(I451,Barem!$G$2:$H$11,2,1),VLOOKUP(I451,Barem!$G$12:$H$21,2,1)))</f>
        <v>2</v>
      </c>
      <c r="L451" s="65" t="str">
        <f>VLOOKUP(C451,Barem!L:Q,6,0)</f>
        <v>V</v>
      </c>
      <c r="M451" s="11">
        <f t="shared" si="123"/>
        <v>0.25</v>
      </c>
      <c r="N451" s="11">
        <f t="shared" si="124"/>
        <v>0.75</v>
      </c>
      <c r="O451" s="49">
        <f t="shared" si="125"/>
        <v>0</v>
      </c>
      <c r="P451" s="27">
        <f>IF(D451&gt;21,VLOOKUP(D451,Barem!$S$1:$T$141,2,1),0)</f>
        <v>0</v>
      </c>
      <c r="Q451" s="27">
        <f>IF(D451&lt;1.609,0,IF(B451="F",VLOOKUP(I451,Barem!$W$2:$Y$13,2,1),VLOOKUP(I451,Barem!$W$14:$Y$25,2,1)))</f>
        <v>0</v>
      </c>
      <c r="R451" s="27">
        <f>VLOOKUP(A451,Participanti!A:C,3,0)</f>
        <v>0</v>
      </c>
      <c r="S451" s="21">
        <f t="shared" si="126"/>
        <v>2.3374999999999999</v>
      </c>
      <c r="T451" s="82">
        <v>44539</v>
      </c>
      <c r="U451" s="143">
        <f>COUNTIFS(A:A,A451,C:C,C451)</f>
        <v>1</v>
      </c>
      <c r="V451" s="77" t="str">
        <f>VLOOKUP(A451,Data_echipe!A:U,21,0)</f>
        <v>All Stars</v>
      </c>
      <c r="X451" s="154">
        <v>1</v>
      </c>
    </row>
    <row r="452" spans="1:24" x14ac:dyDescent="0.25">
      <c r="A452" s="64" t="s">
        <v>67</v>
      </c>
      <c r="B452" s="77" t="str">
        <f>VLOOKUP(A452,Participanti!A:B,2,0)</f>
        <v>M</v>
      </c>
      <c r="C452" s="139">
        <v>14</v>
      </c>
      <c r="D452" s="66">
        <v>13.13</v>
      </c>
      <c r="E452" s="67">
        <v>4.9722222222222223E-2</v>
      </c>
      <c r="F452" s="67">
        <v>5.1284722222222225E-2</v>
      </c>
      <c r="G452" s="100">
        <f t="shared" si="120"/>
        <v>5.050347222222222E-2</v>
      </c>
      <c r="H452" s="68">
        <v>39</v>
      </c>
      <c r="I452" s="112">
        <f t="shared" si="121"/>
        <v>3.8464182956757212E-3</v>
      </c>
      <c r="J452" s="92">
        <f t="shared" si="122"/>
        <v>3.1261904761904762</v>
      </c>
      <c r="K452" s="92">
        <f>IF(J452=0,0,IF(B452="F",VLOOKUP(I452,Barem!$G$2:$H$11,2,1),VLOOKUP(I452,Barem!$G$12:$H$21,2,1)))</f>
        <v>1.5</v>
      </c>
      <c r="L452" s="65" t="str">
        <f>VLOOKUP(C452,Barem!L:Q,6,0)</f>
        <v>V</v>
      </c>
      <c r="M452" s="11">
        <f t="shared" si="123"/>
        <v>0.25</v>
      </c>
      <c r="N452" s="11">
        <f t="shared" si="124"/>
        <v>0.75</v>
      </c>
      <c r="O452" s="49">
        <f t="shared" si="125"/>
        <v>0</v>
      </c>
      <c r="P452" s="27">
        <f>IF(D452&gt;21,VLOOKUP(D452,Barem!$S$1:$T$141,2,1),0)</f>
        <v>0</v>
      </c>
      <c r="Q452" s="27">
        <f>IF(D452&lt;1.609,0,IF(B452="F",VLOOKUP(I452,Barem!$W$2:$Y$13,2,1),VLOOKUP(I452,Barem!$W$14:$Y$25,2,1)))</f>
        <v>0</v>
      </c>
      <c r="R452" s="27">
        <f>VLOOKUP(A452,Participanti!A:C,3,0)</f>
        <v>0</v>
      </c>
      <c r="S452" s="21">
        <f t="shared" si="126"/>
        <v>1.9065476190476192</v>
      </c>
      <c r="T452" s="82">
        <v>44542</v>
      </c>
      <c r="U452" s="143">
        <f>COUNTIFS(A:A,A452,C:C,C452)</f>
        <v>1</v>
      </c>
      <c r="V452" s="77" t="e">
        <f>VLOOKUP(A452,Data_echipe!A:U,21,0)</f>
        <v>#N/A</v>
      </c>
      <c r="X452" s="154">
        <v>1</v>
      </c>
    </row>
    <row r="453" spans="1:24" x14ac:dyDescent="0.25">
      <c r="A453" s="64" t="s">
        <v>61</v>
      </c>
      <c r="B453" s="77" t="str">
        <f>VLOOKUP(A453,Participanti!A:B,2,0)</f>
        <v>M</v>
      </c>
      <c r="C453" s="139">
        <v>14</v>
      </c>
      <c r="D453" s="66">
        <v>7.02</v>
      </c>
      <c r="E453" s="67">
        <v>2.2152777777777775E-2</v>
      </c>
      <c r="F453" s="67">
        <v>2.225694444444444E-2</v>
      </c>
      <c r="G453" s="100">
        <f t="shared" si="120"/>
        <v>2.2204861111111106E-2</v>
      </c>
      <c r="H453" s="68">
        <v>20</v>
      </c>
      <c r="I453" s="112">
        <f t="shared" si="121"/>
        <v>3.1630856283634055E-3</v>
      </c>
      <c r="J453" s="92">
        <f t="shared" si="122"/>
        <v>1.6714285714285713</v>
      </c>
      <c r="K453" s="92">
        <f>IF(J453=0,0,IF(B453="F",VLOOKUP(I453,Barem!$G$2:$H$11,2,1),VLOOKUP(I453,Barem!$G$12:$H$21,2,1)))</f>
        <v>3.5</v>
      </c>
      <c r="L453" s="110" t="s">
        <v>109</v>
      </c>
      <c r="M453" s="11">
        <f t="shared" si="123"/>
        <v>0.75</v>
      </c>
      <c r="N453" s="11">
        <f t="shared" si="124"/>
        <v>0.25</v>
      </c>
      <c r="O453" s="49">
        <f t="shared" si="125"/>
        <v>0</v>
      </c>
      <c r="P453" s="27">
        <f>IF(D453&gt;21,VLOOKUP(D453,Barem!$S$1:$T$141,2,1),0)</f>
        <v>0</v>
      </c>
      <c r="Q453" s="27">
        <f>IF(D453&lt;1.609,0,IF(B453="F",VLOOKUP(I453,Barem!$W$2:$Y$13,2,1),VLOOKUP(I453,Barem!$W$14:$Y$25,2,1)))</f>
        <v>0</v>
      </c>
      <c r="R453" s="27">
        <f>VLOOKUP(A453,Participanti!A:C,3,0)</f>
        <v>0</v>
      </c>
      <c r="S453" s="21">
        <f t="shared" si="126"/>
        <v>2.1285714285714286</v>
      </c>
      <c r="T453" s="82">
        <v>44539</v>
      </c>
      <c r="U453" s="143">
        <f>COUNTIFS(A:A,A453,C:C,C453)</f>
        <v>1</v>
      </c>
      <c r="V453" s="77" t="str">
        <f>VLOOKUP(A453,Data_echipe!A:U,21,0)</f>
        <v>UltraSYR</v>
      </c>
      <c r="X453" s="154">
        <v>1</v>
      </c>
    </row>
    <row r="454" spans="1:24" x14ac:dyDescent="0.25">
      <c r="A454" s="64" t="s">
        <v>239</v>
      </c>
      <c r="B454" s="77" t="str">
        <f>VLOOKUP(A454,Participanti!A:B,2,0)</f>
        <v>M</v>
      </c>
      <c r="C454" s="139">
        <v>14</v>
      </c>
      <c r="D454" s="66">
        <v>3.01</v>
      </c>
      <c r="E454" s="67">
        <v>8.4837962962962966E-3</v>
      </c>
      <c r="F454" s="67">
        <v>8.4837962962962966E-3</v>
      </c>
      <c r="G454" s="100">
        <f t="shared" si="120"/>
        <v>8.4837962962962966E-3</v>
      </c>
      <c r="H454" s="68">
        <v>9</v>
      </c>
      <c r="I454" s="112">
        <f t="shared" si="121"/>
        <v>2.8185369755137201E-3</v>
      </c>
      <c r="J454" s="92">
        <f t="shared" si="122"/>
        <v>0.71666666666666656</v>
      </c>
      <c r="K454" s="92">
        <f>IF(J454=0,0,IF(B454="F",VLOOKUP(I454,Barem!$G$2:$H$11,2,1),VLOOKUP(I454,Barem!$G$12:$H$21,2,1)))</f>
        <v>4.5</v>
      </c>
      <c r="L454" s="65" t="str">
        <f>VLOOKUP(C454,Barem!L:Q,6,0)</f>
        <v>V</v>
      </c>
      <c r="M454" s="11">
        <f t="shared" si="123"/>
        <v>0.25</v>
      </c>
      <c r="N454" s="11">
        <f t="shared" si="124"/>
        <v>0.75</v>
      </c>
      <c r="O454" s="49">
        <f t="shared" si="125"/>
        <v>0</v>
      </c>
      <c r="P454" s="27">
        <f>IF(D454&gt;21,VLOOKUP(D454,Barem!$S$1:$T$141,2,1),0)</f>
        <v>0</v>
      </c>
      <c r="Q454" s="27">
        <f>IF(D454&lt;1.609,0,IF(B454="F",VLOOKUP(I454,Barem!$W$2:$Y$13,2,1),VLOOKUP(I454,Barem!$W$14:$Y$25,2,1)))</f>
        <v>0</v>
      </c>
      <c r="R454" s="27">
        <f>VLOOKUP(A454,Participanti!A:C,3,0)</f>
        <v>0</v>
      </c>
      <c r="S454" s="21">
        <f t="shared" si="126"/>
        <v>3.5541666666666667</v>
      </c>
      <c r="T454" s="82">
        <v>44541</v>
      </c>
      <c r="U454" s="143">
        <f>COUNTIFS(A:A,A454,C:C,C454)</f>
        <v>1</v>
      </c>
      <c r="V454" s="77" t="str">
        <f>VLOOKUP(A454,Data_echipe!A:U,21,0)</f>
        <v>All Stars</v>
      </c>
      <c r="X454" s="154">
        <v>1</v>
      </c>
    </row>
    <row r="455" spans="1:24" x14ac:dyDescent="0.25">
      <c r="A455" s="64" t="s">
        <v>153</v>
      </c>
      <c r="B455" s="77" t="str">
        <f>VLOOKUP(A455,Participanti!A:B,2,0)</f>
        <v>F</v>
      </c>
      <c r="C455" s="139">
        <v>14</v>
      </c>
      <c r="D455" s="66">
        <v>10.01</v>
      </c>
      <c r="E455" s="67">
        <v>3.5879629629629629E-2</v>
      </c>
      <c r="F455" s="67">
        <v>3.5879629629629629E-2</v>
      </c>
      <c r="G455" s="100">
        <f t="shared" si="120"/>
        <v>3.5879629629629629E-2</v>
      </c>
      <c r="H455" s="68">
        <v>58</v>
      </c>
      <c r="I455" s="112">
        <f t="shared" si="121"/>
        <v>3.5843785843785846E-3</v>
      </c>
      <c r="J455" s="92">
        <f t="shared" si="122"/>
        <v>2.5024999999999999</v>
      </c>
      <c r="K455" s="92">
        <f>IF(J455=0,0,IF(B455="F",VLOOKUP(I455,Barem!$G$2:$H$11,2,1),VLOOKUP(I455,Barem!$G$12:$H$21,2,1)))</f>
        <v>3.5</v>
      </c>
      <c r="L455" s="110" t="s">
        <v>109</v>
      </c>
      <c r="M455" s="11">
        <f t="shared" si="123"/>
        <v>0.75</v>
      </c>
      <c r="N455" s="11">
        <f t="shared" si="124"/>
        <v>0.25</v>
      </c>
      <c r="O455" s="49">
        <f t="shared" si="125"/>
        <v>3.8666666666666669E-2</v>
      </c>
      <c r="P455" s="27">
        <f>IF(D455&gt;21,VLOOKUP(D455,Barem!$S$1:$T$141,2,1),0)</f>
        <v>0</v>
      </c>
      <c r="Q455" s="27">
        <f>IF(D455&lt;1.609,0,IF(B455="F",VLOOKUP(I455,Barem!$W$2:$Y$13,2,1),VLOOKUP(I455,Barem!$W$14:$Y$25,2,1)))</f>
        <v>0</v>
      </c>
      <c r="R455" s="27">
        <f>VLOOKUP(A455,Participanti!A:C,3,0)</f>
        <v>0</v>
      </c>
      <c r="S455" s="21">
        <f t="shared" si="126"/>
        <v>2.7905416666666669</v>
      </c>
      <c r="T455" s="82">
        <v>44540</v>
      </c>
      <c r="U455" s="143">
        <f>COUNTIFS(A:A,A455,C:C,C455)</f>
        <v>1</v>
      </c>
      <c r="V455" s="77" t="str">
        <f>VLOOKUP(A455,Data_echipe!A:U,21,0)</f>
        <v>All Stars</v>
      </c>
      <c r="X455" s="154">
        <v>1</v>
      </c>
    </row>
    <row r="456" spans="1:24" x14ac:dyDescent="0.25">
      <c r="A456" s="64" t="s">
        <v>7</v>
      </c>
      <c r="B456" s="77" t="str">
        <f>VLOOKUP(A456,Participanti!A:B,2,0)</f>
        <v>M</v>
      </c>
      <c r="C456" s="139">
        <v>14</v>
      </c>
      <c r="D456" s="66">
        <v>19.12</v>
      </c>
      <c r="E456" s="67">
        <v>6.8287037037037035E-2</v>
      </c>
      <c r="F456" s="67">
        <v>6.8287037037037035E-2</v>
      </c>
      <c r="G456" s="100">
        <f t="shared" si="120"/>
        <v>6.8287037037037035E-2</v>
      </c>
      <c r="H456" s="68">
        <v>31</v>
      </c>
      <c r="I456" s="112">
        <f t="shared" si="121"/>
        <v>3.5714977529831085E-3</v>
      </c>
      <c r="J456" s="92">
        <f t="shared" si="122"/>
        <v>4.5523809523809522</v>
      </c>
      <c r="K456" s="92">
        <f>IF(J456=0,0,IF(B456="F",VLOOKUP(I456,Barem!$G$2:$H$11,2,1),VLOOKUP(I456,Barem!$G$12:$H$21,2,1)))</f>
        <v>2.5</v>
      </c>
      <c r="L456" s="65" t="str">
        <f>VLOOKUP(C456,Barem!L:Q,6,0)</f>
        <v>V</v>
      </c>
      <c r="M456" s="11">
        <f t="shared" si="123"/>
        <v>0.25</v>
      </c>
      <c r="N456" s="11">
        <f t="shared" si="124"/>
        <v>0.75</v>
      </c>
      <c r="O456" s="49">
        <f t="shared" si="125"/>
        <v>0</v>
      </c>
      <c r="P456" s="27">
        <f>IF(D456&gt;21,VLOOKUP(D456,Barem!$S$1:$T$141,2,1),0)</f>
        <v>0</v>
      </c>
      <c r="Q456" s="27">
        <f>IF(D456&lt;1.609,0,IF(B456="F",VLOOKUP(I456,Barem!$W$2:$Y$13,2,1),VLOOKUP(I456,Barem!$W$14:$Y$25,2,1)))</f>
        <v>0</v>
      </c>
      <c r="R456" s="27">
        <f>VLOOKUP(A456,Participanti!A:C,3,0)</f>
        <v>0</v>
      </c>
      <c r="S456" s="21">
        <f t="shared" si="126"/>
        <v>3.013095238095238</v>
      </c>
      <c r="T456" s="82">
        <v>44542</v>
      </c>
      <c r="U456" s="143">
        <f>COUNTIFS(A:A,A456,C:C,C456)</f>
        <v>1</v>
      </c>
      <c r="V456" s="77" t="str">
        <f>VLOOKUP(A456,Data_echipe!A:U,21,0)</f>
        <v>All Stars</v>
      </c>
      <c r="X456" s="154">
        <v>1</v>
      </c>
    </row>
    <row r="457" spans="1:24" x14ac:dyDescent="0.25">
      <c r="A457" s="64" t="s">
        <v>154</v>
      </c>
      <c r="B457" s="77" t="str">
        <f>VLOOKUP(A457,Participanti!A:B,2,0)</f>
        <v>M</v>
      </c>
      <c r="C457" s="139">
        <v>14</v>
      </c>
      <c r="D457" s="66">
        <v>5.54</v>
      </c>
      <c r="E457" s="67">
        <v>1.9652777777777779E-2</v>
      </c>
      <c r="F457" s="67">
        <v>2.883101851851852E-2</v>
      </c>
      <c r="G457" s="100">
        <f t="shared" si="120"/>
        <v>2.4241898148148151E-2</v>
      </c>
      <c r="H457" s="68">
        <v>0</v>
      </c>
      <c r="I457" s="112">
        <f t="shared" si="121"/>
        <v>4.3757938895574279E-3</v>
      </c>
      <c r="J457" s="92">
        <f t="shared" si="122"/>
        <v>1.319047619047619</v>
      </c>
      <c r="K457" s="92">
        <f>IF(J457=0,0,IF(B457="F",VLOOKUP(I457,Barem!$G$2:$H$11,2,1),VLOOKUP(I457,Barem!$G$12:$H$21,2,1)))</f>
        <v>1</v>
      </c>
      <c r="L457" s="65" t="str">
        <f>VLOOKUP(C457,Barem!L:Q,6,0)</f>
        <v>V</v>
      </c>
      <c r="M457" s="11">
        <f t="shared" si="123"/>
        <v>0.25</v>
      </c>
      <c r="N457" s="11">
        <f t="shared" si="124"/>
        <v>0.75</v>
      </c>
      <c r="O457" s="49">
        <f t="shared" si="125"/>
        <v>0</v>
      </c>
      <c r="P457" s="27">
        <f>IF(D457&gt;21,VLOOKUP(D457,Barem!$S$1:$T$141,2,1),0)</f>
        <v>0</v>
      </c>
      <c r="Q457" s="27">
        <f>IF(D457&lt;1.609,0,IF(B457="F",VLOOKUP(I457,Barem!$W$2:$Y$13,2,1),VLOOKUP(I457,Barem!$W$14:$Y$25,2,1)))</f>
        <v>0</v>
      </c>
      <c r="R457" s="27">
        <f>VLOOKUP(A457,Participanti!A:C,3,0)</f>
        <v>0</v>
      </c>
      <c r="S457" s="21">
        <f t="shared" si="126"/>
        <v>1.0797619047619047</v>
      </c>
      <c r="T457" s="82">
        <v>44540</v>
      </c>
      <c r="U457" s="143">
        <f>COUNTIFS(A:A,A457,C:C,C457)</f>
        <v>1</v>
      </c>
      <c r="V457" s="77" t="str">
        <f>VLOOKUP(A457,Data_echipe!A:U,21,0)</f>
        <v>All Stars</v>
      </c>
      <c r="X457" s="154">
        <v>1</v>
      </c>
    </row>
    <row r="458" spans="1:24" x14ac:dyDescent="0.25">
      <c r="A458" s="64" t="s">
        <v>196</v>
      </c>
      <c r="B458" s="77" t="str">
        <f>VLOOKUP(A458,Participanti!A:B,2,0)</f>
        <v>F</v>
      </c>
      <c r="C458" s="139">
        <v>14</v>
      </c>
      <c r="D458" s="66">
        <v>8</v>
      </c>
      <c r="E458" s="67">
        <v>3.363425925925926E-2</v>
      </c>
      <c r="F458" s="67">
        <v>4.2129629629629628E-2</v>
      </c>
      <c r="G458" s="100">
        <f t="shared" si="120"/>
        <v>3.788194444444444E-2</v>
      </c>
      <c r="H458" s="68">
        <v>30</v>
      </c>
      <c r="I458" s="112">
        <f t="shared" si="121"/>
        <v>4.735243055555555E-3</v>
      </c>
      <c r="J458" s="92">
        <f t="shared" si="122"/>
        <v>2</v>
      </c>
      <c r="K458" s="92">
        <f>IF(J458=0,0,IF(B458="F",VLOOKUP(I458,Barem!$G$2:$H$11,2,1),VLOOKUP(I458,Barem!$G$12:$H$21,2,1)))</f>
        <v>1</v>
      </c>
      <c r="L458" s="201" t="s">
        <v>109</v>
      </c>
      <c r="M458" s="11">
        <f t="shared" si="123"/>
        <v>0.75</v>
      </c>
      <c r="N458" s="11">
        <f t="shared" si="124"/>
        <v>0.25</v>
      </c>
      <c r="O458" s="49">
        <f t="shared" si="125"/>
        <v>0</v>
      </c>
      <c r="P458" s="27">
        <f>IF(D458&gt;21,VLOOKUP(D458,Barem!$S$1:$T$141,2,1),0)</f>
        <v>0</v>
      </c>
      <c r="Q458" s="27">
        <f>IF(D458&lt;1.609,0,IF(B458="F",VLOOKUP(I458,Barem!$W$2:$Y$13,2,1),VLOOKUP(I458,Barem!$W$14:$Y$25,2,1)))</f>
        <v>0</v>
      </c>
      <c r="R458" s="27">
        <f>VLOOKUP(A458,Participanti!A:C,3,0)</f>
        <v>0</v>
      </c>
      <c r="S458" s="21">
        <f t="shared" si="126"/>
        <v>1.75</v>
      </c>
      <c r="T458" s="82">
        <v>44542</v>
      </c>
      <c r="U458" s="143">
        <f>COUNTIFS(A:A,A458,C:C,C458)</f>
        <v>1</v>
      </c>
      <c r="V458" s="77" t="str">
        <f>VLOOKUP(A458,Data_echipe!A:U,21,0)</f>
        <v>UltraSYR</v>
      </c>
      <c r="X458" s="154">
        <v>1</v>
      </c>
    </row>
    <row r="459" spans="1:24" x14ac:dyDescent="0.25">
      <c r="A459" s="64" t="s">
        <v>103</v>
      </c>
      <c r="B459" s="77" t="str">
        <f>VLOOKUP(A459,Participanti!A:B,2,0)</f>
        <v>F</v>
      </c>
      <c r="C459" s="139">
        <v>14</v>
      </c>
      <c r="D459" s="66">
        <v>6.01</v>
      </c>
      <c r="E459" s="67">
        <v>2.3298611111111107E-2</v>
      </c>
      <c r="F459" s="67">
        <v>2.4027777777777776E-2</v>
      </c>
      <c r="G459" s="100">
        <f t="shared" si="120"/>
        <v>2.3663194444444442E-2</v>
      </c>
      <c r="H459" s="68">
        <v>8</v>
      </c>
      <c r="I459" s="112">
        <f t="shared" si="121"/>
        <v>3.9373035681271951E-3</v>
      </c>
      <c r="J459" s="92">
        <f t="shared" si="122"/>
        <v>1.5024999999999999</v>
      </c>
      <c r="K459" s="92">
        <f>IF(J459=0,0,IF(B459="F",VLOOKUP(I459,Barem!$G$2:$H$11,2,1),VLOOKUP(I459,Barem!$G$12:$H$21,2,1)))</f>
        <v>2.5</v>
      </c>
      <c r="L459" s="65" t="str">
        <f>VLOOKUP(C459,Barem!L:Q,6,0)</f>
        <v>V</v>
      </c>
      <c r="M459" s="11">
        <f t="shared" si="123"/>
        <v>0.25</v>
      </c>
      <c r="N459" s="11">
        <f t="shared" si="124"/>
        <v>0.75</v>
      </c>
      <c r="O459" s="49">
        <f t="shared" si="125"/>
        <v>0</v>
      </c>
      <c r="P459" s="27">
        <f>IF(D459&gt;21,VLOOKUP(D459,Barem!$S$1:$T$141,2,1),0)</f>
        <v>0</v>
      </c>
      <c r="Q459" s="27">
        <f>IF(D459&lt;1.609,0,IF(B459="F",VLOOKUP(I459,Barem!$W$2:$Y$13,2,1),VLOOKUP(I459,Barem!$W$14:$Y$25,2,1)))</f>
        <v>0</v>
      </c>
      <c r="R459" s="27">
        <f>VLOOKUP(A459,Participanti!A:C,3,0)</f>
        <v>0</v>
      </c>
      <c r="S459" s="21">
        <f t="shared" si="126"/>
        <v>2.2506249999999999</v>
      </c>
      <c r="T459" s="82">
        <v>44542</v>
      </c>
      <c r="U459" s="143">
        <f>COUNTIFS(A:A,A459,C:C,C459)</f>
        <v>1</v>
      </c>
      <c r="V459" s="77" t="str">
        <f>VLOOKUP(A459,Data_echipe!A:U,21,0)</f>
        <v>UltraSYR</v>
      </c>
      <c r="X459" s="154">
        <v>1</v>
      </c>
    </row>
    <row r="460" spans="1:24" x14ac:dyDescent="0.25">
      <c r="A460" s="64" t="s">
        <v>244</v>
      </c>
      <c r="B460" s="77" t="str">
        <f>VLOOKUP(A460,Participanti!A:B,2,0)</f>
        <v>M</v>
      </c>
      <c r="C460" s="139">
        <v>14</v>
      </c>
      <c r="D460" s="66">
        <v>24.62</v>
      </c>
      <c r="E460" s="67">
        <v>0.1547337962962963</v>
      </c>
      <c r="F460" s="67">
        <v>0.18947916666666667</v>
      </c>
      <c r="G460" s="100">
        <f t="shared" si="120"/>
        <v>0.1721064814814815</v>
      </c>
      <c r="H460" s="68">
        <v>1232</v>
      </c>
      <c r="I460" s="112">
        <f t="shared" si="121"/>
        <v>6.9905150886060722E-3</v>
      </c>
      <c r="J460" s="92">
        <f t="shared" si="122"/>
        <v>5</v>
      </c>
      <c r="K460" s="92">
        <f>IF(J460=0,0,IF(B460="F",VLOOKUP(I460,Barem!$G$2:$H$11,2,1),VLOOKUP(I460,Barem!$G$12:$H$21,2,1)))</f>
        <v>0</v>
      </c>
      <c r="L460" s="110" t="s">
        <v>109</v>
      </c>
      <c r="M460" s="11">
        <f t="shared" si="123"/>
        <v>0.75</v>
      </c>
      <c r="N460" s="11">
        <f t="shared" si="124"/>
        <v>0.25</v>
      </c>
      <c r="O460" s="49">
        <f t="shared" si="125"/>
        <v>0.82133333333333336</v>
      </c>
      <c r="P460" s="27">
        <f>IF(D460&gt;21,VLOOKUP(D460,Barem!$S$1:$T$141,2,1),0)</f>
        <v>0.1</v>
      </c>
      <c r="Q460" s="27">
        <f>IF(D460&lt;1.609,0,IF(B460="F",VLOOKUP(I460,Barem!$W$2:$Y$13,2,1),VLOOKUP(I460,Barem!$W$14:$Y$25,2,1)))</f>
        <v>0</v>
      </c>
      <c r="R460" s="27">
        <f>VLOOKUP(A460,Participanti!A:C,3,0)</f>
        <v>0</v>
      </c>
      <c r="S460" s="21">
        <f t="shared" si="126"/>
        <v>4.6713333333333331</v>
      </c>
      <c r="T460" s="82">
        <v>44542</v>
      </c>
      <c r="U460" s="143">
        <f>COUNTIFS(A:A,A460,C:C,C460)</f>
        <v>1</v>
      </c>
      <c r="V460" s="77" t="str">
        <f>VLOOKUP(A460,Data_echipe!A:U,21,0)</f>
        <v>All Stars</v>
      </c>
      <c r="X460" s="154"/>
    </row>
    <row r="461" spans="1:24" x14ac:dyDescent="0.25">
      <c r="A461" s="64" t="s">
        <v>50</v>
      </c>
      <c r="B461" s="77" t="str">
        <f>VLOOKUP(A461,Participanti!A:B,2,0)</f>
        <v>M</v>
      </c>
      <c r="C461" s="139">
        <v>14</v>
      </c>
      <c r="D461" s="66">
        <v>12.5</v>
      </c>
      <c r="E461" s="67">
        <v>5.2152777777777777E-2</v>
      </c>
      <c r="F461" s="67">
        <v>6.1087962962962962E-2</v>
      </c>
      <c r="G461" s="100">
        <f t="shared" si="120"/>
        <v>5.662037037037037E-2</v>
      </c>
      <c r="H461" s="68">
        <v>54</v>
      </c>
      <c r="I461" s="112">
        <f t="shared" si="121"/>
        <v>4.52962962962963E-3</v>
      </c>
      <c r="J461" s="92">
        <f t="shared" si="122"/>
        <v>2.9761904761904763</v>
      </c>
      <c r="K461" s="92">
        <f>IF(J461=0,0,IF(B461="F",VLOOKUP(I461,Barem!$G$2:$H$11,2,1),VLOOKUP(I461,Barem!$G$12:$H$21,2,1)))</f>
        <v>1</v>
      </c>
      <c r="L461" s="65" t="str">
        <f>VLOOKUP(C461,Barem!L:Q,6,0)</f>
        <v>V</v>
      </c>
      <c r="M461" s="11">
        <f t="shared" si="123"/>
        <v>0.25</v>
      </c>
      <c r="N461" s="11">
        <f t="shared" si="124"/>
        <v>0.75</v>
      </c>
      <c r="O461" s="49">
        <f t="shared" si="125"/>
        <v>3.5999999999999997E-2</v>
      </c>
      <c r="P461" s="27">
        <f>IF(D461&gt;21,VLOOKUP(D461,Barem!$S$1:$T$141,2,1),0)</f>
        <v>0</v>
      </c>
      <c r="Q461" s="27">
        <f>IF(D461&lt;1.609,0,IF(B461="F",VLOOKUP(I461,Barem!$W$2:$Y$13,2,1),VLOOKUP(I461,Barem!$W$14:$Y$25,2,1)))</f>
        <v>0</v>
      </c>
      <c r="R461" s="27">
        <f>VLOOKUP(A461,Participanti!A:C,3,0)</f>
        <v>0.4</v>
      </c>
      <c r="S461" s="21">
        <f t="shared" si="126"/>
        <v>1.930047619047619</v>
      </c>
      <c r="T461" s="82">
        <v>44542</v>
      </c>
      <c r="U461" s="143">
        <f>COUNTIFS(A:A,A461,C:C,C461)</f>
        <v>1</v>
      </c>
      <c r="V461" s="77" t="str">
        <f>VLOOKUP(A461,Data_echipe!A:U,21,0)</f>
        <v>UltraSYR</v>
      </c>
      <c r="X461" s="154">
        <v>1</v>
      </c>
    </row>
    <row r="462" spans="1:24" x14ac:dyDescent="0.25">
      <c r="A462" s="64" t="s">
        <v>202</v>
      </c>
      <c r="B462" s="77" t="str">
        <f>VLOOKUP(A462,Participanti!A:B,2,0)</f>
        <v>F</v>
      </c>
      <c r="C462" s="139">
        <v>14</v>
      </c>
      <c r="D462" s="66">
        <v>2.5099999999999998</v>
      </c>
      <c r="E462" s="67">
        <v>9.5949074074074079E-3</v>
      </c>
      <c r="F462" s="67">
        <v>1.1701388888888891E-2</v>
      </c>
      <c r="G462" s="100">
        <f t="shared" si="120"/>
        <v>1.064814814814815E-2</v>
      </c>
      <c r="H462" s="68">
        <v>4</v>
      </c>
      <c r="I462" s="112">
        <f t="shared" si="121"/>
        <v>4.2422900988638053E-3</v>
      </c>
      <c r="J462" s="92">
        <f t="shared" si="122"/>
        <v>0.62749999999999995</v>
      </c>
      <c r="K462" s="92">
        <f>IF(J462=0,0,IF(B462="F",VLOOKUP(I462,Barem!$G$2:$H$11,2,1),VLOOKUP(I462,Barem!$G$12:$H$21,2,1)))</f>
        <v>1.5</v>
      </c>
      <c r="L462" s="65" t="str">
        <f>VLOOKUP(C462,Barem!L:Q,6,0)</f>
        <v>V</v>
      </c>
      <c r="M462" s="11">
        <f t="shared" si="123"/>
        <v>0.25</v>
      </c>
      <c r="N462" s="11">
        <f t="shared" si="124"/>
        <v>0.75</v>
      </c>
      <c r="O462" s="49">
        <f t="shared" si="125"/>
        <v>0</v>
      </c>
      <c r="P462" s="27">
        <f>IF(D462&gt;21,VLOOKUP(D462,Barem!$S$1:$T$141,2,1),0)</f>
        <v>0</v>
      </c>
      <c r="Q462" s="27">
        <f>IF(D462&lt;1.609,0,IF(B462="F",VLOOKUP(I462,Barem!$W$2:$Y$13,2,1),VLOOKUP(I462,Barem!$W$14:$Y$25,2,1)))</f>
        <v>0</v>
      </c>
      <c r="R462" s="27">
        <f>VLOOKUP(A462,Participanti!A:C,3,0)</f>
        <v>0</v>
      </c>
      <c r="S462" s="21">
        <f t="shared" si="126"/>
        <v>1.2818749999999999</v>
      </c>
      <c r="T462" s="82">
        <v>44541</v>
      </c>
      <c r="U462" s="143">
        <f>COUNTIFS(A:A,A462,C:C,C462)</f>
        <v>1</v>
      </c>
      <c r="V462" s="77" t="e">
        <f>VLOOKUP(A462,Data_echipe!A:U,21,0)</f>
        <v>#N/A</v>
      </c>
      <c r="X462" s="154">
        <v>1</v>
      </c>
    </row>
    <row r="463" spans="1:24" x14ac:dyDescent="0.25">
      <c r="A463" s="64" t="s">
        <v>66</v>
      </c>
      <c r="B463" s="77" t="str">
        <f>VLOOKUP(A463,Participanti!A:B,2,0)</f>
        <v>F</v>
      </c>
      <c r="C463" s="139">
        <v>14</v>
      </c>
      <c r="D463" s="66">
        <v>8.3000000000000007</v>
      </c>
      <c r="E463" s="67">
        <v>4.0023148148148148E-2</v>
      </c>
      <c r="F463" s="67">
        <v>5.9849537037037041E-2</v>
      </c>
      <c r="G463" s="100">
        <f t="shared" si="120"/>
        <v>4.9936342592592595E-2</v>
      </c>
      <c r="H463" s="68">
        <v>0</v>
      </c>
      <c r="I463" s="112">
        <f t="shared" si="121"/>
        <v>6.0164268183846492E-3</v>
      </c>
      <c r="J463" s="92">
        <f t="shared" si="122"/>
        <v>2.0750000000000002</v>
      </c>
      <c r="K463" s="92">
        <f>IF(J463=0,0,IF(B463="F",VLOOKUP(I463,Barem!$G$2:$H$11,2,1),VLOOKUP(I463,Barem!$G$12:$H$21,2,1)))</f>
        <v>1</v>
      </c>
      <c r="L463" s="65" t="str">
        <f>VLOOKUP(C463,Barem!L:Q,6,0)</f>
        <v>V</v>
      </c>
      <c r="M463" s="11">
        <f t="shared" si="123"/>
        <v>0.25</v>
      </c>
      <c r="N463" s="11">
        <f t="shared" si="124"/>
        <v>0.75</v>
      </c>
      <c r="O463" s="49">
        <f t="shared" si="125"/>
        <v>0</v>
      </c>
      <c r="P463" s="27">
        <f>IF(D463&gt;21,VLOOKUP(D463,Barem!$S$1:$T$141,2,1),0)</f>
        <v>0</v>
      </c>
      <c r="Q463" s="27">
        <f>IF(D463&lt;1.609,0,IF(B463="F",VLOOKUP(I463,Barem!$W$2:$Y$13,2,1),VLOOKUP(I463,Barem!$W$14:$Y$25,2,1)))</f>
        <v>0</v>
      </c>
      <c r="R463" s="27">
        <f>VLOOKUP(A463,Participanti!A:C,3,0)</f>
        <v>0.7</v>
      </c>
      <c r="S463" s="21">
        <f t="shared" si="126"/>
        <v>1.96875</v>
      </c>
      <c r="T463" s="82">
        <v>44538</v>
      </c>
      <c r="U463" s="143">
        <f>COUNTIFS(A:A,A463,C:C,C463)</f>
        <v>1</v>
      </c>
      <c r="V463" s="77" t="e">
        <f>VLOOKUP(A463,Data_echipe!A:U,21,0)</f>
        <v>#N/A</v>
      </c>
      <c r="X463" s="154">
        <v>1</v>
      </c>
    </row>
    <row r="464" spans="1:24" x14ac:dyDescent="0.25">
      <c r="A464" s="64" t="s">
        <v>117</v>
      </c>
      <c r="B464" s="77" t="str">
        <f>VLOOKUP(A464,Participanti!A:B,2,0)</f>
        <v>M</v>
      </c>
      <c r="C464" s="139">
        <v>14</v>
      </c>
      <c r="D464" s="66">
        <v>7.08</v>
      </c>
      <c r="E464" s="67">
        <v>2.7465277777777772E-2</v>
      </c>
      <c r="F464" s="67">
        <v>2.7465277777777772E-2</v>
      </c>
      <c r="G464" s="100">
        <f t="shared" si="120"/>
        <v>2.7465277777777772E-2</v>
      </c>
      <c r="H464" s="68">
        <v>9</v>
      </c>
      <c r="I464" s="112">
        <f t="shared" si="121"/>
        <v>3.8792765222849961E-3</v>
      </c>
      <c r="J464" s="92">
        <f t="shared" si="122"/>
        <v>1.6857142857142857</v>
      </c>
      <c r="K464" s="92">
        <f>IF(J464=0,0,IF(B464="F",VLOOKUP(I464,Barem!$G$2:$H$11,2,1),VLOOKUP(I464,Barem!$G$12:$H$21,2,1)))</f>
        <v>1.5</v>
      </c>
      <c r="L464" s="65" t="str">
        <f>VLOOKUP(C464,Barem!L:Q,6,0)</f>
        <v>V</v>
      </c>
      <c r="M464" s="11">
        <f t="shared" si="123"/>
        <v>0.25</v>
      </c>
      <c r="N464" s="11">
        <f t="shared" si="124"/>
        <v>0.75</v>
      </c>
      <c r="O464" s="49">
        <f t="shared" si="125"/>
        <v>0</v>
      </c>
      <c r="P464" s="27">
        <f>IF(D464&gt;21,VLOOKUP(D464,Barem!$S$1:$T$141,2,1),0)</f>
        <v>0</v>
      </c>
      <c r="Q464" s="27">
        <f>IF(D464&lt;1.609,0,IF(B464="F",VLOOKUP(I464,Barem!$W$2:$Y$13,2,1),VLOOKUP(I464,Barem!$W$14:$Y$25,2,1)))</f>
        <v>0</v>
      </c>
      <c r="R464" s="27">
        <f>VLOOKUP(A464,Participanti!A:C,3,0)</f>
        <v>0</v>
      </c>
      <c r="S464" s="21">
        <f t="shared" si="126"/>
        <v>1.5464285714285715</v>
      </c>
      <c r="T464" s="82">
        <v>44541</v>
      </c>
      <c r="U464" s="143">
        <f>COUNTIFS(A:A,A464,C:C,C464)</f>
        <v>1</v>
      </c>
      <c r="V464" s="77" t="str">
        <f>VLOOKUP(A464,Data_echipe!A:U,21,0)</f>
        <v>UltraSYR</v>
      </c>
      <c r="X464" s="154">
        <v>1</v>
      </c>
    </row>
    <row r="465" spans="1:24" x14ac:dyDescent="0.25">
      <c r="A465" s="64" t="s">
        <v>65</v>
      </c>
      <c r="B465" s="77" t="str">
        <f>VLOOKUP(A465,Participanti!A:B,2,0)</f>
        <v>M</v>
      </c>
      <c r="C465" s="139">
        <v>14</v>
      </c>
      <c r="D465" s="66">
        <v>15.02</v>
      </c>
      <c r="E465" s="67">
        <v>5.9097222222222225E-2</v>
      </c>
      <c r="F465" s="67">
        <v>5.9143518518518519E-2</v>
      </c>
      <c r="G465" s="100">
        <f t="shared" si="120"/>
        <v>5.9120370370370372E-2</v>
      </c>
      <c r="H465" s="68">
        <v>16</v>
      </c>
      <c r="I465" s="112">
        <f t="shared" si="121"/>
        <v>3.9361098781871091E-3</v>
      </c>
      <c r="J465" s="92">
        <f t="shared" si="122"/>
        <v>3.5761904761904759</v>
      </c>
      <c r="K465" s="92">
        <f>IF(J465=0,0,IF(B465="F",VLOOKUP(I465,Barem!$G$2:$H$11,2,1),VLOOKUP(I465,Barem!$G$12:$H$21,2,1)))</f>
        <v>1.5</v>
      </c>
      <c r="L465" s="110" t="s">
        <v>109</v>
      </c>
      <c r="M465" s="11">
        <f t="shared" si="123"/>
        <v>0.75</v>
      </c>
      <c r="N465" s="11">
        <f t="shared" si="124"/>
        <v>0.25</v>
      </c>
      <c r="O465" s="49">
        <f t="shared" si="125"/>
        <v>0</v>
      </c>
      <c r="P465" s="27">
        <f>IF(D465&gt;21,VLOOKUP(D465,Barem!$S$1:$T$141,2,1),0)</f>
        <v>0</v>
      </c>
      <c r="Q465" s="27">
        <f>IF(D465&lt;1.609,0,IF(B465="F",VLOOKUP(I465,Barem!$W$2:$Y$13,2,1),VLOOKUP(I465,Barem!$W$14:$Y$25,2,1)))</f>
        <v>0</v>
      </c>
      <c r="R465" s="27">
        <f>VLOOKUP(A465,Participanti!A:C,3,0)</f>
        <v>0</v>
      </c>
      <c r="S465" s="21">
        <f t="shared" si="126"/>
        <v>3.0571428571428569</v>
      </c>
      <c r="T465" s="82">
        <v>44542</v>
      </c>
      <c r="U465" s="143">
        <f>COUNTIFS(A:A,A465,C:C,C465)</f>
        <v>1</v>
      </c>
      <c r="V465" s="77" t="str">
        <f>VLOOKUP(A465,Data_echipe!A:U,21,0)</f>
        <v>UltraSYR</v>
      </c>
      <c r="X465" s="154">
        <v>1</v>
      </c>
    </row>
    <row r="466" spans="1:24" x14ac:dyDescent="0.25">
      <c r="A466" s="64" t="s">
        <v>60</v>
      </c>
      <c r="B466" s="77" t="str">
        <f>VLOOKUP(A466,Participanti!A:B,2,0)</f>
        <v>M</v>
      </c>
      <c r="C466" s="139">
        <v>14</v>
      </c>
      <c r="D466" s="66">
        <v>10.07</v>
      </c>
      <c r="E466" s="67">
        <v>4.5023148148148145E-2</v>
      </c>
      <c r="F466" s="67">
        <v>4.5115740740740741E-2</v>
      </c>
      <c r="G466" s="100">
        <f t="shared" si="120"/>
        <v>4.506944444444444E-2</v>
      </c>
      <c r="H466" s="68">
        <v>2</v>
      </c>
      <c r="I466" s="112">
        <f t="shared" si="121"/>
        <v>4.4756151384751182E-3</v>
      </c>
      <c r="J466" s="92">
        <f t="shared" si="122"/>
        <v>2.3976190476190475</v>
      </c>
      <c r="K466" s="92">
        <f>IF(J466=0,0,IF(B466="F",VLOOKUP(I466,Barem!$G$2:$H$11,2,1),VLOOKUP(I466,Barem!$G$12:$H$21,2,1)))</f>
        <v>1</v>
      </c>
      <c r="L466" s="65" t="str">
        <f>VLOOKUP(C466,Barem!L:Q,6,0)</f>
        <v>V</v>
      </c>
      <c r="M466" s="11">
        <f t="shared" si="123"/>
        <v>0.25</v>
      </c>
      <c r="N466" s="11">
        <f t="shared" si="124"/>
        <v>0.75</v>
      </c>
      <c r="O466" s="49">
        <f t="shared" si="125"/>
        <v>0</v>
      </c>
      <c r="P466" s="27">
        <f>IF(D466&gt;21,VLOOKUP(D466,Barem!$S$1:$T$141,2,1),0)</f>
        <v>0</v>
      </c>
      <c r="Q466" s="27">
        <f>IF(D466&lt;1.609,0,IF(B466="F",VLOOKUP(I466,Barem!$W$2:$Y$13,2,1),VLOOKUP(I466,Barem!$W$14:$Y$25,2,1)))</f>
        <v>0</v>
      </c>
      <c r="R466" s="27">
        <f>VLOOKUP(A466,Participanti!A:C,3,0)</f>
        <v>0</v>
      </c>
      <c r="S466" s="21">
        <f t="shared" si="126"/>
        <v>1.3494047619047618</v>
      </c>
      <c r="T466" s="82">
        <v>44541</v>
      </c>
      <c r="U466" s="143">
        <f>COUNTIFS(A:A,A466,C:C,C466)</f>
        <v>1</v>
      </c>
      <c r="V466" s="77" t="e">
        <f>VLOOKUP(A466,Data_echipe!A:U,21,0)</f>
        <v>#N/A</v>
      </c>
      <c r="X466" s="154">
        <v>1</v>
      </c>
    </row>
    <row r="467" spans="1:24" ht="12.6" thickBot="1" x14ac:dyDescent="0.3">
      <c r="A467" s="180" t="s">
        <v>350</v>
      </c>
      <c r="B467" s="181" t="str">
        <f>VLOOKUP(A467,Participanti!A:B,2,0)</f>
        <v>F</v>
      </c>
      <c r="C467" s="197">
        <v>14</v>
      </c>
      <c r="D467" s="183">
        <v>6.02</v>
      </c>
      <c r="E467" s="184">
        <v>2.165509259259259E-2</v>
      </c>
      <c r="F467" s="184">
        <v>2.165509259259259E-2</v>
      </c>
      <c r="G467" s="185">
        <f t="shared" si="120"/>
        <v>2.165509259259259E-2</v>
      </c>
      <c r="H467" s="186">
        <v>0</v>
      </c>
      <c r="I467" s="187">
        <f t="shared" si="121"/>
        <v>3.5971914605635535E-3</v>
      </c>
      <c r="J467" s="188">
        <f t="shared" si="122"/>
        <v>1.5049999999999999</v>
      </c>
      <c r="K467" s="188">
        <f>IF(J467=0,0,IF(B467="F",VLOOKUP(I467,Barem!$G$2:$H$11,2,1),VLOOKUP(I467,Barem!$G$12:$H$21,2,1)))</f>
        <v>3.5</v>
      </c>
      <c r="L467" s="189" t="str">
        <f>VLOOKUP(C467,Barem!L:Q,6,0)</f>
        <v>V</v>
      </c>
      <c r="M467" s="190">
        <f t="shared" si="123"/>
        <v>0.25</v>
      </c>
      <c r="N467" s="190">
        <f t="shared" si="124"/>
        <v>0.75</v>
      </c>
      <c r="O467" s="191">
        <f t="shared" si="125"/>
        <v>0</v>
      </c>
      <c r="P467" s="192">
        <f>IF(D467&gt;21,VLOOKUP(D467,Barem!$S$1:$T$141,2,1),0)</f>
        <v>0</v>
      </c>
      <c r="Q467" s="192">
        <f>IF(D467&lt;1.609,0,IF(B467="F",VLOOKUP(I467,Barem!$W$2:$Y$13,2,1),VLOOKUP(I467,Barem!$W$14:$Y$25,2,1)))</f>
        <v>0</v>
      </c>
      <c r="R467" s="192">
        <f>VLOOKUP(A467,Participanti!A:C,3,0)</f>
        <v>0</v>
      </c>
      <c r="S467" s="193">
        <f t="shared" si="126"/>
        <v>3.0012499999999998</v>
      </c>
      <c r="T467" s="194">
        <v>44541</v>
      </c>
      <c r="U467" s="195">
        <f>COUNTIFS(A:A,A467,C:C,C467)</f>
        <v>1</v>
      </c>
      <c r="V467" s="181" t="e">
        <f>VLOOKUP(A467,Data_echipe!A:U,21,0)</f>
        <v>#N/A</v>
      </c>
      <c r="W467" s="196"/>
      <c r="X467" s="154">
        <v>1</v>
      </c>
    </row>
    <row r="468" spans="1:24" x14ac:dyDescent="0.25">
      <c r="A468" s="64" t="s">
        <v>242</v>
      </c>
      <c r="B468" s="77" t="str">
        <f>VLOOKUP(A468,Participanti!A:B,2,0)</f>
        <v>M</v>
      </c>
      <c r="C468" s="139">
        <v>15</v>
      </c>
      <c r="D468" s="66">
        <v>21.12</v>
      </c>
      <c r="E468" s="67">
        <v>5.5486111111111104E-2</v>
      </c>
      <c r="F468" s="67">
        <v>5.5486111111111104E-2</v>
      </c>
      <c r="G468" s="100">
        <f t="shared" si="120"/>
        <v>5.5486111111111104E-2</v>
      </c>
      <c r="H468" s="68">
        <v>153</v>
      </c>
      <c r="I468" s="112">
        <f t="shared" ref="I468:I494" si="127">G468/D468</f>
        <v>2.6271832912457909E-3</v>
      </c>
      <c r="J468" s="92">
        <f t="shared" ref="J468:J494" si="128">IF(B468="F",IF(D468&lt;2.5,0,IF(D468&gt;19.99,5,D468/4)),IF(D468&lt;3,0, IF(D468&gt;20.99,5,D468/4.2)))</f>
        <v>5</v>
      </c>
      <c r="K468" s="92">
        <f>IF(J468=0,0,IF(B468="F",VLOOKUP(I468,Barem!$G$2:$H$11,2,1),VLOOKUP(I468,Barem!$G$12:$H$21,2,1)))</f>
        <v>5</v>
      </c>
      <c r="L468" s="65" t="str">
        <f>VLOOKUP(C468,Barem!L:Q,6,0)</f>
        <v>D/V</v>
      </c>
      <c r="M468" s="11">
        <f t="shared" ref="M468:M494" si="129">IF(OR(L468="P1",L468="P2",L468="P3"),"",IF(C468=15,0.5,IF(L468="D",0.75,0.25)))</f>
        <v>0.5</v>
      </c>
      <c r="N468" s="11">
        <f t="shared" ref="N468:N494" si="130">IF(OR(L468="P1",L468="P2",L468="P3"),"",IF(C468=15,0.5,IF(L468="V",0.75,0.25)))</f>
        <v>0.5</v>
      </c>
      <c r="O468" s="49">
        <f t="shared" ref="O468:O494" si="131">IF(H468&lt;-49,H468/1500,IF(H468&gt;49,H468/1500,0))</f>
        <v>0.10199999999999999</v>
      </c>
      <c r="P468" s="27">
        <f>IF(D468&gt;21,VLOOKUP(D468,Barem!$S$1:$T$141,2,1),0)</f>
        <v>0</v>
      </c>
      <c r="Q468" s="27">
        <f>IF(D468&lt;1.609,0,IF(B468="F",VLOOKUP(I468,Barem!$W$2:$Y$13,2,1),VLOOKUP(I468,Barem!$W$14:$Y$25,2,1)))</f>
        <v>0.89999999999999991</v>
      </c>
      <c r="R468" s="27">
        <f>VLOOKUP(A468,Participanti!A:C,3,0)</f>
        <v>0</v>
      </c>
      <c r="S468" s="21">
        <f t="shared" ref="S468:S494" si="132">J468*M468+K468*N468+O468+P468+Q468+R468</f>
        <v>6.0020000000000007</v>
      </c>
      <c r="T468" s="82">
        <v>44544</v>
      </c>
      <c r="U468" s="143">
        <f>COUNTIFS(A:A,A468,C:C,C468)</f>
        <v>1</v>
      </c>
      <c r="V468" s="77" t="str">
        <f>VLOOKUP(A468,Data_echipe!A:U,21,0)</f>
        <v>All Stars</v>
      </c>
      <c r="W468" s="23" t="s">
        <v>354</v>
      </c>
      <c r="X468" s="154">
        <v>1</v>
      </c>
    </row>
    <row r="469" spans="1:24" x14ac:dyDescent="0.25">
      <c r="A469" s="64" t="s">
        <v>152</v>
      </c>
      <c r="B469" s="77" t="str">
        <f>VLOOKUP(A469,Participanti!A:B,2,0)</f>
        <v>F</v>
      </c>
      <c r="C469" s="139">
        <v>15</v>
      </c>
      <c r="D469" s="66">
        <v>18</v>
      </c>
      <c r="E469" s="67">
        <v>6.7743055555555556E-2</v>
      </c>
      <c r="F469" s="67">
        <v>6.8553240740740748E-2</v>
      </c>
      <c r="G469" s="100">
        <f t="shared" si="120"/>
        <v>6.8148148148148152E-2</v>
      </c>
      <c r="H469" s="68">
        <v>171</v>
      </c>
      <c r="I469" s="112">
        <f t="shared" si="127"/>
        <v>3.7860082304526752E-3</v>
      </c>
      <c r="J469" s="92">
        <f t="shared" si="128"/>
        <v>4.5</v>
      </c>
      <c r="K469" s="92">
        <f>IF(J469=0,0,IF(B469="F",VLOOKUP(I469,Barem!$G$2:$H$11,2,1),VLOOKUP(I469,Barem!$G$12:$H$21,2,1)))</f>
        <v>3</v>
      </c>
      <c r="L469" s="65" t="str">
        <f>VLOOKUP(C469,Barem!L:Q,6,0)</f>
        <v>D/V</v>
      </c>
      <c r="M469" s="11">
        <f t="shared" si="129"/>
        <v>0.5</v>
      </c>
      <c r="N469" s="11">
        <f t="shared" si="130"/>
        <v>0.5</v>
      </c>
      <c r="O469" s="49">
        <f t="shared" si="131"/>
        <v>0.114</v>
      </c>
      <c r="P469" s="27">
        <f>IF(D469&gt;21,VLOOKUP(D469,Barem!$S$1:$T$141,2,1),0)</f>
        <v>0</v>
      </c>
      <c r="Q469" s="27">
        <f>IF(D469&lt;1.609,0,IF(B469="F",VLOOKUP(I469,Barem!$W$2:$Y$13,2,1),VLOOKUP(I469,Barem!$W$14:$Y$25,2,1)))</f>
        <v>0</v>
      </c>
      <c r="R469" s="27">
        <f>VLOOKUP(A469,Participanti!A:C,3,0)</f>
        <v>0</v>
      </c>
      <c r="S469" s="21">
        <f t="shared" si="132"/>
        <v>3.8639999999999999</v>
      </c>
      <c r="T469" s="82">
        <v>44549</v>
      </c>
      <c r="U469" s="143">
        <f>COUNTIFS(A:A,A469,C:C,C469)</f>
        <v>1</v>
      </c>
      <c r="V469" s="77" t="str">
        <f>VLOOKUP(A469,Data_echipe!A:U,21,0)</f>
        <v>All Stars</v>
      </c>
      <c r="X469" s="154">
        <v>1</v>
      </c>
    </row>
    <row r="470" spans="1:24" x14ac:dyDescent="0.25">
      <c r="A470" s="64" t="s">
        <v>51</v>
      </c>
      <c r="B470" s="77" t="str">
        <f>VLOOKUP(A470,Participanti!A:B,2,0)</f>
        <v>M</v>
      </c>
      <c r="C470" s="139">
        <v>15</v>
      </c>
      <c r="D470" s="66">
        <v>23</v>
      </c>
      <c r="E470" s="67">
        <v>8.3553240740740733E-2</v>
      </c>
      <c r="F470" s="67">
        <v>8.6099537037037044E-2</v>
      </c>
      <c r="G470" s="100">
        <f t="shared" si="120"/>
        <v>8.4826388888888882E-2</v>
      </c>
      <c r="H470" s="68">
        <v>36</v>
      </c>
      <c r="I470" s="112">
        <f t="shared" si="127"/>
        <v>3.6881038647342992E-3</v>
      </c>
      <c r="J470" s="92">
        <f t="shared" si="128"/>
        <v>5</v>
      </c>
      <c r="K470" s="92">
        <f>IF(J470=0,0,IF(B470="F",VLOOKUP(I470,Barem!$G$2:$H$11,2,1),VLOOKUP(I470,Barem!$G$12:$H$21,2,1)))</f>
        <v>2</v>
      </c>
      <c r="L470" s="65" t="str">
        <f>VLOOKUP(C470,Barem!L:Q,6,0)</f>
        <v>D/V</v>
      </c>
      <c r="M470" s="11">
        <f t="shared" si="129"/>
        <v>0.5</v>
      </c>
      <c r="N470" s="11">
        <f t="shared" si="130"/>
        <v>0.5</v>
      </c>
      <c r="O470" s="49">
        <f t="shared" si="131"/>
        <v>0</v>
      </c>
      <c r="P470" s="27">
        <f>IF(D470&gt;21,VLOOKUP(D470,Barem!$S$1:$T$141,2,1),0)</f>
        <v>0.1</v>
      </c>
      <c r="Q470" s="27">
        <f>IF(D470&lt;1.609,0,IF(B470="F",VLOOKUP(I470,Barem!$W$2:$Y$13,2,1),VLOOKUP(I470,Barem!$W$14:$Y$25,2,1)))</f>
        <v>0</v>
      </c>
      <c r="R470" s="27">
        <f>VLOOKUP(A470,Participanti!A:C,3,0)</f>
        <v>0</v>
      </c>
      <c r="S470" s="21">
        <f t="shared" si="132"/>
        <v>3.6</v>
      </c>
      <c r="T470" s="82">
        <v>44548</v>
      </c>
      <c r="U470" s="143">
        <f>COUNTIFS(A:A,A470,C:C,C470)</f>
        <v>1</v>
      </c>
      <c r="V470" s="77" t="str">
        <f>VLOOKUP(A470,Data_echipe!A:U,21,0)</f>
        <v>UltraSYR</v>
      </c>
      <c r="X470" s="154">
        <v>1</v>
      </c>
    </row>
    <row r="471" spans="1:24" x14ac:dyDescent="0.25">
      <c r="A471" s="64" t="s">
        <v>203</v>
      </c>
      <c r="B471" s="77" t="str">
        <f>VLOOKUP(A471,Participanti!A:B,2,0)</f>
        <v>M</v>
      </c>
      <c r="C471" s="139">
        <v>15</v>
      </c>
      <c r="D471" s="66">
        <v>13.1</v>
      </c>
      <c r="E471" s="67">
        <v>4.0208333333333332E-2</v>
      </c>
      <c r="F471" s="67">
        <v>4.0300925925925928E-2</v>
      </c>
      <c r="G471" s="100">
        <f t="shared" si="120"/>
        <v>4.0254629629629626E-2</v>
      </c>
      <c r="H471" s="68">
        <v>91</v>
      </c>
      <c r="I471" s="112">
        <f t="shared" si="127"/>
        <v>3.0728724908114218E-3</v>
      </c>
      <c r="J471" s="92">
        <f t="shared" si="128"/>
        <v>3.1190476190476186</v>
      </c>
      <c r="K471" s="92">
        <f>IF(J471=0,0,IF(B471="F",VLOOKUP(I471,Barem!$G$2:$H$11,2,1),VLOOKUP(I471,Barem!$G$12:$H$21,2,1)))</f>
        <v>4</v>
      </c>
      <c r="L471" s="65" t="str">
        <f>VLOOKUP(C471,Barem!L:Q,6,0)</f>
        <v>D/V</v>
      </c>
      <c r="M471" s="11">
        <f t="shared" si="129"/>
        <v>0.5</v>
      </c>
      <c r="N471" s="11">
        <f t="shared" si="130"/>
        <v>0.5</v>
      </c>
      <c r="O471" s="49">
        <f t="shared" si="131"/>
        <v>6.0666666666666667E-2</v>
      </c>
      <c r="P471" s="27">
        <f>IF(D471&gt;21,VLOOKUP(D471,Barem!$S$1:$T$141,2,1),0)</f>
        <v>0</v>
      </c>
      <c r="Q471" s="27">
        <f>IF(D471&lt;1.609,0,IF(B471="F",VLOOKUP(I471,Barem!$W$2:$Y$13,2,1),VLOOKUP(I471,Barem!$W$14:$Y$25,2,1)))</f>
        <v>0</v>
      </c>
      <c r="R471" s="27">
        <f>VLOOKUP(A471,Participanti!A:C,3,0)</f>
        <v>0</v>
      </c>
      <c r="S471" s="21">
        <f t="shared" si="132"/>
        <v>3.620190476190476</v>
      </c>
      <c r="T471" s="82">
        <v>44545</v>
      </c>
      <c r="U471" s="143">
        <f>COUNTIFS(A:A,A471,C:C,C471)</f>
        <v>1</v>
      </c>
      <c r="V471" s="77" t="str">
        <f>VLOOKUP(A471,Data_echipe!A:U,21,0)</f>
        <v>All Stars</v>
      </c>
      <c r="X471" s="154">
        <v>1</v>
      </c>
    </row>
    <row r="472" spans="1:24" x14ac:dyDescent="0.25">
      <c r="A472" s="64" t="s">
        <v>211</v>
      </c>
      <c r="B472" s="77" t="str">
        <f>VLOOKUP(A472,Participanti!A:B,2,0)</f>
        <v>F</v>
      </c>
      <c r="C472" s="139">
        <v>15</v>
      </c>
      <c r="D472" s="66">
        <v>13.04</v>
      </c>
      <c r="E472" s="67">
        <v>4.3587962962962967E-2</v>
      </c>
      <c r="F472" s="67">
        <v>4.3831018518518512E-2</v>
      </c>
      <c r="G472" s="100">
        <f t="shared" si="120"/>
        <v>4.3709490740740736E-2</v>
      </c>
      <c r="H472" s="68">
        <v>81</v>
      </c>
      <c r="I472" s="112">
        <f t="shared" si="127"/>
        <v>3.3519548114064983E-3</v>
      </c>
      <c r="J472" s="92">
        <f t="shared" si="128"/>
        <v>3.26</v>
      </c>
      <c r="K472" s="92">
        <f>IF(J472=0,0,IF(B472="F",VLOOKUP(I472,Barem!$G$2:$H$11,2,1),VLOOKUP(I472,Barem!$G$12:$H$21,2,1)))</f>
        <v>4</v>
      </c>
      <c r="L472" s="65" t="str">
        <f>VLOOKUP(C472,Barem!L:Q,6,0)</f>
        <v>D/V</v>
      </c>
      <c r="M472" s="11">
        <f t="shared" si="129"/>
        <v>0.5</v>
      </c>
      <c r="N472" s="11">
        <f t="shared" si="130"/>
        <v>0.5</v>
      </c>
      <c r="O472" s="49">
        <f t="shared" si="131"/>
        <v>5.3999999999999999E-2</v>
      </c>
      <c r="P472" s="27">
        <f>IF(D472&gt;21,VLOOKUP(D472,Barem!$S$1:$T$141,2,1),0)</f>
        <v>0</v>
      </c>
      <c r="Q472" s="27">
        <f>IF(D472&lt;1.609,0,IF(B472="F",VLOOKUP(I472,Barem!$W$2:$Y$13,2,1),VLOOKUP(I472,Barem!$W$14:$Y$25,2,1)))</f>
        <v>0</v>
      </c>
      <c r="R472" s="27">
        <f>VLOOKUP(A472,Participanti!A:C,3,0)</f>
        <v>0</v>
      </c>
      <c r="S472" s="21">
        <f t="shared" si="132"/>
        <v>3.6839999999999997</v>
      </c>
      <c r="T472" s="82">
        <v>44546</v>
      </c>
      <c r="U472" s="143">
        <f>COUNTIFS(A:A,A472,C:C,C472)</f>
        <v>1</v>
      </c>
      <c r="V472" s="77" t="str">
        <f>VLOOKUP(A472,Data_echipe!A:U,21,0)</f>
        <v>UltraSYR</v>
      </c>
      <c r="X472" s="154">
        <v>1</v>
      </c>
    </row>
    <row r="473" spans="1:24" x14ac:dyDescent="0.25">
      <c r="A473" s="64" t="s">
        <v>53</v>
      </c>
      <c r="B473" s="77" t="str">
        <f>VLOOKUP(A473,Participanti!A:B,2,0)</f>
        <v>M</v>
      </c>
      <c r="C473" s="139">
        <v>15</v>
      </c>
      <c r="D473" s="66">
        <v>24.18</v>
      </c>
      <c r="E473" s="67">
        <v>0.11104166666666666</v>
      </c>
      <c r="F473" s="67">
        <v>0.12026620370370371</v>
      </c>
      <c r="G473" s="100">
        <f t="shared" si="120"/>
        <v>0.11565393518518519</v>
      </c>
      <c r="H473" s="68">
        <v>867</v>
      </c>
      <c r="I473" s="112">
        <f t="shared" si="127"/>
        <v>4.7830411573691143E-3</v>
      </c>
      <c r="J473" s="92">
        <f t="shared" si="128"/>
        <v>5</v>
      </c>
      <c r="K473" s="92">
        <f>IF(J473=0,0,IF(B473="F",VLOOKUP(I473,Barem!$G$2:$H$11,2,1),VLOOKUP(I473,Barem!$G$12:$H$21,2,1)))</f>
        <v>1</v>
      </c>
      <c r="L473" s="65" t="str">
        <f>VLOOKUP(C473,Barem!L:Q,6,0)</f>
        <v>D/V</v>
      </c>
      <c r="M473" s="11">
        <f t="shared" si="129"/>
        <v>0.5</v>
      </c>
      <c r="N473" s="11">
        <f t="shared" si="130"/>
        <v>0.5</v>
      </c>
      <c r="O473" s="49">
        <f t="shared" si="131"/>
        <v>0.57799999999999996</v>
      </c>
      <c r="P473" s="27">
        <f>IF(D473&gt;21,VLOOKUP(D473,Barem!$S$1:$T$141,2,1),0)</f>
        <v>0.1</v>
      </c>
      <c r="Q473" s="27">
        <f>IF(D473&lt;1.609,0,IF(B473="F",VLOOKUP(I473,Barem!$W$2:$Y$13,2,1),VLOOKUP(I473,Barem!$W$14:$Y$25,2,1)))</f>
        <v>0</v>
      </c>
      <c r="R473" s="27">
        <f>VLOOKUP(A473,Participanti!A:C,3,0)</f>
        <v>0</v>
      </c>
      <c r="S473" s="21">
        <f t="shared" si="132"/>
        <v>3.6779999999999999</v>
      </c>
      <c r="T473" s="82">
        <v>44549</v>
      </c>
      <c r="U473" s="143">
        <f>COUNTIFS(A:A,A473,C:C,C473)</f>
        <v>1</v>
      </c>
      <c r="V473" s="77" t="str">
        <f>VLOOKUP(A473,Data_echipe!A:U,21,0)</f>
        <v>UltraSYR</v>
      </c>
      <c r="X473" s="154">
        <v>1</v>
      </c>
    </row>
    <row r="474" spans="1:24" x14ac:dyDescent="0.25">
      <c r="A474" s="64" t="s">
        <v>119</v>
      </c>
      <c r="B474" s="77" t="str">
        <f>VLOOKUP(A474,Participanti!A:B,2,0)</f>
        <v>M</v>
      </c>
      <c r="C474" s="139">
        <v>15</v>
      </c>
      <c r="D474" s="66">
        <v>26.03</v>
      </c>
      <c r="E474" s="67">
        <v>8.5335648148148147E-2</v>
      </c>
      <c r="F474" s="67">
        <v>0.10085648148148148</v>
      </c>
      <c r="G474" s="100">
        <f t="shared" si="120"/>
        <v>9.3096064814814805E-2</v>
      </c>
      <c r="H474" s="68">
        <v>2</v>
      </c>
      <c r="I474" s="112">
        <f t="shared" si="127"/>
        <v>3.5764911569271919E-3</v>
      </c>
      <c r="J474" s="92">
        <f t="shared" si="128"/>
        <v>5</v>
      </c>
      <c r="K474" s="92">
        <f>IF(J474=0,0,IF(B474="F",VLOOKUP(I474,Barem!$G$2:$H$11,2,1),VLOOKUP(I474,Barem!$G$12:$H$21,2,1)))</f>
        <v>2.5</v>
      </c>
      <c r="L474" s="65" t="str">
        <f>VLOOKUP(C474,Barem!L:Q,6,0)</f>
        <v>D/V</v>
      </c>
      <c r="M474" s="11">
        <f t="shared" si="129"/>
        <v>0.5</v>
      </c>
      <c r="N474" s="11">
        <f t="shared" si="130"/>
        <v>0.5</v>
      </c>
      <c r="O474" s="49">
        <f t="shared" si="131"/>
        <v>0</v>
      </c>
      <c r="P474" s="27">
        <f>IF(D474&gt;21,VLOOKUP(D474,Barem!$S$1:$T$141,2,1),0)</f>
        <v>0.2</v>
      </c>
      <c r="Q474" s="27">
        <f>IF(D474&lt;1.609,0,IF(B474="F",VLOOKUP(I474,Barem!$W$2:$Y$13,2,1),VLOOKUP(I474,Barem!$W$14:$Y$25,2,1)))</f>
        <v>0</v>
      </c>
      <c r="R474" s="27">
        <f>VLOOKUP(A474,Participanti!A:C,3,0)</f>
        <v>0</v>
      </c>
      <c r="S474" s="21">
        <f t="shared" si="132"/>
        <v>3.95</v>
      </c>
      <c r="T474" s="82">
        <v>44549</v>
      </c>
      <c r="U474" s="143">
        <f>COUNTIFS(A:A,A474,C:C,C474)</f>
        <v>1</v>
      </c>
      <c r="V474" s="77" t="e">
        <f>VLOOKUP(A474,Data_echipe!A:U,21,0)</f>
        <v>#N/A</v>
      </c>
      <c r="X474" s="154">
        <v>1</v>
      </c>
    </row>
    <row r="475" spans="1:24" x14ac:dyDescent="0.25">
      <c r="A475" s="64" t="s">
        <v>118</v>
      </c>
      <c r="B475" s="77" t="str">
        <f>VLOOKUP(A475,Participanti!A:B,2,0)</f>
        <v>M</v>
      </c>
      <c r="C475" s="139">
        <v>15</v>
      </c>
      <c r="D475" s="66">
        <v>24.89</v>
      </c>
      <c r="E475" s="67">
        <v>8.0057870370370363E-2</v>
      </c>
      <c r="F475" s="67">
        <v>8.8726851851851848E-2</v>
      </c>
      <c r="G475" s="100">
        <f t="shared" si="120"/>
        <v>8.4392361111111105E-2</v>
      </c>
      <c r="H475" s="68">
        <v>121</v>
      </c>
      <c r="I475" s="112">
        <f t="shared" si="127"/>
        <v>3.3906131422704339E-3</v>
      </c>
      <c r="J475" s="92">
        <f t="shared" si="128"/>
        <v>5</v>
      </c>
      <c r="K475" s="92">
        <f>IF(J475=0,0,IF(B475="F",VLOOKUP(I475,Barem!$G$2:$H$11,2,1),VLOOKUP(I475,Barem!$G$12:$H$21,2,1)))</f>
        <v>3</v>
      </c>
      <c r="L475" s="65" t="str">
        <f>VLOOKUP(C475,Barem!L:Q,6,0)</f>
        <v>D/V</v>
      </c>
      <c r="M475" s="11">
        <f t="shared" si="129"/>
        <v>0.5</v>
      </c>
      <c r="N475" s="11">
        <f t="shared" si="130"/>
        <v>0.5</v>
      </c>
      <c r="O475" s="49">
        <f t="shared" si="131"/>
        <v>8.0666666666666664E-2</v>
      </c>
      <c r="P475" s="27">
        <f>IF(D475&gt;21,VLOOKUP(D475,Barem!$S$1:$T$141,2,1),0)</f>
        <v>0.1</v>
      </c>
      <c r="Q475" s="27">
        <f>IF(D475&lt;1.609,0,IF(B475="F",VLOOKUP(I475,Barem!$W$2:$Y$13,2,1),VLOOKUP(I475,Barem!$W$14:$Y$25,2,1)))</f>
        <v>0</v>
      </c>
      <c r="R475" s="27">
        <f>VLOOKUP(A475,Participanti!A:C,3,0)</f>
        <v>0</v>
      </c>
      <c r="S475" s="21">
        <f t="shared" si="132"/>
        <v>4.1806666666666663</v>
      </c>
      <c r="T475" s="82">
        <v>44548</v>
      </c>
      <c r="U475" s="143">
        <f>COUNTIFS(A:A,A475,C:C,C475)</f>
        <v>1</v>
      </c>
      <c r="V475" s="77" t="str">
        <f>VLOOKUP(A475,Data_echipe!A:U,21,0)</f>
        <v>UltraSYR</v>
      </c>
      <c r="X475" s="154">
        <v>1</v>
      </c>
    </row>
    <row r="476" spans="1:24" x14ac:dyDescent="0.25">
      <c r="A476" s="64" t="s">
        <v>111</v>
      </c>
      <c r="B476" s="77" t="str">
        <f>VLOOKUP(A476,Participanti!A:B,2,0)</f>
        <v>M</v>
      </c>
      <c r="C476" s="139">
        <v>15</v>
      </c>
      <c r="D476" s="66">
        <v>22.01</v>
      </c>
      <c r="E476" s="67">
        <v>8.5671296296296287E-2</v>
      </c>
      <c r="F476" s="67">
        <v>9.0937500000000004E-2</v>
      </c>
      <c r="G476" s="100">
        <f t="shared" si="120"/>
        <v>8.8304398148148139E-2</v>
      </c>
      <c r="H476" s="68">
        <v>591</v>
      </c>
      <c r="I476" s="112">
        <f t="shared" si="127"/>
        <v>4.0120126373533911E-3</v>
      </c>
      <c r="J476" s="92">
        <f t="shared" si="128"/>
        <v>5</v>
      </c>
      <c r="K476" s="92">
        <f>IF(J476=0,0,IF(B476="F",VLOOKUP(I476,Barem!$G$2:$H$11,2,1),VLOOKUP(I476,Barem!$G$12:$H$21,2,1)))</f>
        <v>1.5</v>
      </c>
      <c r="L476" s="65" t="str">
        <f>VLOOKUP(C476,Barem!L:Q,6,0)</f>
        <v>D/V</v>
      </c>
      <c r="M476" s="11">
        <f t="shared" si="129"/>
        <v>0.5</v>
      </c>
      <c r="N476" s="11">
        <f t="shared" si="130"/>
        <v>0.5</v>
      </c>
      <c r="O476" s="49">
        <f t="shared" si="131"/>
        <v>0.39400000000000002</v>
      </c>
      <c r="P476" s="27">
        <f>IF(D476&gt;21,VLOOKUP(D476,Barem!$S$1:$T$141,2,1),0)</f>
        <v>0</v>
      </c>
      <c r="Q476" s="27">
        <f>IF(D476&lt;1.609,0,IF(B476="F",VLOOKUP(I476,Barem!$W$2:$Y$13,2,1),VLOOKUP(I476,Barem!$W$14:$Y$25,2,1)))</f>
        <v>0</v>
      </c>
      <c r="R476" s="27">
        <f>VLOOKUP(A476,Participanti!A:C,3,0)</f>
        <v>0</v>
      </c>
      <c r="S476" s="21">
        <f t="shared" si="132"/>
        <v>3.6440000000000001</v>
      </c>
      <c r="T476" s="82">
        <v>44549</v>
      </c>
      <c r="U476" s="143">
        <f>COUNTIFS(A:A,A476,C:C,C476)</f>
        <v>1</v>
      </c>
      <c r="V476" s="77" t="str">
        <f>VLOOKUP(A476,Data_echipe!A:U,21,0)</f>
        <v>UltraSYR</v>
      </c>
      <c r="X476" s="154">
        <v>1</v>
      </c>
    </row>
    <row r="477" spans="1:24" x14ac:dyDescent="0.25">
      <c r="A477" s="64" t="s">
        <v>240</v>
      </c>
      <c r="B477" s="77" t="str">
        <f>VLOOKUP(A477,Participanti!A:B,2,0)</f>
        <v>M</v>
      </c>
      <c r="C477" s="139">
        <v>15</v>
      </c>
      <c r="D477" s="66">
        <v>21.5</v>
      </c>
      <c r="E477" s="67">
        <v>7.239583333333334E-2</v>
      </c>
      <c r="F477" s="67">
        <v>7.5775462962962961E-2</v>
      </c>
      <c r="G477" s="100">
        <f t="shared" si="120"/>
        <v>7.408564814814815E-2</v>
      </c>
      <c r="H477" s="68">
        <v>47</v>
      </c>
      <c r="I477" s="112">
        <f t="shared" si="127"/>
        <v>3.4458440999138675E-3</v>
      </c>
      <c r="J477" s="92">
        <f t="shared" si="128"/>
        <v>5</v>
      </c>
      <c r="K477" s="92">
        <f>IF(J477=0,0,IF(B477="F",VLOOKUP(I477,Barem!$G$2:$H$11,2,1),VLOOKUP(I477,Barem!$G$12:$H$21,2,1)))</f>
        <v>3</v>
      </c>
      <c r="L477" s="65" t="str">
        <f>VLOOKUP(C477,Barem!L:Q,6,0)</f>
        <v>D/V</v>
      </c>
      <c r="M477" s="11">
        <f t="shared" si="129"/>
        <v>0.5</v>
      </c>
      <c r="N477" s="11">
        <f t="shared" si="130"/>
        <v>0.5</v>
      </c>
      <c r="O477" s="49">
        <f t="shared" si="131"/>
        <v>0</v>
      </c>
      <c r="P477" s="27">
        <f>IF(D477&gt;21,VLOOKUP(D477,Barem!$S$1:$T$141,2,1),0)</f>
        <v>0</v>
      </c>
      <c r="Q477" s="27">
        <f>IF(D477&lt;1.609,0,IF(B477="F",VLOOKUP(I477,Barem!$W$2:$Y$13,2,1),VLOOKUP(I477,Barem!$W$14:$Y$25,2,1)))</f>
        <v>0</v>
      </c>
      <c r="R477" s="27">
        <f>VLOOKUP(A477,Participanti!A:C,3,0)</f>
        <v>0</v>
      </c>
      <c r="S477" s="21">
        <f t="shared" si="132"/>
        <v>4</v>
      </c>
      <c r="T477" s="82">
        <v>44547</v>
      </c>
      <c r="U477" s="143">
        <f>COUNTIFS(A:A,A477,C:C,C477)</f>
        <v>1</v>
      </c>
      <c r="V477" s="77" t="str">
        <f>VLOOKUP(A477,Data_echipe!A:U,21,0)</f>
        <v>All Stars</v>
      </c>
      <c r="X477" s="154">
        <v>1</v>
      </c>
    </row>
    <row r="478" spans="1:24" x14ac:dyDescent="0.25">
      <c r="A478" s="64" t="s">
        <v>102</v>
      </c>
      <c r="B478" s="77" t="str">
        <f>VLOOKUP(A478,Participanti!A:B,2,0)</f>
        <v>M</v>
      </c>
      <c r="C478" s="139">
        <v>15</v>
      </c>
      <c r="D478" s="66">
        <v>2.67</v>
      </c>
      <c r="E478" s="67">
        <v>1.1412037037037038E-2</v>
      </c>
      <c r="F478" s="67">
        <v>1.1493055555555555E-2</v>
      </c>
      <c r="G478" s="100">
        <f t="shared" si="120"/>
        <v>1.1452546296296297E-2</v>
      </c>
      <c r="H478" s="68">
        <v>8</v>
      </c>
      <c r="I478" s="112">
        <f t="shared" si="127"/>
        <v>4.2893431821334448E-3</v>
      </c>
      <c r="J478" s="92">
        <f t="shared" si="128"/>
        <v>0</v>
      </c>
      <c r="K478" s="92">
        <f>IF(J478=0,0,IF(B478="F",VLOOKUP(I478,Barem!$G$2:$H$11,2,1),VLOOKUP(I478,Barem!$G$12:$H$21,2,1)))</f>
        <v>0</v>
      </c>
      <c r="L478" s="65" t="str">
        <f>VLOOKUP(C478,Barem!L:Q,6,0)</f>
        <v>D/V</v>
      </c>
      <c r="M478" s="11">
        <f t="shared" si="129"/>
        <v>0.5</v>
      </c>
      <c r="N478" s="11">
        <f t="shared" si="130"/>
        <v>0.5</v>
      </c>
      <c r="O478" s="49">
        <f t="shared" si="131"/>
        <v>0</v>
      </c>
      <c r="P478" s="27">
        <f>IF(D478&gt;21,VLOOKUP(D478,Barem!$S$1:$T$141,2,1),0)</f>
        <v>0</v>
      </c>
      <c r="Q478" s="27">
        <f>IF(D478&lt;1.609,0,IF(B478="F",VLOOKUP(I478,Barem!$W$2:$Y$13,2,1),VLOOKUP(I478,Barem!$W$14:$Y$25,2,1)))</f>
        <v>0</v>
      </c>
      <c r="R478" s="27">
        <f>VLOOKUP(A478,Participanti!A:C,3,0)</f>
        <v>0</v>
      </c>
      <c r="S478" s="21">
        <f t="shared" si="132"/>
        <v>0</v>
      </c>
      <c r="T478" s="82">
        <v>44546</v>
      </c>
      <c r="U478" s="143">
        <f>COUNTIFS(A:A,A478,C:C,C478)</f>
        <v>1</v>
      </c>
      <c r="V478" s="77" t="str">
        <f>VLOOKUP(A478,Data_echipe!A:U,21,0)</f>
        <v>All Stars</v>
      </c>
      <c r="X478" s="154"/>
    </row>
    <row r="479" spans="1:24" x14ac:dyDescent="0.25">
      <c r="A479" s="64" t="s">
        <v>49</v>
      </c>
      <c r="B479" s="77" t="str">
        <f>VLOOKUP(A479,Participanti!A:B,2,0)</f>
        <v>M</v>
      </c>
      <c r="C479" s="139">
        <v>15</v>
      </c>
      <c r="D479" s="66">
        <v>15.03</v>
      </c>
      <c r="E479" s="67">
        <v>4.7291666666666669E-2</v>
      </c>
      <c r="F479" s="67">
        <v>4.7291666666666669E-2</v>
      </c>
      <c r="G479" s="100">
        <f t="shared" si="120"/>
        <v>4.7291666666666669E-2</v>
      </c>
      <c r="H479" s="68">
        <v>45</v>
      </c>
      <c r="I479" s="112">
        <f t="shared" si="127"/>
        <v>3.146484808161455E-3</v>
      </c>
      <c r="J479" s="92">
        <f t="shared" si="128"/>
        <v>3.5785714285714283</v>
      </c>
      <c r="K479" s="92">
        <f>IF(J479=0,0,IF(B479="F",VLOOKUP(I479,Barem!$G$2:$H$11,2,1),VLOOKUP(I479,Barem!$G$12:$H$21,2,1)))</f>
        <v>3.5</v>
      </c>
      <c r="L479" s="65" t="str">
        <f>VLOOKUP(C479,Barem!L:Q,6,0)</f>
        <v>D/V</v>
      </c>
      <c r="M479" s="11">
        <f t="shared" si="129"/>
        <v>0.5</v>
      </c>
      <c r="N479" s="11">
        <f t="shared" si="130"/>
        <v>0.5</v>
      </c>
      <c r="O479" s="49">
        <f t="shared" si="131"/>
        <v>0</v>
      </c>
      <c r="P479" s="27">
        <f>IF(D479&gt;21,VLOOKUP(D479,Barem!$S$1:$T$141,2,1),0)</f>
        <v>0</v>
      </c>
      <c r="Q479" s="27">
        <f>IF(D479&lt;1.609,0,IF(B479="F",VLOOKUP(I479,Barem!$W$2:$Y$13,2,1),VLOOKUP(I479,Barem!$W$14:$Y$25,2,1)))</f>
        <v>0</v>
      </c>
      <c r="R479" s="27">
        <f>VLOOKUP(A479,Participanti!A:C,3,0)</f>
        <v>0</v>
      </c>
      <c r="S479" s="21">
        <f t="shared" si="132"/>
        <v>3.5392857142857141</v>
      </c>
      <c r="T479" s="82">
        <v>44549</v>
      </c>
      <c r="U479" s="143">
        <f>COUNTIFS(A:A,A479,C:C,C479)</f>
        <v>1</v>
      </c>
      <c r="V479" s="77" t="str">
        <f>VLOOKUP(A479,Data_echipe!A:U,21,0)</f>
        <v>All Stars</v>
      </c>
      <c r="X479" s="154">
        <v>1</v>
      </c>
    </row>
    <row r="480" spans="1:24" x14ac:dyDescent="0.25">
      <c r="A480" s="64" t="s">
        <v>67</v>
      </c>
      <c r="B480" s="77" t="str">
        <f>VLOOKUP(A480,Participanti!A:B,2,0)</f>
        <v>M</v>
      </c>
      <c r="C480" s="139">
        <v>15</v>
      </c>
      <c r="D480" s="66">
        <v>25</v>
      </c>
      <c r="E480" s="67">
        <v>0.10082175925925925</v>
      </c>
      <c r="F480" s="67">
        <v>0.10101851851851851</v>
      </c>
      <c r="G480" s="100">
        <f t="shared" si="120"/>
        <v>0.10092013888888887</v>
      </c>
      <c r="H480" s="68">
        <v>73</v>
      </c>
      <c r="I480" s="112">
        <f t="shared" si="127"/>
        <v>4.0368055555555548E-3</v>
      </c>
      <c r="J480" s="92">
        <f t="shared" si="128"/>
        <v>5</v>
      </c>
      <c r="K480" s="92">
        <f>IF(J480=0,0,IF(B480="F",VLOOKUP(I480,Barem!$G$2:$H$11,2,1),VLOOKUP(I480,Barem!$G$12:$H$21,2,1)))</f>
        <v>1.5</v>
      </c>
      <c r="L480" s="65" t="str">
        <f>VLOOKUP(C480,Barem!L:Q,6,0)</f>
        <v>D/V</v>
      </c>
      <c r="M480" s="11">
        <f t="shared" si="129"/>
        <v>0.5</v>
      </c>
      <c r="N480" s="11">
        <f t="shared" si="130"/>
        <v>0.5</v>
      </c>
      <c r="O480" s="49">
        <f t="shared" si="131"/>
        <v>4.8666666666666664E-2</v>
      </c>
      <c r="P480" s="27">
        <f>IF(D480&gt;21,VLOOKUP(D480,Barem!$S$1:$T$141,2,1),0)</f>
        <v>0.2</v>
      </c>
      <c r="Q480" s="27">
        <f>IF(D480&lt;1.609,0,IF(B480="F",VLOOKUP(I480,Barem!$W$2:$Y$13,2,1),VLOOKUP(I480,Barem!$W$14:$Y$25,2,1)))</f>
        <v>0</v>
      </c>
      <c r="R480" s="27">
        <f>VLOOKUP(A480,Participanti!A:C,3,0)</f>
        <v>0</v>
      </c>
      <c r="S480" s="21">
        <f t="shared" si="132"/>
        <v>3.4986666666666668</v>
      </c>
      <c r="T480" s="82">
        <v>44549</v>
      </c>
      <c r="U480" s="143">
        <f>COUNTIFS(A:A,A480,C:C,C480)</f>
        <v>1</v>
      </c>
      <c r="V480" s="77" t="e">
        <f>VLOOKUP(A480,Data_echipe!A:U,21,0)</f>
        <v>#N/A</v>
      </c>
      <c r="X480" s="154">
        <v>1</v>
      </c>
    </row>
    <row r="481" spans="1:24" x14ac:dyDescent="0.25">
      <c r="A481" s="64" t="s">
        <v>239</v>
      </c>
      <c r="B481" s="77" t="str">
        <f>VLOOKUP(A481,Participanti!A:B,2,0)</f>
        <v>M</v>
      </c>
      <c r="C481" s="139">
        <v>15</v>
      </c>
      <c r="D481" s="66">
        <v>16.54</v>
      </c>
      <c r="E481" s="67">
        <v>5.3680555555555558E-2</v>
      </c>
      <c r="F481" s="67">
        <v>5.4027777777777779E-2</v>
      </c>
      <c r="G481" s="100">
        <f t="shared" si="120"/>
        <v>5.3854166666666668E-2</v>
      </c>
      <c r="H481" s="68">
        <v>114</v>
      </c>
      <c r="I481" s="112">
        <f t="shared" si="127"/>
        <v>3.2559955663039098E-3</v>
      </c>
      <c r="J481" s="92">
        <f t="shared" si="128"/>
        <v>3.9380952380952379</v>
      </c>
      <c r="K481" s="92">
        <f>IF(J481=0,0,IF(B481="F",VLOOKUP(I481,Barem!$G$2:$H$11,2,1),VLOOKUP(I481,Barem!$G$12:$H$21,2,1)))</f>
        <v>3.5</v>
      </c>
      <c r="L481" s="65" t="str">
        <f>VLOOKUP(C481,Barem!L:Q,6,0)</f>
        <v>D/V</v>
      </c>
      <c r="M481" s="11">
        <f t="shared" si="129"/>
        <v>0.5</v>
      </c>
      <c r="N481" s="11">
        <f t="shared" si="130"/>
        <v>0.5</v>
      </c>
      <c r="O481" s="49">
        <f t="shared" si="131"/>
        <v>7.5999999999999998E-2</v>
      </c>
      <c r="P481" s="27">
        <f>IF(D481&gt;21,VLOOKUP(D481,Barem!$S$1:$T$141,2,1),0)</f>
        <v>0</v>
      </c>
      <c r="Q481" s="27">
        <f>IF(D481&lt;1.609,0,IF(B481="F",VLOOKUP(I481,Barem!$W$2:$Y$13,2,1),VLOOKUP(I481,Barem!$W$14:$Y$25,2,1)))</f>
        <v>0</v>
      </c>
      <c r="R481" s="27">
        <f>VLOOKUP(A481,Participanti!A:C,3,0)</f>
        <v>0</v>
      </c>
      <c r="S481" s="21">
        <f t="shared" si="132"/>
        <v>3.7950476190476192</v>
      </c>
      <c r="T481" s="82">
        <v>44548</v>
      </c>
      <c r="U481" s="143">
        <f>COUNTIFS(A:A,A481,C:C,C481)</f>
        <v>1</v>
      </c>
      <c r="V481" s="77" t="str">
        <f>VLOOKUP(A481,Data_echipe!A:U,21,0)</f>
        <v>All Stars</v>
      </c>
      <c r="X481" s="154">
        <v>1</v>
      </c>
    </row>
    <row r="482" spans="1:24" x14ac:dyDescent="0.25">
      <c r="A482" s="64" t="s">
        <v>61</v>
      </c>
      <c r="B482" s="77" t="str">
        <f>VLOOKUP(A482,Participanti!A:B,2,0)</f>
        <v>M</v>
      </c>
      <c r="C482" s="139">
        <v>15</v>
      </c>
      <c r="D482" s="66">
        <v>10.6</v>
      </c>
      <c r="E482" s="67">
        <v>3.4282407407407407E-2</v>
      </c>
      <c r="F482" s="67">
        <v>3.5219907407407408E-2</v>
      </c>
      <c r="G482" s="100">
        <f t="shared" si="120"/>
        <v>3.4751157407407404E-2</v>
      </c>
      <c r="H482" s="68">
        <v>8</v>
      </c>
      <c r="I482" s="112">
        <f t="shared" si="127"/>
        <v>3.2784110761705097E-3</v>
      </c>
      <c r="J482" s="92">
        <f t="shared" si="128"/>
        <v>2.5238095238095237</v>
      </c>
      <c r="K482" s="92">
        <f>IF(J482=0,0,IF(B482="F",VLOOKUP(I482,Barem!$G$2:$H$11,2,1),VLOOKUP(I482,Barem!$G$12:$H$21,2,1)))</f>
        <v>3.5</v>
      </c>
      <c r="L482" s="65" t="str">
        <f>VLOOKUP(C482,Barem!L:Q,6,0)</f>
        <v>D/V</v>
      </c>
      <c r="M482" s="11">
        <f t="shared" si="129"/>
        <v>0.5</v>
      </c>
      <c r="N482" s="11">
        <f t="shared" si="130"/>
        <v>0.5</v>
      </c>
      <c r="O482" s="49">
        <f t="shared" si="131"/>
        <v>0</v>
      </c>
      <c r="P482" s="27">
        <f>IF(D482&gt;21,VLOOKUP(D482,Barem!$S$1:$T$141,2,1),0)</f>
        <v>0</v>
      </c>
      <c r="Q482" s="27">
        <f>IF(D482&lt;1.609,0,IF(B482="F",VLOOKUP(I482,Barem!$W$2:$Y$13,2,1),VLOOKUP(I482,Barem!$W$14:$Y$25,2,1)))</f>
        <v>0</v>
      </c>
      <c r="R482" s="27">
        <f>VLOOKUP(A482,Participanti!A:C,3,0)</f>
        <v>0</v>
      </c>
      <c r="S482" s="21">
        <f t="shared" si="132"/>
        <v>3.0119047619047619</v>
      </c>
      <c r="T482" s="82">
        <v>44546</v>
      </c>
      <c r="U482" s="143">
        <f>COUNTIFS(A:A,A482,C:C,C482)</f>
        <v>1</v>
      </c>
      <c r="V482" s="77" t="str">
        <f>VLOOKUP(A482,Data_echipe!A:U,21,0)</f>
        <v>UltraSYR</v>
      </c>
      <c r="X482" s="154">
        <v>1</v>
      </c>
    </row>
    <row r="483" spans="1:24" x14ac:dyDescent="0.25">
      <c r="A483" s="64" t="s">
        <v>153</v>
      </c>
      <c r="B483" s="77" t="str">
        <f>VLOOKUP(A483,Participanti!A:B,2,0)</f>
        <v>F</v>
      </c>
      <c r="C483" s="139">
        <v>15</v>
      </c>
      <c r="D483" s="66">
        <v>10.01</v>
      </c>
      <c r="E483" s="67">
        <v>3.5740740740740747E-2</v>
      </c>
      <c r="F483" s="67">
        <v>3.5740740740740747E-2</v>
      </c>
      <c r="G483" s="100">
        <f t="shared" si="120"/>
        <v>3.5740740740740747E-2</v>
      </c>
      <c r="H483" s="68">
        <v>39</v>
      </c>
      <c r="I483" s="112">
        <f t="shared" si="127"/>
        <v>3.5705035705035711E-3</v>
      </c>
      <c r="J483" s="92">
        <f t="shared" si="128"/>
        <v>2.5024999999999999</v>
      </c>
      <c r="K483" s="92">
        <f>IF(J483=0,0,IF(B483="F",VLOOKUP(I483,Barem!$G$2:$H$11,2,1),VLOOKUP(I483,Barem!$G$12:$H$21,2,1)))</f>
        <v>3.5</v>
      </c>
      <c r="L483" s="65" t="str">
        <f>VLOOKUP(C483,Barem!L:Q,6,0)</f>
        <v>D/V</v>
      </c>
      <c r="M483" s="11">
        <f t="shared" si="129"/>
        <v>0.5</v>
      </c>
      <c r="N483" s="11">
        <f t="shared" si="130"/>
        <v>0.5</v>
      </c>
      <c r="O483" s="49">
        <f t="shared" si="131"/>
        <v>0</v>
      </c>
      <c r="P483" s="27">
        <f>IF(D483&gt;21,VLOOKUP(D483,Barem!$S$1:$T$141,2,1),0)</f>
        <v>0</v>
      </c>
      <c r="Q483" s="27">
        <f>IF(D483&lt;1.609,0,IF(B483="F",VLOOKUP(I483,Barem!$W$2:$Y$13,2,1),VLOOKUP(I483,Barem!$W$14:$Y$25,2,1)))</f>
        <v>0</v>
      </c>
      <c r="R483" s="27">
        <f>VLOOKUP(A483,Participanti!A:C,3,0)</f>
        <v>0</v>
      </c>
      <c r="S483" s="21">
        <f t="shared" si="132"/>
        <v>3.0012499999999998</v>
      </c>
      <c r="T483" s="82">
        <v>44545</v>
      </c>
      <c r="U483" s="143">
        <f>COUNTIFS(A:A,A483,C:C,C483)</f>
        <v>1</v>
      </c>
      <c r="V483" s="77" t="str">
        <f>VLOOKUP(A483,Data_echipe!A:U,21,0)</f>
        <v>All Stars</v>
      </c>
      <c r="X483" s="154">
        <v>1</v>
      </c>
    </row>
    <row r="484" spans="1:24" x14ac:dyDescent="0.25">
      <c r="A484" s="64" t="s">
        <v>7</v>
      </c>
      <c r="B484" s="77" t="str">
        <f>VLOOKUP(A484,Participanti!A:B,2,0)</f>
        <v>M</v>
      </c>
      <c r="C484" s="139">
        <v>15</v>
      </c>
      <c r="D484" s="66">
        <v>21.1</v>
      </c>
      <c r="E484" s="67">
        <v>7.5972222222222219E-2</v>
      </c>
      <c r="F484" s="67">
        <v>7.5972222222222219E-2</v>
      </c>
      <c r="G484" s="100">
        <f t="shared" si="120"/>
        <v>7.5972222222222219E-2</v>
      </c>
      <c r="H484" s="68">
        <v>65</v>
      </c>
      <c r="I484" s="112">
        <f t="shared" si="127"/>
        <v>3.6005792522380196E-3</v>
      </c>
      <c r="J484" s="92">
        <f t="shared" si="128"/>
        <v>5</v>
      </c>
      <c r="K484" s="92">
        <f>IF(J484=0,0,IF(B484="F",VLOOKUP(I484,Barem!$G$2:$H$11,2,1),VLOOKUP(I484,Barem!$G$12:$H$21,2,1)))</f>
        <v>2.5</v>
      </c>
      <c r="L484" s="65" t="str">
        <f>VLOOKUP(C484,Barem!L:Q,6,0)</f>
        <v>D/V</v>
      </c>
      <c r="M484" s="11">
        <f t="shared" si="129"/>
        <v>0.5</v>
      </c>
      <c r="N484" s="11">
        <f t="shared" si="130"/>
        <v>0.5</v>
      </c>
      <c r="O484" s="49">
        <f t="shared" si="131"/>
        <v>4.3333333333333335E-2</v>
      </c>
      <c r="P484" s="27">
        <f>IF(D484&gt;21,VLOOKUP(D484,Barem!$S$1:$T$141,2,1),0)</f>
        <v>0</v>
      </c>
      <c r="Q484" s="27">
        <f>IF(D484&lt;1.609,0,IF(B484="F",VLOOKUP(I484,Barem!$W$2:$Y$13,2,1),VLOOKUP(I484,Barem!$W$14:$Y$25,2,1)))</f>
        <v>0</v>
      </c>
      <c r="R484" s="27">
        <f>VLOOKUP(A484,Participanti!A:C,3,0)</f>
        <v>0</v>
      </c>
      <c r="S484" s="21">
        <f t="shared" si="132"/>
        <v>3.7933333333333334</v>
      </c>
      <c r="T484" s="82">
        <v>44549</v>
      </c>
      <c r="U484" s="143">
        <f>COUNTIFS(A:A,A484,C:C,C484)</f>
        <v>1</v>
      </c>
      <c r="V484" s="77" t="str">
        <f>VLOOKUP(A484,Data_echipe!A:U,21,0)</f>
        <v>All Stars</v>
      </c>
      <c r="X484" s="154">
        <v>1</v>
      </c>
    </row>
    <row r="485" spans="1:24" x14ac:dyDescent="0.25">
      <c r="A485" s="64" t="s">
        <v>154</v>
      </c>
      <c r="B485" s="77" t="str">
        <f>VLOOKUP(A485,Participanti!A:B,2,0)</f>
        <v>M</v>
      </c>
      <c r="C485" s="139">
        <v>15</v>
      </c>
      <c r="D485" s="66">
        <v>21.2</v>
      </c>
      <c r="E485" s="67">
        <v>7.9490740740740737E-2</v>
      </c>
      <c r="F485" s="67">
        <v>8.222222222222221E-2</v>
      </c>
      <c r="G485" s="100">
        <f t="shared" si="120"/>
        <v>8.0856481481481474E-2</v>
      </c>
      <c r="H485" s="68">
        <v>96</v>
      </c>
      <c r="I485" s="112">
        <f t="shared" si="127"/>
        <v>3.8139849755415792E-3</v>
      </c>
      <c r="J485" s="92">
        <f t="shared" si="128"/>
        <v>5</v>
      </c>
      <c r="K485" s="92">
        <f>IF(J485=0,0,IF(B485="F",VLOOKUP(I485,Barem!$G$2:$H$11,2,1),VLOOKUP(I485,Barem!$G$12:$H$21,2,1)))</f>
        <v>2</v>
      </c>
      <c r="L485" s="65" t="str">
        <f>VLOOKUP(C485,Barem!L:Q,6,0)</f>
        <v>D/V</v>
      </c>
      <c r="M485" s="11">
        <f t="shared" si="129"/>
        <v>0.5</v>
      </c>
      <c r="N485" s="11">
        <f t="shared" si="130"/>
        <v>0.5</v>
      </c>
      <c r="O485" s="49">
        <f t="shared" si="131"/>
        <v>6.4000000000000001E-2</v>
      </c>
      <c r="P485" s="27">
        <f>IF(D485&gt;21,VLOOKUP(D485,Barem!$S$1:$T$141,2,1),0)</f>
        <v>0</v>
      </c>
      <c r="Q485" s="27">
        <f>IF(D485&lt;1.609,0,IF(B485="F",VLOOKUP(I485,Barem!$W$2:$Y$13,2,1),VLOOKUP(I485,Barem!$W$14:$Y$25,2,1)))</f>
        <v>0</v>
      </c>
      <c r="R485" s="27">
        <f>VLOOKUP(A485,Participanti!A:C,3,0)</f>
        <v>0</v>
      </c>
      <c r="S485" s="21">
        <f t="shared" si="132"/>
        <v>3.5640000000000001</v>
      </c>
      <c r="T485" s="82">
        <v>44543</v>
      </c>
      <c r="U485" s="143">
        <f>COUNTIFS(A:A,A485,C:C,C485)</f>
        <v>1</v>
      </c>
      <c r="V485" s="77" t="str">
        <f>VLOOKUP(A485,Data_echipe!A:U,21,0)</f>
        <v>All Stars</v>
      </c>
      <c r="X485" s="154">
        <v>1</v>
      </c>
    </row>
    <row r="486" spans="1:24" x14ac:dyDescent="0.25">
      <c r="A486" s="64" t="s">
        <v>244</v>
      </c>
      <c r="B486" s="77" t="str">
        <f>VLOOKUP(A486,Participanti!A:B,2,0)</f>
        <v>M</v>
      </c>
      <c r="C486" s="139">
        <v>15</v>
      </c>
      <c r="D486" s="66">
        <v>18.350000000000001</v>
      </c>
      <c r="E486" s="67">
        <v>0.2104398148148148</v>
      </c>
      <c r="F486" s="67">
        <v>0.25960648148148147</v>
      </c>
      <c r="G486" s="100">
        <f t="shared" si="120"/>
        <v>0.23502314814814812</v>
      </c>
      <c r="H486" s="68">
        <v>964</v>
      </c>
      <c r="I486" s="112">
        <f t="shared" si="127"/>
        <v>1.2807800988999897E-2</v>
      </c>
      <c r="J486" s="92">
        <f t="shared" si="128"/>
        <v>4.3690476190476195</v>
      </c>
      <c r="K486" s="92">
        <f>IF(J486=0,0,IF(B486="F",VLOOKUP(I486,Barem!$G$2:$H$11,2,1),VLOOKUP(I486,Barem!$G$12:$H$21,2,1)))</f>
        <v>0</v>
      </c>
      <c r="L486" s="65" t="str">
        <f>VLOOKUP(C486,Barem!L:Q,6,0)</f>
        <v>D/V</v>
      </c>
      <c r="M486" s="11">
        <f t="shared" si="129"/>
        <v>0.5</v>
      </c>
      <c r="N486" s="11">
        <f t="shared" si="130"/>
        <v>0.5</v>
      </c>
      <c r="O486" s="49">
        <f t="shared" si="131"/>
        <v>0.64266666666666672</v>
      </c>
      <c r="P486" s="27">
        <f>IF(D486&gt;21,VLOOKUP(D486,Barem!$S$1:$T$141,2,1),0)</f>
        <v>0</v>
      </c>
      <c r="Q486" s="27">
        <f>IF(D486&lt;1.609,0,IF(B486="F",VLOOKUP(I486,Barem!$W$2:$Y$13,2,1),VLOOKUP(I486,Barem!$W$14:$Y$25,2,1)))</f>
        <v>0</v>
      </c>
      <c r="R486" s="27">
        <f>VLOOKUP(A486,Participanti!A:C,3,0)</f>
        <v>0</v>
      </c>
      <c r="S486" s="21">
        <f t="shared" si="132"/>
        <v>2.8271904761904763</v>
      </c>
      <c r="T486" s="82">
        <v>44549</v>
      </c>
      <c r="U486" s="143">
        <f>COUNTIFS(A:A,A486,C:C,C486)</f>
        <v>1</v>
      </c>
      <c r="V486" s="77" t="str">
        <f>VLOOKUP(A486,Data_echipe!A:U,21,0)</f>
        <v>All Stars</v>
      </c>
      <c r="X486" s="154"/>
    </row>
    <row r="487" spans="1:24" x14ac:dyDescent="0.25">
      <c r="A487" s="64" t="s">
        <v>103</v>
      </c>
      <c r="B487" s="77" t="str">
        <f>VLOOKUP(A487,Participanti!A:B,2,0)</f>
        <v>F</v>
      </c>
      <c r="C487" s="139">
        <v>15</v>
      </c>
      <c r="D487" s="66">
        <v>12.18</v>
      </c>
      <c r="E487" s="67">
        <v>4.9548611111111113E-2</v>
      </c>
      <c r="F487" s="67">
        <v>5.0509259259259254E-2</v>
      </c>
      <c r="G487" s="100">
        <f t="shared" si="120"/>
        <v>5.0028935185185183E-2</v>
      </c>
      <c r="H487" s="68">
        <v>11</v>
      </c>
      <c r="I487" s="112">
        <f t="shared" si="127"/>
        <v>4.1074659429544483E-3</v>
      </c>
      <c r="J487" s="92">
        <f t="shared" si="128"/>
        <v>3.0449999999999999</v>
      </c>
      <c r="K487" s="92">
        <f>IF(J487=0,0,IF(B487="F",VLOOKUP(I487,Barem!$G$2:$H$11,2,1),VLOOKUP(I487,Barem!$G$12:$H$21,2,1)))</f>
        <v>2</v>
      </c>
      <c r="L487" s="65" t="str">
        <f>VLOOKUP(C487,Barem!L:Q,6,0)</f>
        <v>D/V</v>
      </c>
      <c r="M487" s="11">
        <f t="shared" si="129"/>
        <v>0.5</v>
      </c>
      <c r="N487" s="11">
        <f t="shared" si="130"/>
        <v>0.5</v>
      </c>
      <c r="O487" s="49">
        <f t="shared" si="131"/>
        <v>0</v>
      </c>
      <c r="P487" s="27">
        <f>IF(D487&gt;21,VLOOKUP(D487,Barem!$S$1:$T$141,2,1),0)</f>
        <v>0</v>
      </c>
      <c r="Q487" s="27">
        <f>IF(D487&lt;1.609,0,IF(B487="F",VLOOKUP(I487,Barem!$W$2:$Y$13,2,1),VLOOKUP(I487,Barem!$W$14:$Y$25,2,1)))</f>
        <v>0</v>
      </c>
      <c r="R487" s="27">
        <f>VLOOKUP(A487,Participanti!A:C,3,0)</f>
        <v>0</v>
      </c>
      <c r="S487" s="21">
        <f t="shared" si="132"/>
        <v>2.5225</v>
      </c>
      <c r="T487" s="82">
        <v>44549</v>
      </c>
      <c r="U487" s="143">
        <f>COUNTIFS(A:A,A487,C:C,C487)</f>
        <v>1</v>
      </c>
      <c r="V487" s="77" t="str">
        <f>VLOOKUP(A487,Data_echipe!A:U,21,0)</f>
        <v>UltraSYR</v>
      </c>
      <c r="X487" s="154">
        <v>1</v>
      </c>
    </row>
    <row r="488" spans="1:24" x14ac:dyDescent="0.25">
      <c r="A488" s="64" t="s">
        <v>196</v>
      </c>
      <c r="B488" s="77" t="str">
        <f>VLOOKUP(A488,Participanti!A:B,2,0)</f>
        <v>F</v>
      </c>
      <c r="C488" s="139">
        <v>15</v>
      </c>
      <c r="D488" s="66">
        <v>10.4</v>
      </c>
      <c r="E488" s="67">
        <v>4.1226851851851855E-2</v>
      </c>
      <c r="F488" s="67">
        <v>4.7210648148148147E-2</v>
      </c>
      <c r="G488" s="100">
        <f t="shared" si="120"/>
        <v>4.4218750000000001E-2</v>
      </c>
      <c r="H488" s="68">
        <v>27</v>
      </c>
      <c r="I488" s="112">
        <f t="shared" si="127"/>
        <v>4.2518028846153843E-3</v>
      </c>
      <c r="J488" s="92">
        <f t="shared" si="128"/>
        <v>2.6</v>
      </c>
      <c r="K488" s="92">
        <f>IF(J488=0,0,IF(B488="F",VLOOKUP(I488,Barem!$G$2:$H$11,2,1),VLOOKUP(I488,Barem!$G$12:$H$21,2,1)))</f>
        <v>1.5</v>
      </c>
      <c r="L488" s="65" t="str">
        <f>VLOOKUP(C488,Barem!L:Q,6,0)</f>
        <v>D/V</v>
      </c>
      <c r="M488" s="11">
        <f t="shared" si="129"/>
        <v>0.5</v>
      </c>
      <c r="N488" s="11">
        <f t="shared" si="130"/>
        <v>0.5</v>
      </c>
      <c r="O488" s="49">
        <f t="shared" si="131"/>
        <v>0</v>
      </c>
      <c r="P488" s="27">
        <f>IF(D488&gt;21,VLOOKUP(D488,Barem!$S$1:$T$141,2,1),0)</f>
        <v>0</v>
      </c>
      <c r="Q488" s="27">
        <f>IF(D488&lt;1.609,0,IF(B488="F",VLOOKUP(I488,Barem!$W$2:$Y$13,2,1),VLOOKUP(I488,Barem!$W$14:$Y$25,2,1)))</f>
        <v>0</v>
      </c>
      <c r="R488" s="27">
        <f>VLOOKUP(A488,Participanti!A:C,3,0)</f>
        <v>0</v>
      </c>
      <c r="S488" s="21">
        <f t="shared" si="132"/>
        <v>2.0499999999999998</v>
      </c>
      <c r="T488" s="82">
        <v>44548</v>
      </c>
      <c r="U488" s="143">
        <f>COUNTIFS(A:A,A488,C:C,C488)</f>
        <v>1</v>
      </c>
      <c r="V488" s="77" t="str">
        <f>VLOOKUP(A488,Data_echipe!A:U,21,0)</f>
        <v>UltraSYR</v>
      </c>
      <c r="X488" s="154">
        <v>1</v>
      </c>
    </row>
    <row r="489" spans="1:24" x14ac:dyDescent="0.25">
      <c r="A489" s="64" t="s">
        <v>50</v>
      </c>
      <c r="B489" s="77" t="str">
        <f>VLOOKUP(A489,Participanti!A:B,2,0)</f>
        <v>M</v>
      </c>
      <c r="C489" s="139">
        <v>15</v>
      </c>
      <c r="D489" s="66">
        <v>9.48</v>
      </c>
      <c r="E489" s="67">
        <v>5.935185185185185E-2</v>
      </c>
      <c r="F489" s="67">
        <v>8.1481481481481488E-2</v>
      </c>
      <c r="G489" s="100">
        <f t="shared" si="120"/>
        <v>7.0416666666666669E-2</v>
      </c>
      <c r="H489" s="68">
        <v>109</v>
      </c>
      <c r="I489" s="112">
        <f t="shared" si="127"/>
        <v>7.4279184247538679E-3</v>
      </c>
      <c r="J489" s="92">
        <f t="shared" si="128"/>
        <v>2.2571428571428571</v>
      </c>
      <c r="K489" s="92">
        <f>IF(J489=0,0,IF(B489="F",VLOOKUP(I489,Barem!$G$2:$H$11,2,1),VLOOKUP(I489,Barem!$G$12:$H$21,2,1)))</f>
        <v>0</v>
      </c>
      <c r="L489" s="65" t="str">
        <f>VLOOKUP(C489,Barem!L:Q,6,0)</f>
        <v>D/V</v>
      </c>
      <c r="M489" s="11">
        <f t="shared" si="129"/>
        <v>0.5</v>
      </c>
      <c r="N489" s="11">
        <f t="shared" si="130"/>
        <v>0.5</v>
      </c>
      <c r="O489" s="49">
        <f t="shared" si="131"/>
        <v>7.2666666666666671E-2</v>
      </c>
      <c r="P489" s="27">
        <f>IF(D489&gt;21,VLOOKUP(D489,Barem!$S$1:$T$141,2,1),0)</f>
        <v>0</v>
      </c>
      <c r="Q489" s="27">
        <f>IF(D489&lt;1.609,0,IF(B489="F",VLOOKUP(I489,Barem!$W$2:$Y$13,2,1),VLOOKUP(I489,Barem!$W$14:$Y$25,2,1)))</f>
        <v>0</v>
      </c>
      <c r="R489" s="27">
        <f>VLOOKUP(A489,Participanti!A:C,3,0)</f>
        <v>0.4</v>
      </c>
      <c r="S489" s="21">
        <f t="shared" si="132"/>
        <v>1.6012380952380951</v>
      </c>
      <c r="T489" s="82">
        <v>44548</v>
      </c>
      <c r="U489" s="143">
        <f>COUNTIFS(A:A,A489,C:C,C489)</f>
        <v>1</v>
      </c>
      <c r="V489" s="77" t="str">
        <f>VLOOKUP(A489,Data_echipe!A:U,21,0)</f>
        <v>UltraSYR</v>
      </c>
      <c r="X489" s="154"/>
    </row>
    <row r="490" spans="1:24" x14ac:dyDescent="0.25">
      <c r="A490" s="64" t="s">
        <v>202</v>
      </c>
      <c r="B490" s="77" t="str">
        <f>VLOOKUP(A490,Participanti!A:B,2,0)</f>
        <v>F</v>
      </c>
      <c r="C490" s="139">
        <v>15</v>
      </c>
      <c r="D490" s="66">
        <v>21</v>
      </c>
      <c r="E490" s="67">
        <v>9.043981481481482E-2</v>
      </c>
      <c r="F490" s="67">
        <v>9.7569444444444445E-2</v>
      </c>
      <c r="G490" s="100">
        <f t="shared" ref="G490:G494" si="133">AVERAGE(E490:F490)</f>
        <v>9.4004629629629632E-2</v>
      </c>
      <c r="H490" s="68">
        <v>17</v>
      </c>
      <c r="I490" s="112">
        <f t="shared" si="127"/>
        <v>4.4764109347442682E-3</v>
      </c>
      <c r="J490" s="92">
        <f t="shared" si="128"/>
        <v>5</v>
      </c>
      <c r="K490" s="92">
        <f>IF(J490=0,0,IF(B490="F",VLOOKUP(I490,Barem!$G$2:$H$11,2,1),VLOOKUP(I490,Barem!$G$12:$H$21,2,1)))</f>
        <v>1.5</v>
      </c>
      <c r="L490" s="65" t="str">
        <f>VLOOKUP(C490,Barem!L:Q,6,0)</f>
        <v>D/V</v>
      </c>
      <c r="M490" s="11">
        <f t="shared" si="129"/>
        <v>0.5</v>
      </c>
      <c r="N490" s="11">
        <f t="shared" si="130"/>
        <v>0.5</v>
      </c>
      <c r="O490" s="49">
        <f t="shared" si="131"/>
        <v>0</v>
      </c>
      <c r="P490" s="27">
        <f>IF(D490&gt;21,VLOOKUP(D490,Barem!$S$1:$T$141,2,1),0)</f>
        <v>0</v>
      </c>
      <c r="Q490" s="27">
        <f>IF(D490&lt;1.609,0,IF(B490="F",VLOOKUP(I490,Barem!$W$2:$Y$13,2,1),VLOOKUP(I490,Barem!$W$14:$Y$25,2,1)))</f>
        <v>0</v>
      </c>
      <c r="R490" s="27">
        <f>VLOOKUP(A490,Participanti!A:C,3,0)</f>
        <v>0</v>
      </c>
      <c r="S490" s="21">
        <f t="shared" si="132"/>
        <v>3.25</v>
      </c>
      <c r="T490" s="82">
        <v>44548</v>
      </c>
      <c r="U490" s="143">
        <f>COUNTIFS(A:A,A490,C:C,C490)</f>
        <v>1</v>
      </c>
      <c r="V490" s="77" t="e">
        <f>VLOOKUP(A490,Data_echipe!A:U,21,0)</f>
        <v>#N/A</v>
      </c>
      <c r="X490" s="154">
        <v>1</v>
      </c>
    </row>
    <row r="491" spans="1:24" x14ac:dyDescent="0.25">
      <c r="A491" s="64" t="s">
        <v>66</v>
      </c>
      <c r="B491" s="77" t="str">
        <f>VLOOKUP(A491,Participanti!A:B,2,0)</f>
        <v>F</v>
      </c>
      <c r="C491" s="139">
        <v>15</v>
      </c>
      <c r="D491" s="66">
        <v>10</v>
      </c>
      <c r="E491" s="67">
        <v>4.9201388888888892E-2</v>
      </c>
      <c r="F491" s="67">
        <v>4.9201388888888892E-2</v>
      </c>
      <c r="G491" s="100">
        <f t="shared" si="133"/>
        <v>4.9201388888888892E-2</v>
      </c>
      <c r="H491" s="68">
        <v>0</v>
      </c>
      <c r="I491" s="112">
        <f t="shared" si="127"/>
        <v>4.9201388888888888E-3</v>
      </c>
      <c r="J491" s="92">
        <f t="shared" si="128"/>
        <v>2.5</v>
      </c>
      <c r="K491" s="92">
        <f>IF(J491=0,0,IF(B491="F",VLOOKUP(I491,Barem!$G$2:$H$11,2,1),VLOOKUP(I491,Barem!$G$12:$H$21,2,1)))</f>
        <v>1</v>
      </c>
      <c r="L491" s="65" t="str">
        <f>VLOOKUP(C491,Barem!L:Q,6,0)</f>
        <v>D/V</v>
      </c>
      <c r="M491" s="11">
        <f t="shared" si="129"/>
        <v>0.5</v>
      </c>
      <c r="N491" s="11">
        <f t="shared" si="130"/>
        <v>0.5</v>
      </c>
      <c r="O491" s="49">
        <f t="shared" si="131"/>
        <v>0</v>
      </c>
      <c r="P491" s="27">
        <f>IF(D491&gt;21,VLOOKUP(D491,Barem!$S$1:$T$141,2,1),0)</f>
        <v>0</v>
      </c>
      <c r="Q491" s="27">
        <f>IF(D491&lt;1.609,0,IF(B491="F",VLOOKUP(I491,Barem!$W$2:$Y$13,2,1),VLOOKUP(I491,Barem!$W$14:$Y$25,2,1)))</f>
        <v>0</v>
      </c>
      <c r="R491" s="27">
        <f>VLOOKUP(A491,Participanti!A:C,3,0)</f>
        <v>0.7</v>
      </c>
      <c r="S491" s="21">
        <f t="shared" si="132"/>
        <v>2.4500000000000002</v>
      </c>
      <c r="T491" s="82">
        <v>44548</v>
      </c>
      <c r="U491" s="143">
        <f>COUNTIFS(A:A,A491,C:C,C491)</f>
        <v>1</v>
      </c>
      <c r="V491" s="77" t="e">
        <f>VLOOKUP(A491,Data_echipe!A:U,21,0)</f>
        <v>#N/A</v>
      </c>
      <c r="X491" s="154">
        <v>1</v>
      </c>
    </row>
    <row r="492" spans="1:24" x14ac:dyDescent="0.25">
      <c r="A492" s="64" t="s">
        <v>117</v>
      </c>
      <c r="B492" s="77" t="str">
        <f>VLOOKUP(A492,Participanti!A:B,2,0)</f>
        <v>M</v>
      </c>
      <c r="C492" s="139">
        <v>15</v>
      </c>
      <c r="D492" s="66">
        <v>10.79</v>
      </c>
      <c r="E492" s="67">
        <v>4.1747685185185186E-2</v>
      </c>
      <c r="F492" s="67">
        <v>4.2407407407407401E-2</v>
      </c>
      <c r="G492" s="100">
        <f t="shared" si="133"/>
        <v>4.2077546296296293E-2</v>
      </c>
      <c r="H492" s="68">
        <v>8</v>
      </c>
      <c r="I492" s="112">
        <f t="shared" si="127"/>
        <v>3.8996799162461814E-3</v>
      </c>
      <c r="J492" s="92">
        <f t="shared" si="128"/>
        <v>2.5690476190476188</v>
      </c>
      <c r="K492" s="92">
        <f>IF(J492=0,0,IF(B492="F",VLOOKUP(I492,Barem!$G$2:$H$11,2,1),VLOOKUP(I492,Barem!$G$12:$H$21,2,1)))</f>
        <v>1.5</v>
      </c>
      <c r="L492" s="65" t="str">
        <f>VLOOKUP(C492,Barem!L:Q,6,0)</f>
        <v>D/V</v>
      </c>
      <c r="M492" s="11">
        <f t="shared" si="129"/>
        <v>0.5</v>
      </c>
      <c r="N492" s="11">
        <f t="shared" si="130"/>
        <v>0.5</v>
      </c>
      <c r="O492" s="49">
        <f t="shared" si="131"/>
        <v>0</v>
      </c>
      <c r="P492" s="27">
        <f>IF(D492&gt;21,VLOOKUP(D492,Barem!$S$1:$T$141,2,1),0)</f>
        <v>0</v>
      </c>
      <c r="Q492" s="27">
        <f>IF(D492&lt;1.609,0,IF(B492="F",VLOOKUP(I492,Barem!$W$2:$Y$13,2,1),VLOOKUP(I492,Barem!$W$14:$Y$25,2,1)))</f>
        <v>0</v>
      </c>
      <c r="R492" s="27">
        <f>VLOOKUP(A492,Participanti!A:C,3,0)</f>
        <v>0</v>
      </c>
      <c r="S492" s="21">
        <f t="shared" si="132"/>
        <v>2.0345238095238094</v>
      </c>
      <c r="T492" s="82">
        <v>44548</v>
      </c>
      <c r="U492" s="143">
        <f>COUNTIFS(A:A,A492,C:C,C492)</f>
        <v>1</v>
      </c>
      <c r="V492" s="77" t="str">
        <f>VLOOKUP(A492,Data_echipe!A:U,21,0)</f>
        <v>UltraSYR</v>
      </c>
      <c r="X492" s="154">
        <v>1</v>
      </c>
    </row>
    <row r="493" spans="1:24" x14ac:dyDescent="0.25">
      <c r="A493" s="64" t="s">
        <v>65</v>
      </c>
      <c r="B493" s="77" t="str">
        <f>VLOOKUP(A493,Participanti!A:B,2,0)</f>
        <v>M</v>
      </c>
      <c r="C493" s="139">
        <v>15</v>
      </c>
      <c r="D493" s="66">
        <v>17.14</v>
      </c>
      <c r="E493" s="67">
        <v>7.1504629629629626E-2</v>
      </c>
      <c r="F493" s="67">
        <v>7.1539351851851854E-2</v>
      </c>
      <c r="G493" s="100">
        <f t="shared" si="133"/>
        <v>7.152199074074074E-2</v>
      </c>
      <c r="H493" s="68">
        <v>66</v>
      </c>
      <c r="I493" s="112">
        <f t="shared" si="127"/>
        <v>4.1728115951424E-3</v>
      </c>
      <c r="J493" s="92">
        <f t="shared" si="128"/>
        <v>4.0809523809523807</v>
      </c>
      <c r="K493" s="92">
        <f>IF(J493=0,0,IF(B493="F",VLOOKUP(I493,Barem!$G$2:$H$11,2,1),VLOOKUP(I493,Barem!$G$12:$H$21,2,1)))</f>
        <v>1.5</v>
      </c>
      <c r="L493" s="65" t="str">
        <f>VLOOKUP(C493,Barem!L:Q,6,0)</f>
        <v>D/V</v>
      </c>
      <c r="M493" s="11">
        <f t="shared" si="129"/>
        <v>0.5</v>
      </c>
      <c r="N493" s="11">
        <f t="shared" si="130"/>
        <v>0.5</v>
      </c>
      <c r="O493" s="49">
        <f t="shared" si="131"/>
        <v>4.3999999999999997E-2</v>
      </c>
      <c r="P493" s="27">
        <f>IF(D493&gt;21,VLOOKUP(D493,Barem!$S$1:$T$141,2,1),0)</f>
        <v>0</v>
      </c>
      <c r="Q493" s="27">
        <f>IF(D493&lt;1.609,0,IF(B493="F",VLOOKUP(I493,Barem!$W$2:$Y$13,2,1),VLOOKUP(I493,Barem!$W$14:$Y$25,2,1)))</f>
        <v>0</v>
      </c>
      <c r="R493" s="27">
        <f>VLOOKUP(A493,Participanti!A:C,3,0)</f>
        <v>0</v>
      </c>
      <c r="S493" s="21">
        <f t="shared" si="132"/>
        <v>2.8344761904761904</v>
      </c>
      <c r="T493" s="82">
        <v>44549</v>
      </c>
      <c r="U493" s="143">
        <f>COUNTIFS(A:A,A493,C:C,C493)</f>
        <v>1</v>
      </c>
      <c r="V493" s="77" t="str">
        <f>VLOOKUP(A493,Data_echipe!A:U,21,0)</f>
        <v>UltraSYR</v>
      </c>
      <c r="X493" s="154">
        <v>1</v>
      </c>
    </row>
    <row r="494" spans="1:24" ht="12.6" thickBot="1" x14ac:dyDescent="0.3">
      <c r="A494" s="180" t="s">
        <v>60</v>
      </c>
      <c r="B494" s="181" t="str">
        <f>VLOOKUP(A494,Participanti!A:B,2,0)</f>
        <v>M</v>
      </c>
      <c r="C494" s="197">
        <v>15</v>
      </c>
      <c r="D494" s="183">
        <v>10.07</v>
      </c>
      <c r="E494" s="184">
        <v>4.3171296296296298E-2</v>
      </c>
      <c r="F494" s="184">
        <v>4.3993055555555556E-2</v>
      </c>
      <c r="G494" s="185">
        <f t="shared" si="133"/>
        <v>4.3582175925925927E-2</v>
      </c>
      <c r="H494" s="186">
        <v>11</v>
      </c>
      <c r="I494" s="187">
        <f t="shared" si="127"/>
        <v>4.3279221376291881E-3</v>
      </c>
      <c r="J494" s="188">
        <f t="shared" si="128"/>
        <v>2.3976190476190475</v>
      </c>
      <c r="K494" s="188">
        <f>IF(J494=0,0,IF(B494="F",VLOOKUP(I494,Barem!$G$2:$H$11,2,1),VLOOKUP(I494,Barem!$G$12:$H$21,2,1)))</f>
        <v>1</v>
      </c>
      <c r="L494" s="189" t="str">
        <f>VLOOKUP(C494,Barem!L:Q,6,0)</f>
        <v>D/V</v>
      </c>
      <c r="M494" s="190">
        <f t="shared" si="129"/>
        <v>0.5</v>
      </c>
      <c r="N494" s="190">
        <f t="shared" si="130"/>
        <v>0.5</v>
      </c>
      <c r="O494" s="191">
        <f t="shared" si="131"/>
        <v>0</v>
      </c>
      <c r="P494" s="192">
        <f>IF(D494&gt;21,VLOOKUP(D494,Barem!$S$1:$T$141,2,1),0)</f>
        <v>0</v>
      </c>
      <c r="Q494" s="192">
        <f>IF(D494&lt;1.609,0,IF(B494="F",VLOOKUP(I494,Barem!$W$2:$Y$13,2,1),VLOOKUP(I494,Barem!$W$14:$Y$25,2,1)))</f>
        <v>0</v>
      </c>
      <c r="R494" s="192">
        <f>VLOOKUP(A494,Participanti!A:C,3,0)</f>
        <v>0</v>
      </c>
      <c r="S494" s="193">
        <f t="shared" si="132"/>
        <v>1.6988095238095238</v>
      </c>
      <c r="T494" s="194">
        <v>44546</v>
      </c>
      <c r="U494" s="195">
        <f>COUNTIFS(A:A,A494,C:C,C494)</f>
        <v>1</v>
      </c>
      <c r="V494" s="181" t="e">
        <f>VLOOKUP(A494,Data_echipe!A:U,21,0)</f>
        <v>#N/A</v>
      </c>
      <c r="W494" s="196"/>
      <c r="X494" s="154">
        <v>1</v>
      </c>
    </row>
    <row r="495" spans="1:24" x14ac:dyDescent="0.25">
      <c r="A495" s="64" t="s">
        <v>314</v>
      </c>
      <c r="B495" s="77" t="str">
        <f>VLOOKUP(A495,Participanti!A:B,2,0)</f>
        <v>M</v>
      </c>
      <c r="C495" s="137" t="s">
        <v>147</v>
      </c>
      <c r="D495" s="66"/>
      <c r="E495" s="67"/>
      <c r="F495" s="67"/>
      <c r="G495" s="100"/>
      <c r="H495" s="68"/>
      <c r="I495" s="14"/>
      <c r="J495" s="92"/>
      <c r="K495" s="92"/>
      <c r="L495" s="65" t="s">
        <v>298</v>
      </c>
      <c r="M495" s="11"/>
      <c r="N495" s="11"/>
      <c r="O495" s="49"/>
      <c r="S495" s="21">
        <f>VLOOKUP(A495,'P3'!A:H,8,0)</f>
        <v>1.375</v>
      </c>
      <c r="T495" s="82"/>
      <c r="U495" s="143">
        <f>COUNTIFS(A:A,A495,C:C,C495)</f>
        <v>1</v>
      </c>
      <c r="V495" s="77" t="e">
        <f>VLOOKUP(A495,Data_echipe!A:U,21,0)</f>
        <v>#N/A</v>
      </c>
    </row>
    <row r="496" spans="1:24" x14ac:dyDescent="0.25">
      <c r="A496" s="64" t="s">
        <v>52</v>
      </c>
      <c r="B496" s="77" t="str">
        <f>VLOOKUP(A496,Participanti!A:B,2,0)</f>
        <v>M</v>
      </c>
      <c r="C496" s="137" t="s">
        <v>147</v>
      </c>
      <c r="D496" s="66"/>
      <c r="E496" s="67"/>
      <c r="F496" s="67"/>
      <c r="G496" s="100"/>
      <c r="H496" s="68"/>
      <c r="I496" s="14"/>
      <c r="J496" s="92"/>
      <c r="K496" s="92"/>
      <c r="L496" s="65" t="s">
        <v>298</v>
      </c>
      <c r="M496" s="11"/>
      <c r="N496" s="11"/>
      <c r="O496" s="49"/>
      <c r="S496" s="21">
        <f>VLOOKUP(A496,'P3'!A:H,8,0)</f>
        <v>1.6875</v>
      </c>
      <c r="T496" s="82"/>
      <c r="U496" s="143">
        <f>COUNTIFS(A:A,A496,C:C,C496)</f>
        <v>1</v>
      </c>
      <c r="V496" s="77" t="e">
        <f>VLOOKUP(A496,Data_echipe!A:U,21,0)</f>
        <v>#N/A</v>
      </c>
    </row>
    <row r="497" spans="1:22" x14ac:dyDescent="0.25">
      <c r="A497" s="64" t="s">
        <v>53</v>
      </c>
      <c r="B497" s="77" t="str">
        <f>VLOOKUP(A497,Participanti!A:B,2,0)</f>
        <v>M</v>
      </c>
      <c r="C497" s="137" t="s">
        <v>147</v>
      </c>
      <c r="D497" s="66"/>
      <c r="E497" s="67"/>
      <c r="F497" s="67"/>
      <c r="G497" s="100"/>
      <c r="H497" s="68"/>
      <c r="I497" s="14"/>
      <c r="J497" s="92"/>
      <c r="K497" s="92"/>
      <c r="L497" s="65" t="s">
        <v>298</v>
      </c>
      <c r="M497" s="11"/>
      <c r="N497" s="11"/>
      <c r="O497" s="49"/>
      <c r="S497" s="21">
        <f>VLOOKUP(A497,'P3'!A:H,8,0)</f>
        <v>3.625</v>
      </c>
      <c r="T497" s="82"/>
      <c r="U497" s="143">
        <f>COUNTIFS(A:A,A497,C:C,C497)</f>
        <v>1</v>
      </c>
      <c r="V497" s="77" t="str">
        <f>VLOOKUP(A497,Data_echipe!A:U,21,0)</f>
        <v>UltraSYR</v>
      </c>
    </row>
    <row r="498" spans="1:22" x14ac:dyDescent="0.25">
      <c r="A498" s="64" t="s">
        <v>65</v>
      </c>
      <c r="B498" s="77" t="str">
        <f>VLOOKUP(A498,Participanti!A:B,2,0)</f>
        <v>M</v>
      </c>
      <c r="C498" s="137" t="s">
        <v>147</v>
      </c>
      <c r="D498" s="66"/>
      <c r="E498" s="67"/>
      <c r="F498" s="67"/>
      <c r="G498" s="100"/>
      <c r="H498" s="68"/>
      <c r="I498" s="14"/>
      <c r="J498" s="92"/>
      <c r="K498" s="92"/>
      <c r="L498" s="65" t="s">
        <v>298</v>
      </c>
      <c r="M498" s="11"/>
      <c r="N498" s="11"/>
      <c r="O498" s="49"/>
      <c r="S498" s="21">
        <f>VLOOKUP(A498,'P3'!A:H,8,0)</f>
        <v>4.25</v>
      </c>
      <c r="T498" s="82"/>
      <c r="U498" s="143">
        <f>COUNTIFS(A:A,A498,C:C,C498)</f>
        <v>1</v>
      </c>
      <c r="V498" s="77" t="str">
        <f>VLOOKUP(A498,Data_echipe!A:U,21,0)</f>
        <v>UltraSYR</v>
      </c>
    </row>
    <row r="499" spans="1:22" x14ac:dyDescent="0.25">
      <c r="A499" s="64" t="s">
        <v>49</v>
      </c>
      <c r="B499" s="77" t="str">
        <f>VLOOKUP(A499,Participanti!A:B,2,0)</f>
        <v>M</v>
      </c>
      <c r="C499" s="137" t="s">
        <v>147</v>
      </c>
      <c r="D499" s="66"/>
      <c r="E499" s="67"/>
      <c r="F499" s="67"/>
      <c r="G499" s="100"/>
      <c r="H499" s="68"/>
      <c r="I499" s="14"/>
      <c r="J499" s="92"/>
      <c r="K499" s="92"/>
      <c r="L499" s="65" t="s">
        <v>298</v>
      </c>
      <c r="M499" s="11"/>
      <c r="N499" s="11"/>
      <c r="O499" s="49"/>
      <c r="S499" s="21">
        <f>VLOOKUP(A499,'P3'!A:H,8,0)</f>
        <v>1.3333333333333333</v>
      </c>
      <c r="T499" s="82"/>
      <c r="U499" s="143">
        <f>COUNTIFS(A:A,A499,C:C,C499)</f>
        <v>1</v>
      </c>
      <c r="V499" s="77" t="str">
        <f>VLOOKUP(A499,Data_echipe!A:U,21,0)</f>
        <v>All Stars</v>
      </c>
    </row>
    <row r="500" spans="1:22" x14ac:dyDescent="0.25">
      <c r="A500" s="64" t="s">
        <v>203</v>
      </c>
      <c r="B500" s="77" t="str">
        <f>VLOOKUP(A500,Participanti!A:B,2,0)</f>
        <v>M</v>
      </c>
      <c r="C500" s="137" t="s">
        <v>147</v>
      </c>
      <c r="D500" s="66"/>
      <c r="E500" s="67"/>
      <c r="F500" s="67"/>
      <c r="G500" s="100"/>
      <c r="H500" s="68"/>
      <c r="I500" s="14"/>
      <c r="J500" s="92"/>
      <c r="K500" s="92"/>
      <c r="L500" s="65" t="s">
        <v>298</v>
      </c>
      <c r="M500" s="11"/>
      <c r="N500" s="11"/>
      <c r="O500" s="49"/>
      <c r="S500" s="21">
        <f>VLOOKUP(A500,'P3'!A:H,8,0)</f>
        <v>1.25</v>
      </c>
      <c r="T500" s="82"/>
      <c r="U500" s="143">
        <f>COUNTIFS(A:A,A500,C:C,C500)</f>
        <v>1</v>
      </c>
      <c r="V500" s="77" t="str">
        <f>VLOOKUP(A500,Data_echipe!A:U,21,0)</f>
        <v>All Stars</v>
      </c>
    </row>
    <row r="501" spans="1:22" x14ac:dyDescent="0.25">
      <c r="A501" s="64" t="s">
        <v>67</v>
      </c>
      <c r="B501" s="77" t="str">
        <f>VLOOKUP(A501,Participanti!A:B,2,0)</f>
        <v>M</v>
      </c>
      <c r="C501" s="137" t="s">
        <v>147</v>
      </c>
      <c r="D501" s="66"/>
      <c r="E501" s="67"/>
      <c r="F501" s="67"/>
      <c r="G501" s="100"/>
      <c r="H501" s="68"/>
      <c r="I501" s="14"/>
      <c r="J501" s="92"/>
      <c r="K501" s="92"/>
      <c r="L501" s="65" t="s">
        <v>298</v>
      </c>
      <c r="M501" s="11"/>
      <c r="N501" s="11"/>
      <c r="O501" s="49"/>
      <c r="S501" s="21">
        <f>VLOOKUP(A501,'P3'!A:H,8,0)</f>
        <v>1.0625</v>
      </c>
      <c r="T501" s="82"/>
      <c r="U501" s="143">
        <f>COUNTIFS(A:A,A501,C:C,C501)</f>
        <v>1</v>
      </c>
      <c r="V501" s="77" t="e">
        <f>VLOOKUP(A501,Data_echipe!A:U,21,0)</f>
        <v>#N/A</v>
      </c>
    </row>
    <row r="502" spans="1:22" x14ac:dyDescent="0.25">
      <c r="A502" s="64" t="s">
        <v>350</v>
      </c>
      <c r="B502" s="77" t="str">
        <f>VLOOKUP(A502,Participanti!A:B,2,0)</f>
        <v>F</v>
      </c>
      <c r="C502" s="137" t="s">
        <v>147</v>
      </c>
      <c r="D502" s="66"/>
      <c r="E502" s="67"/>
      <c r="F502" s="67"/>
      <c r="G502" s="100"/>
      <c r="H502" s="68"/>
      <c r="I502" s="14"/>
      <c r="J502" s="92"/>
      <c r="K502" s="92"/>
      <c r="L502" s="65" t="s">
        <v>298</v>
      </c>
      <c r="M502" s="11"/>
      <c r="N502" s="11"/>
      <c r="O502" s="49"/>
      <c r="S502" s="21">
        <f>VLOOKUP(A502,'P3'!A:H,8,0)</f>
        <v>3.25</v>
      </c>
      <c r="T502" s="82"/>
      <c r="U502" s="143">
        <f>COUNTIFS(A:A,A502,C:C,C502)</f>
        <v>1</v>
      </c>
      <c r="V502" s="77" t="e">
        <f>VLOOKUP(A502,Data_echipe!A:U,21,0)</f>
        <v>#N/A</v>
      </c>
    </row>
    <row r="503" spans="1:22" x14ac:dyDescent="0.25">
      <c r="A503" s="64" t="s">
        <v>244</v>
      </c>
      <c r="B503" s="77" t="str">
        <f>VLOOKUP(A503,Participanti!A:B,2,0)</f>
        <v>M</v>
      </c>
      <c r="C503" s="137" t="s">
        <v>147</v>
      </c>
      <c r="D503" s="66"/>
      <c r="E503" s="67"/>
      <c r="F503" s="67"/>
      <c r="G503" s="100"/>
      <c r="H503" s="68"/>
      <c r="I503" s="14"/>
      <c r="J503" s="92"/>
      <c r="K503" s="92"/>
      <c r="L503" s="65" t="s">
        <v>298</v>
      </c>
      <c r="M503" s="11"/>
      <c r="N503" s="11"/>
      <c r="O503" s="49"/>
      <c r="S503" s="21">
        <f>VLOOKUP(A503,'P3'!A:H,8,0)</f>
        <v>4.3125</v>
      </c>
      <c r="T503" s="82"/>
      <c r="U503" s="143">
        <f>COUNTIFS(A:A,A503,C:C,C503)</f>
        <v>1</v>
      </c>
      <c r="V503" s="77" t="str">
        <f>VLOOKUP(A503,Data_echipe!A:U,21,0)</f>
        <v>All Stars</v>
      </c>
    </row>
    <row r="504" spans="1:22" x14ac:dyDescent="0.25">
      <c r="A504" s="64" t="s">
        <v>118</v>
      </c>
      <c r="B504" s="77" t="str">
        <f>VLOOKUP(A504,Participanti!A:B,2,0)</f>
        <v>M</v>
      </c>
      <c r="C504" s="137" t="s">
        <v>147</v>
      </c>
      <c r="D504" s="66"/>
      <c r="E504" s="67"/>
      <c r="F504" s="67"/>
      <c r="G504" s="100"/>
      <c r="H504" s="68"/>
      <c r="I504" s="14"/>
      <c r="J504" s="92"/>
      <c r="K504" s="92"/>
      <c r="L504" s="65" t="s">
        <v>298</v>
      </c>
      <c r="M504" s="11"/>
      <c r="N504" s="11"/>
      <c r="O504" s="49"/>
      <c r="S504" s="21">
        <f>VLOOKUP(A504,'P3'!A:H,8,0)</f>
        <v>3.25</v>
      </c>
      <c r="T504" s="82"/>
      <c r="U504" s="143">
        <f>COUNTIFS(A:A,A504,C:C,C504)</f>
        <v>1</v>
      </c>
      <c r="V504" s="77" t="str">
        <f>VLOOKUP(A504,Data_echipe!A:U,21,0)</f>
        <v>UltraSYR</v>
      </c>
    </row>
    <row r="505" spans="1:22" x14ac:dyDescent="0.25">
      <c r="A505" s="64" t="s">
        <v>60</v>
      </c>
      <c r="B505" s="77" t="str">
        <f>VLOOKUP(A505,Participanti!A:B,2,0)</f>
        <v>M</v>
      </c>
      <c r="C505" s="137" t="s">
        <v>147</v>
      </c>
      <c r="D505" s="66"/>
      <c r="E505" s="67"/>
      <c r="F505" s="67"/>
      <c r="G505" s="100"/>
      <c r="H505" s="68"/>
      <c r="I505" s="14"/>
      <c r="J505" s="92"/>
      <c r="K505" s="92"/>
      <c r="L505" s="65" t="s">
        <v>298</v>
      </c>
      <c r="M505" s="11"/>
      <c r="N505" s="11"/>
      <c r="O505" s="49"/>
      <c r="S505" s="21">
        <f>VLOOKUP(A505,'P3'!A:H,8,0)</f>
        <v>2.375</v>
      </c>
      <c r="T505" s="82"/>
      <c r="U505" s="143">
        <f>COUNTIFS(A:A,A505,C:C,C505)</f>
        <v>1</v>
      </c>
      <c r="V505" s="77" t="e">
        <f>VLOOKUP(A505,Data_echipe!A:U,21,0)</f>
        <v>#N/A</v>
      </c>
    </row>
    <row r="506" spans="1:22" x14ac:dyDescent="0.25">
      <c r="A506" s="64" t="s">
        <v>153</v>
      </c>
      <c r="B506" s="77" t="str">
        <f>VLOOKUP(A506,Participanti!A:B,2,0)</f>
        <v>F</v>
      </c>
      <c r="C506" s="137" t="s">
        <v>147</v>
      </c>
      <c r="D506" s="66"/>
      <c r="E506" s="67"/>
      <c r="F506" s="67"/>
      <c r="G506" s="100"/>
      <c r="H506" s="68"/>
      <c r="I506" s="14"/>
      <c r="J506" s="92"/>
      <c r="K506" s="92"/>
      <c r="L506" s="65" t="s">
        <v>298</v>
      </c>
      <c r="M506" s="11"/>
      <c r="N506" s="11"/>
      <c r="O506" s="49"/>
      <c r="S506" s="21">
        <f>VLOOKUP(A506,'P3'!A:H,8,0)</f>
        <v>2.875</v>
      </c>
      <c r="T506" s="82"/>
      <c r="U506" s="143">
        <f>COUNTIFS(A:A,A506,C:C,C506)</f>
        <v>1</v>
      </c>
      <c r="V506" s="77" t="str">
        <f>VLOOKUP(A506,Data_echipe!A:U,21,0)</f>
        <v>All Stars</v>
      </c>
    </row>
    <row r="507" spans="1:22" x14ac:dyDescent="0.25">
      <c r="A507" s="64" t="s">
        <v>211</v>
      </c>
      <c r="B507" s="77" t="str">
        <f>VLOOKUP(A507,Participanti!A:B,2,0)</f>
        <v>F</v>
      </c>
      <c r="C507" s="137" t="s">
        <v>147</v>
      </c>
      <c r="D507" s="66"/>
      <c r="E507" s="67"/>
      <c r="F507" s="67"/>
      <c r="G507" s="100"/>
      <c r="H507" s="68"/>
      <c r="I507" s="14"/>
      <c r="J507" s="92"/>
      <c r="K507" s="92"/>
      <c r="L507" s="65" t="s">
        <v>298</v>
      </c>
      <c r="M507" s="11"/>
      <c r="N507" s="11"/>
      <c r="O507" s="49"/>
      <c r="S507" s="21">
        <f>VLOOKUP(A507,'P3'!A:H,8,0)</f>
        <v>1.625</v>
      </c>
      <c r="T507" s="82"/>
      <c r="U507" s="143">
        <f>COUNTIFS(A:A,A507,C:C,C507)</f>
        <v>1</v>
      </c>
      <c r="V507" s="77" t="str">
        <f>VLOOKUP(A507,Data_echipe!A:U,21,0)</f>
        <v>UltraSYR</v>
      </c>
    </row>
    <row r="508" spans="1:22" x14ac:dyDescent="0.25">
      <c r="A508" s="64" t="s">
        <v>119</v>
      </c>
      <c r="B508" s="77" t="str">
        <f>VLOOKUP(A508,Participanti!A:B,2,0)</f>
        <v>M</v>
      </c>
      <c r="C508" s="137" t="s">
        <v>147</v>
      </c>
      <c r="D508" s="66"/>
      <c r="E508" s="67"/>
      <c r="F508" s="67"/>
      <c r="G508" s="100"/>
      <c r="H508" s="68"/>
      <c r="I508" s="14"/>
      <c r="J508" s="92"/>
      <c r="K508" s="92"/>
      <c r="L508" s="65" t="s">
        <v>298</v>
      </c>
      <c r="M508" s="11"/>
      <c r="N508" s="11"/>
      <c r="O508" s="49"/>
      <c r="S508" s="21">
        <f>VLOOKUP(A508,'P3'!A:H,8,0)</f>
        <v>2.125</v>
      </c>
      <c r="T508" s="82"/>
      <c r="U508" s="143">
        <f>COUNTIFS(A:A,A508,C:C,C508)</f>
        <v>1</v>
      </c>
      <c r="V508" s="77" t="e">
        <f>VLOOKUP(A508,Data_echipe!A:U,21,0)</f>
        <v>#N/A</v>
      </c>
    </row>
    <row r="509" spans="1:22" x14ac:dyDescent="0.25">
      <c r="A509" s="64" t="s">
        <v>102</v>
      </c>
      <c r="B509" s="77" t="str">
        <f>VLOOKUP(A509,Participanti!A:B,2,0)</f>
        <v>M</v>
      </c>
      <c r="C509" s="137" t="s">
        <v>147</v>
      </c>
      <c r="D509" s="66"/>
      <c r="E509" s="67"/>
      <c r="F509" s="67"/>
      <c r="G509" s="100"/>
      <c r="H509" s="68"/>
      <c r="I509" s="14"/>
      <c r="J509" s="92"/>
      <c r="K509" s="92"/>
      <c r="L509" s="65" t="s">
        <v>298</v>
      </c>
      <c r="M509" s="11"/>
      <c r="N509" s="11"/>
      <c r="O509" s="49"/>
      <c r="S509" s="21">
        <f>VLOOKUP(A509,'P3'!A:H,8,0)</f>
        <v>0.9375</v>
      </c>
      <c r="T509" s="82"/>
      <c r="U509" s="143">
        <f>COUNTIFS(A:A,A509,C:C,C509)</f>
        <v>1</v>
      </c>
      <c r="V509" s="77" t="str">
        <f>VLOOKUP(A509,Data_echipe!A:U,21,0)</f>
        <v>All Stars</v>
      </c>
    </row>
    <row r="510" spans="1:22" x14ac:dyDescent="0.25">
      <c r="A510" s="64" t="s">
        <v>154</v>
      </c>
      <c r="B510" s="77" t="str">
        <f>VLOOKUP(A510,Participanti!A:B,2,0)</f>
        <v>M</v>
      </c>
      <c r="C510" s="137" t="s">
        <v>147</v>
      </c>
      <c r="D510" s="66"/>
      <c r="E510" s="67"/>
      <c r="F510" s="67"/>
      <c r="G510" s="100"/>
      <c r="H510" s="68"/>
      <c r="I510" s="14"/>
      <c r="J510" s="92"/>
      <c r="K510" s="92"/>
      <c r="L510" s="65" t="s">
        <v>298</v>
      </c>
      <c r="M510" s="11"/>
      <c r="N510" s="11"/>
      <c r="O510" s="49"/>
      <c r="S510" s="21">
        <f>VLOOKUP(A510,'P3'!A:H,8,0)</f>
        <v>1.6875</v>
      </c>
      <c r="T510" s="82"/>
      <c r="U510" s="143">
        <f>COUNTIFS(A:A,A510,C:C,C510)</f>
        <v>1</v>
      </c>
      <c r="V510" s="77" t="str">
        <f>VLOOKUP(A510,Data_echipe!A:U,21,0)</f>
        <v>All Stars</v>
      </c>
    </row>
    <row r="511" spans="1:22" x14ac:dyDescent="0.25">
      <c r="A511" s="64" t="s">
        <v>196</v>
      </c>
      <c r="B511" s="77" t="str">
        <f>VLOOKUP(A511,Participanti!A:B,2,0)</f>
        <v>F</v>
      </c>
      <c r="C511" s="137" t="s">
        <v>147</v>
      </c>
      <c r="D511" s="66"/>
      <c r="E511" s="67"/>
      <c r="F511" s="67"/>
      <c r="G511" s="100"/>
      <c r="H511" s="68"/>
      <c r="I511" s="14"/>
      <c r="J511" s="92"/>
      <c r="K511" s="92"/>
      <c r="L511" s="65" t="s">
        <v>298</v>
      </c>
      <c r="M511" s="11"/>
      <c r="N511" s="11"/>
      <c r="O511" s="49"/>
      <c r="S511" s="21">
        <f>VLOOKUP(A511,'P3'!A:H,8,0)</f>
        <v>2.1875</v>
      </c>
      <c r="T511" s="82"/>
      <c r="U511" s="143">
        <f>COUNTIFS(A:A,A511,C:C,C511)</f>
        <v>1</v>
      </c>
      <c r="V511" s="77" t="str">
        <f>VLOOKUP(A511,Data_echipe!A:U,21,0)</f>
        <v>UltraSYR</v>
      </c>
    </row>
    <row r="512" spans="1:22" x14ac:dyDescent="0.25">
      <c r="A512" s="64" t="s">
        <v>241</v>
      </c>
      <c r="B512" s="77" t="str">
        <f>VLOOKUP(A512,Participanti!A:B,2,0)</f>
        <v>M</v>
      </c>
      <c r="C512" s="137" t="s">
        <v>147</v>
      </c>
      <c r="D512" s="66"/>
      <c r="E512" s="67"/>
      <c r="F512" s="67"/>
      <c r="G512" s="100"/>
      <c r="H512" s="68"/>
      <c r="I512" s="14"/>
      <c r="J512" s="92"/>
      <c r="K512" s="92"/>
      <c r="L512" s="65" t="s">
        <v>298</v>
      </c>
      <c r="M512" s="11"/>
      <c r="N512" s="11"/>
      <c r="O512" s="49"/>
      <c r="S512" s="21">
        <f>VLOOKUP(A512,'P3'!A:H,8,0)</f>
        <v>0.8125</v>
      </c>
      <c r="T512" s="82"/>
      <c r="U512" s="143">
        <f>COUNTIFS(A:A,A512,C:C,C512)</f>
        <v>1</v>
      </c>
      <c r="V512" s="77" t="e">
        <f>VLOOKUP(A512,Data_echipe!A:U,21,0)</f>
        <v>#N/A</v>
      </c>
    </row>
    <row r="513" spans="1:23" x14ac:dyDescent="0.25">
      <c r="A513" s="64" t="s">
        <v>240</v>
      </c>
      <c r="B513" s="77" t="str">
        <f>VLOOKUP(A513,Participanti!A:B,2,0)</f>
        <v>M</v>
      </c>
      <c r="C513" s="137" t="s">
        <v>147</v>
      </c>
      <c r="D513" s="66"/>
      <c r="E513" s="67"/>
      <c r="F513" s="67"/>
      <c r="G513" s="100"/>
      <c r="H513" s="68"/>
      <c r="I513" s="14"/>
      <c r="J513" s="92"/>
      <c r="K513" s="92"/>
      <c r="L513" s="65" t="s">
        <v>298</v>
      </c>
      <c r="M513" s="11"/>
      <c r="N513" s="11"/>
      <c r="O513" s="49"/>
      <c r="S513" s="21">
        <f>VLOOKUP(A513,'P3'!A:H,8,0)</f>
        <v>1.25</v>
      </c>
      <c r="T513" s="82"/>
      <c r="U513" s="143">
        <f>COUNTIFS(A:A,A513,C:C,C513)</f>
        <v>1</v>
      </c>
      <c r="V513" s="77" t="str">
        <f>VLOOKUP(A513,Data_echipe!A:U,21,0)</f>
        <v>All Stars</v>
      </c>
    </row>
    <row r="514" spans="1:23" x14ac:dyDescent="0.25">
      <c r="A514" s="64" t="s">
        <v>117</v>
      </c>
      <c r="B514" s="77" t="str">
        <f>VLOOKUP(A514,Participanti!A:B,2,0)</f>
        <v>M</v>
      </c>
      <c r="C514" s="137" t="s">
        <v>147</v>
      </c>
      <c r="D514" s="66"/>
      <c r="E514" s="67"/>
      <c r="F514" s="67"/>
      <c r="G514" s="100"/>
      <c r="H514" s="68"/>
      <c r="I514" s="14"/>
      <c r="J514" s="92"/>
      <c r="K514" s="92"/>
      <c r="L514" s="65" t="s">
        <v>298</v>
      </c>
      <c r="M514" s="11"/>
      <c r="N514" s="11"/>
      <c r="O514" s="49"/>
      <c r="S514" s="21">
        <f>VLOOKUP(A514,'P3'!A:H,8,0)</f>
        <v>3.25</v>
      </c>
      <c r="T514" s="82"/>
      <c r="U514" s="143">
        <f>COUNTIFS(A:A,A514,C:C,C514)</f>
        <v>1</v>
      </c>
      <c r="V514" s="77" t="str">
        <f>VLOOKUP(A514,Data_echipe!A:U,21,0)</f>
        <v>UltraSYR</v>
      </c>
    </row>
    <row r="515" spans="1:23" x14ac:dyDescent="0.25">
      <c r="A515" s="64" t="s">
        <v>152</v>
      </c>
      <c r="B515" s="77" t="str">
        <f>VLOOKUP(A515,Participanti!A:B,2,0)</f>
        <v>F</v>
      </c>
      <c r="C515" s="137" t="s">
        <v>147</v>
      </c>
      <c r="D515" s="66"/>
      <c r="E515" s="67"/>
      <c r="F515" s="67"/>
      <c r="G515" s="100"/>
      <c r="H515" s="68"/>
      <c r="I515" s="14"/>
      <c r="J515" s="92"/>
      <c r="K515" s="92"/>
      <c r="L515" s="65" t="s">
        <v>298</v>
      </c>
      <c r="M515" s="11"/>
      <c r="N515" s="11"/>
      <c r="O515" s="49"/>
      <c r="S515" s="21">
        <f>VLOOKUP(A515,'P3'!A:H,8,0)</f>
        <v>4.125</v>
      </c>
      <c r="T515" s="82"/>
      <c r="U515" s="143">
        <f>COUNTIFS(A:A,A515,C:C,C515)</f>
        <v>1</v>
      </c>
      <c r="V515" s="77" t="str">
        <f>VLOOKUP(A515,Data_echipe!A:U,21,0)</f>
        <v>All Stars</v>
      </c>
    </row>
    <row r="516" spans="1:23" x14ac:dyDescent="0.25">
      <c r="A516" s="64" t="s">
        <v>50</v>
      </c>
      <c r="B516" s="77" t="str">
        <f>VLOOKUP(A516,Participanti!A:B,2,0)</f>
        <v>M</v>
      </c>
      <c r="C516" s="137" t="s">
        <v>147</v>
      </c>
      <c r="D516" s="66"/>
      <c r="E516" s="67"/>
      <c r="F516" s="67"/>
      <c r="G516" s="100"/>
      <c r="H516" s="68"/>
      <c r="I516" s="14"/>
      <c r="J516" s="92"/>
      <c r="K516" s="92"/>
      <c r="L516" s="65" t="s">
        <v>298</v>
      </c>
      <c r="M516" s="11"/>
      <c r="N516" s="11"/>
      <c r="O516" s="49"/>
      <c r="S516" s="21">
        <f>VLOOKUP(A516,'P3'!A:H,8,0)</f>
        <v>3.1875</v>
      </c>
      <c r="T516" s="82"/>
      <c r="U516" s="143">
        <f>COUNTIFS(A:A,A516,C:C,C516)</f>
        <v>1</v>
      </c>
      <c r="V516" s="77" t="str">
        <f>VLOOKUP(A516,Data_echipe!A:U,21,0)</f>
        <v>UltraSYR</v>
      </c>
    </row>
    <row r="517" spans="1:23" x14ac:dyDescent="0.25">
      <c r="A517" s="64" t="s">
        <v>239</v>
      </c>
      <c r="B517" s="77" t="str">
        <f>VLOOKUP(A517,Participanti!A:B,2,0)</f>
        <v>M</v>
      </c>
      <c r="C517" s="137" t="s">
        <v>147</v>
      </c>
      <c r="D517" s="66"/>
      <c r="E517" s="67"/>
      <c r="F517" s="67"/>
      <c r="G517" s="100"/>
      <c r="H517" s="68"/>
      <c r="I517" s="14"/>
      <c r="J517" s="92"/>
      <c r="K517" s="92"/>
      <c r="L517" s="65" t="s">
        <v>298</v>
      </c>
      <c r="M517" s="11"/>
      <c r="N517" s="11"/>
      <c r="O517" s="49"/>
      <c r="S517" s="21">
        <f>VLOOKUP(A517,'P3'!A:H,8,0)</f>
        <v>1.625</v>
      </c>
      <c r="T517" s="82"/>
      <c r="U517" s="143">
        <f>COUNTIFS(A:A,A517,C:C,C517)</f>
        <v>1</v>
      </c>
      <c r="V517" s="77" t="str">
        <f>VLOOKUP(A517,Data_echipe!A:U,21,0)</f>
        <v>All Stars</v>
      </c>
    </row>
    <row r="518" spans="1:23" x14ac:dyDescent="0.25">
      <c r="A518" s="64" t="s">
        <v>103</v>
      </c>
      <c r="B518" s="77" t="str">
        <f>VLOOKUP(A518,Participanti!A:B,2,0)</f>
        <v>F</v>
      </c>
      <c r="C518" s="137" t="s">
        <v>147</v>
      </c>
      <c r="D518" s="66"/>
      <c r="E518" s="67"/>
      <c r="F518" s="67"/>
      <c r="G518" s="100"/>
      <c r="H518" s="68"/>
      <c r="I518" s="14"/>
      <c r="J518" s="92"/>
      <c r="K518" s="92"/>
      <c r="L518" s="65" t="s">
        <v>298</v>
      </c>
      <c r="M518" s="11"/>
      <c r="N518" s="11"/>
      <c r="O518" s="49"/>
      <c r="S518" s="21">
        <f>VLOOKUP(A518,'P3'!A:H,8,0)</f>
        <v>2.375</v>
      </c>
      <c r="T518" s="82"/>
      <c r="U518" s="143">
        <f>COUNTIFS(A:A,A518,C:C,C518)</f>
        <v>1</v>
      </c>
      <c r="V518" s="77" t="str">
        <f>VLOOKUP(A518,Data_echipe!A:U,21,0)</f>
        <v>UltraSYR</v>
      </c>
    </row>
    <row r="519" spans="1:23" x14ac:dyDescent="0.25">
      <c r="A519" s="64" t="s">
        <v>51</v>
      </c>
      <c r="B519" s="77" t="str">
        <f>VLOOKUP(A519,Participanti!A:B,2,0)</f>
        <v>M</v>
      </c>
      <c r="C519" s="137" t="s">
        <v>147</v>
      </c>
      <c r="D519" s="66"/>
      <c r="E519" s="67"/>
      <c r="F519" s="67"/>
      <c r="G519" s="100"/>
      <c r="H519" s="68"/>
      <c r="I519" s="14"/>
      <c r="J519" s="92"/>
      <c r="K519" s="92"/>
      <c r="L519" s="65" t="s">
        <v>298</v>
      </c>
      <c r="M519" s="11"/>
      <c r="N519" s="11"/>
      <c r="O519" s="49"/>
      <c r="S519" s="21">
        <f>VLOOKUP(A519,'P3'!A:H,8,0)</f>
        <v>4.6875</v>
      </c>
      <c r="T519" s="82"/>
      <c r="U519" s="143">
        <f>COUNTIFS(A:A,A519,C:C,C519)</f>
        <v>1</v>
      </c>
      <c r="V519" s="77" t="str">
        <f>VLOOKUP(A519,Data_echipe!A:U,21,0)</f>
        <v>UltraSYR</v>
      </c>
    </row>
    <row r="520" spans="1:23" x14ac:dyDescent="0.25">
      <c r="A520" s="64" t="s">
        <v>66</v>
      </c>
      <c r="B520" s="77" t="str">
        <f>VLOOKUP(A520,Participanti!A:B,2,0)</f>
        <v>F</v>
      </c>
      <c r="C520" s="137" t="s">
        <v>147</v>
      </c>
      <c r="D520" s="66"/>
      <c r="E520" s="67"/>
      <c r="F520" s="67"/>
      <c r="G520" s="100"/>
      <c r="H520" s="68"/>
      <c r="I520" s="14"/>
      <c r="J520" s="92"/>
      <c r="K520" s="92"/>
      <c r="L520" s="65" t="s">
        <v>298</v>
      </c>
      <c r="M520" s="11"/>
      <c r="N520" s="11"/>
      <c r="O520" s="49"/>
      <c r="S520" s="21">
        <f>VLOOKUP(A520,'P3'!A:H,8,0)</f>
        <v>2.1875</v>
      </c>
      <c r="T520" s="82"/>
      <c r="U520" s="143">
        <f>COUNTIFS(A:A,A520,C:C,C520)</f>
        <v>1</v>
      </c>
      <c r="V520" s="77" t="e">
        <f>VLOOKUP(A520,Data_echipe!A:U,21,0)</f>
        <v>#N/A</v>
      </c>
    </row>
    <row r="521" spans="1:23" x14ac:dyDescent="0.25">
      <c r="A521" s="64" t="s">
        <v>7</v>
      </c>
      <c r="B521" s="77" t="str">
        <f>VLOOKUP(A521,Participanti!A:B,2,0)</f>
        <v>M</v>
      </c>
      <c r="C521" s="137" t="s">
        <v>147</v>
      </c>
      <c r="D521" s="66"/>
      <c r="E521" s="67"/>
      <c r="F521" s="67"/>
      <c r="G521" s="100"/>
      <c r="H521" s="68"/>
      <c r="I521" s="14"/>
      <c r="J521" s="92"/>
      <c r="K521" s="92"/>
      <c r="L521" s="65" t="s">
        <v>298</v>
      </c>
      <c r="M521" s="11"/>
      <c r="N521" s="11"/>
      <c r="O521" s="49"/>
      <c r="S521" s="21">
        <f>VLOOKUP(A521,'P3'!A:H,8,0)</f>
        <v>1.25</v>
      </c>
      <c r="T521" s="82"/>
      <c r="U521" s="143">
        <f>COUNTIFS(A:A,A521,C:C,C521)</f>
        <v>1</v>
      </c>
      <c r="V521" s="77" t="str">
        <f>VLOOKUP(A521,Data_echipe!A:U,21,0)</f>
        <v>All Stars</v>
      </c>
    </row>
    <row r="522" spans="1:23" x14ac:dyDescent="0.25">
      <c r="A522" s="64" t="s">
        <v>242</v>
      </c>
      <c r="B522" s="77" t="str">
        <f>VLOOKUP(A522,Participanti!A:B,2,0)</f>
        <v>M</v>
      </c>
      <c r="C522" s="137" t="s">
        <v>147</v>
      </c>
      <c r="D522" s="66"/>
      <c r="E522" s="67"/>
      <c r="F522" s="67"/>
      <c r="G522" s="100"/>
      <c r="H522" s="68"/>
      <c r="I522" s="14"/>
      <c r="J522" s="92"/>
      <c r="K522" s="92"/>
      <c r="L522" s="65" t="s">
        <v>298</v>
      </c>
      <c r="M522" s="11"/>
      <c r="N522" s="11"/>
      <c r="O522" s="49"/>
      <c r="S522" s="21">
        <f>VLOOKUP(A522,'P3'!A:H,8,0)</f>
        <v>3.8125</v>
      </c>
      <c r="T522" s="82"/>
      <c r="U522" s="143">
        <f>COUNTIFS(A:A,A522,C:C,C522)</f>
        <v>1</v>
      </c>
      <c r="V522" s="77" t="str">
        <f>VLOOKUP(A522,Data_echipe!A:U,21,0)</f>
        <v>All Stars</v>
      </c>
    </row>
    <row r="523" spans="1:23" x14ac:dyDescent="0.25">
      <c r="A523" s="64" t="s">
        <v>61</v>
      </c>
      <c r="B523" s="77" t="str">
        <f>VLOOKUP(A523,Participanti!A:B,2,0)</f>
        <v>M</v>
      </c>
      <c r="C523" s="137" t="s">
        <v>147</v>
      </c>
      <c r="D523" s="66"/>
      <c r="E523" s="67"/>
      <c r="F523" s="67"/>
      <c r="G523" s="100"/>
      <c r="H523" s="68"/>
      <c r="I523" s="14"/>
      <c r="J523" s="92"/>
      <c r="K523" s="92"/>
      <c r="L523" s="65" t="s">
        <v>298</v>
      </c>
      <c r="M523" s="11"/>
      <c r="N523" s="11"/>
      <c r="O523" s="49"/>
      <c r="S523" s="21">
        <f>VLOOKUP(A523,'P3'!A:H,8,0)</f>
        <v>1.5</v>
      </c>
      <c r="T523" s="82"/>
      <c r="U523" s="143">
        <f>COUNTIFS(A:A,A523,C:C,C523)</f>
        <v>1</v>
      </c>
      <c r="V523" s="77" t="str">
        <f>VLOOKUP(A523,Data_echipe!A:U,21,0)</f>
        <v>UltraSYR</v>
      </c>
    </row>
    <row r="524" spans="1:23" x14ac:dyDescent="0.25">
      <c r="A524" s="64" t="s">
        <v>111</v>
      </c>
      <c r="B524" s="77" t="str">
        <f>VLOOKUP(A524,Participanti!A:B,2,0)</f>
        <v>M</v>
      </c>
      <c r="C524" s="137" t="s">
        <v>147</v>
      </c>
      <c r="D524" s="66"/>
      <c r="E524" s="67"/>
      <c r="F524" s="67"/>
      <c r="G524" s="100"/>
      <c r="H524" s="68"/>
      <c r="I524" s="14"/>
      <c r="J524" s="92"/>
      <c r="K524" s="92"/>
      <c r="L524" s="65" t="s">
        <v>298</v>
      </c>
      <c r="M524" s="11"/>
      <c r="N524" s="11"/>
      <c r="O524" s="49"/>
      <c r="S524" s="21">
        <f>VLOOKUP(A524,'P3'!A:H,8,0)</f>
        <v>4.625</v>
      </c>
      <c r="T524" s="82"/>
      <c r="U524" s="143">
        <f>COUNTIFS(A:A,A524,C:C,C524)</f>
        <v>1</v>
      </c>
      <c r="V524" s="77" t="str">
        <f>VLOOKUP(A524,Data_echipe!A:U,21,0)</f>
        <v>UltraSYR</v>
      </c>
    </row>
    <row r="525" spans="1:23" ht="12.6" thickBot="1" x14ac:dyDescent="0.3">
      <c r="A525" s="180" t="s">
        <v>202</v>
      </c>
      <c r="B525" s="181" t="str">
        <f>VLOOKUP(A525,Participanti!A:B,2,0)</f>
        <v>F</v>
      </c>
      <c r="C525" s="182" t="s">
        <v>147</v>
      </c>
      <c r="D525" s="183"/>
      <c r="E525" s="184"/>
      <c r="F525" s="184"/>
      <c r="G525" s="185"/>
      <c r="H525" s="186"/>
      <c r="I525" s="187"/>
      <c r="J525" s="188"/>
      <c r="K525" s="188"/>
      <c r="L525" s="189" t="s">
        <v>298</v>
      </c>
      <c r="M525" s="190"/>
      <c r="N525" s="190"/>
      <c r="O525" s="191"/>
      <c r="P525" s="192"/>
      <c r="Q525" s="192"/>
      <c r="R525" s="192"/>
      <c r="S525" s="193">
        <f>VLOOKUP(A525,'P3'!A:H,8,0)</f>
        <v>3.875</v>
      </c>
      <c r="T525" s="194"/>
      <c r="U525" s="195">
        <f>COUNTIFS(A:A,A525,C:C,C525)</f>
        <v>1</v>
      </c>
      <c r="V525" s="181" t="e">
        <f>VLOOKUP(A525,Data_echipe!A:U,21,0)</f>
        <v>#N/A</v>
      </c>
      <c r="W525" s="196"/>
    </row>
  </sheetData>
  <autoFilter ref="A1:V52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A43"/>
  <sheetViews>
    <sheetView tabSelected="1" zoomScaleNormal="100" workbookViewId="0">
      <pane ySplit="1" topLeftCell="A2" activePane="bottomLeft" state="frozen"/>
      <selection pane="bottomLeft" activeCell="V18" sqref="V18"/>
    </sheetView>
  </sheetViews>
  <sheetFormatPr defaultColWidth="9.109375" defaultRowHeight="12" x14ac:dyDescent="0.25"/>
  <cols>
    <col min="1" max="1" width="7.88671875" style="152" bestFit="1" customWidth="1"/>
    <col min="2" max="2" width="22.109375" style="29" bestFit="1" customWidth="1"/>
    <col min="3" max="7" width="5.33203125" style="30" customWidth="1"/>
    <col min="8" max="8" width="6.88671875" style="30" customWidth="1"/>
    <col min="9" max="9" width="4.44140625" style="30" bestFit="1" customWidth="1"/>
    <col min="10" max="10" width="5.33203125" style="30" customWidth="1"/>
    <col min="11" max="11" width="6.5546875" style="30" customWidth="1"/>
    <col min="12" max="20" width="5.33203125" style="30" customWidth="1"/>
    <col min="21" max="21" width="13.21875" style="30" bestFit="1" customWidth="1"/>
    <col min="22" max="22" width="10.44140625" style="30" bestFit="1" customWidth="1"/>
    <col min="23" max="23" width="10.77734375" style="30" customWidth="1"/>
    <col min="24" max="24" width="6.44140625" style="40" bestFit="1" customWidth="1"/>
    <col min="25" max="25" width="9.21875" style="40" customWidth="1"/>
    <col min="26" max="16384" width="9.109375" style="40"/>
  </cols>
  <sheetData>
    <row r="1" spans="1:27" ht="13.8" x14ac:dyDescent="0.3">
      <c r="A1" s="150" t="s">
        <v>69</v>
      </c>
      <c r="B1" s="36" t="s">
        <v>32</v>
      </c>
      <c r="C1" s="45">
        <v>1</v>
      </c>
      <c r="D1" s="45">
        <v>2</v>
      </c>
      <c r="E1" s="45">
        <v>3</v>
      </c>
      <c r="F1" s="45">
        <v>4</v>
      </c>
      <c r="G1" s="45">
        <v>5</v>
      </c>
      <c r="H1" s="81" t="s">
        <v>145</v>
      </c>
      <c r="I1" s="45">
        <v>6</v>
      </c>
      <c r="J1" s="45">
        <v>7</v>
      </c>
      <c r="K1" s="45">
        <v>8</v>
      </c>
      <c r="L1" s="45">
        <v>9</v>
      </c>
      <c r="M1" s="45">
        <v>10</v>
      </c>
      <c r="N1" s="81" t="s">
        <v>146</v>
      </c>
      <c r="O1" s="45">
        <v>11</v>
      </c>
      <c r="P1" s="45">
        <v>12</v>
      </c>
      <c r="Q1" s="45">
        <v>13</v>
      </c>
      <c r="R1" s="45">
        <v>14</v>
      </c>
      <c r="S1" s="45">
        <v>15</v>
      </c>
      <c r="T1" s="81" t="s">
        <v>147</v>
      </c>
      <c r="U1" s="101" t="s">
        <v>85</v>
      </c>
      <c r="V1" s="37" t="s">
        <v>71</v>
      </c>
      <c r="W1" s="37" t="s">
        <v>70</v>
      </c>
      <c r="X1" s="44" t="s">
        <v>106</v>
      </c>
      <c r="Y1" s="40" t="s">
        <v>210</v>
      </c>
      <c r="Z1" s="40" t="s">
        <v>355</v>
      </c>
      <c r="AA1" s="40" t="s">
        <v>394</v>
      </c>
    </row>
    <row r="2" spans="1:27" ht="13.8" x14ac:dyDescent="0.3">
      <c r="A2" s="151">
        <v>1</v>
      </c>
      <c r="B2" s="38" t="s">
        <v>242</v>
      </c>
      <c r="C2" s="39">
        <f>IF(SUMIFS(Data!$S:$S,Data!$A:$A,$B2,Data!$C:$C,C$1)=0,"",SUMIFS(Data!$S:$S,Data!$A:$A,$B2,Data!$C:$C,C$1))</f>
        <v>5.0203333333333333</v>
      </c>
      <c r="D2" s="39">
        <f>IF(SUMIFS(Data!$S:$S,Data!$A:$A,$B2,Data!$C:$C,D$1)=0,"",SUMIFS(Data!$S:$S,Data!$A:$A,$B2,Data!$C:$C,D$1))</f>
        <v>5.9540000000000006</v>
      </c>
      <c r="E2" s="39">
        <f>IF(SUMIFS(Data!$S:$S,Data!$A:$A,$B2,Data!$C:$C,E$1)=0,"",SUMIFS(Data!$S:$S,Data!$A:$A,$B2,Data!$C:$C,E$1))</f>
        <v>9.4369047619047635</v>
      </c>
      <c r="F2" s="39">
        <f>IF(SUMIFS(Data!$S:$S,Data!$A:$A,$B2,Data!$C:$C,F$1)=0,"",SUMIFS(Data!$S:$S,Data!$A:$A,$B2,Data!$C:$C,F$1))</f>
        <v>6.702</v>
      </c>
      <c r="G2" s="39">
        <f>IF(SUMIFS(Data!$S:$S,Data!$A:$A,$B2,Data!$C:$C,G$1)=0,"",SUMIFS(Data!$S:$S,Data!$A:$A,$B2,Data!$C:$C,G$1))</f>
        <v>7.5318333333333332</v>
      </c>
      <c r="H2" s="39">
        <f>IF(SUMIFS(Data!$S:$S,Data!$A:$A,$B2,Data!$C:$C,H$1)=0,"",SUMIFS(Data!$S:$S,Data!$A:$A,$B2,Data!$C:$C,H$1))</f>
        <v>3.625</v>
      </c>
      <c r="I2" s="39">
        <f>IF(SUMIFS(Data!$S:$S,Data!$A:$A,$B2,Data!$C:$C,I$1)=0,"",SUMIFS(Data!$S:$S,Data!$A:$A,$B2,Data!$C:$C,I$1))</f>
        <v>5.7539999999999996</v>
      </c>
      <c r="J2" s="39">
        <f>IF(SUMIFS(Data!$S:$S,Data!$A:$A,$B2,Data!$C:$C,J$1)=0,"",SUMIFS(Data!$S:$S,Data!$A:$A,$B2,Data!$C:$C,J$1))</f>
        <v>8.5804999999999989</v>
      </c>
      <c r="K2" s="39">
        <f>IF(SUMIFS(Data!$S:$S,Data!$A:$A,$B2,Data!$C:$C,K$1)=0,"",SUMIFS(Data!$S:$S,Data!$A:$A,$B2,Data!$C:$C,K$1))</f>
        <v>5.6926666666666668</v>
      </c>
      <c r="L2" s="39">
        <f>IF(SUMIFS(Data!$S:$S,Data!$A:$A,$B2,Data!$C:$C,L$1)=0,"",SUMIFS(Data!$S:$S,Data!$A:$A,$B2,Data!$C:$C,L$1))</f>
        <v>6.5958333333333332</v>
      </c>
      <c r="M2" s="39">
        <f>IF(SUMIFS(Data!$S:$S,Data!$A:$A,$B2,Data!$C:$C,M$1)=0,"",SUMIFS(Data!$S:$S,Data!$A:$A,$B2,Data!$C:$C,M$1))</f>
        <v>8.5458333333333325</v>
      </c>
      <c r="N2" s="39">
        <f>IF(SUMIFS(Data!$S:$S,Data!$A:$A,$B2,Data!$C:$C,N$1)=0,"",SUMIFS(Data!$S:$S,Data!$A:$A,$B2,Data!$C:$C,N$1))</f>
        <v>2.4375</v>
      </c>
      <c r="O2" s="39">
        <f>IF(SUMIFS(Data!$S:$S,Data!$A:$A,$B2,Data!$C:$C,O$1)=0,"",SUMIFS(Data!$S:$S,Data!$A:$A,$B2,Data!$C:$C,O$1))</f>
        <v>5.2273333333333332</v>
      </c>
      <c r="P2" s="39">
        <f>IF(SUMIFS(Data!$S:$S,Data!$A:$A,$B2,Data!$C:$C,P$1)=0,"",SUMIFS(Data!$S:$S,Data!$A:$A,$B2,Data!$C:$C,P$1))</f>
        <v>5.5539999999999994</v>
      </c>
      <c r="Q2" s="39">
        <f>IF(SUMIFS(Data!$S:$S,Data!$A:$A,$B2,Data!$C:$C,Q$1)=0,"",SUMIFS(Data!$S:$S,Data!$A:$A,$B2,Data!$C:$C,Q$1))</f>
        <v>5.8818333333333328</v>
      </c>
      <c r="R2" s="39">
        <f>IF(SUMIFS(Data!$S:$S,Data!$A:$A,$B2,Data!$C:$C,R$1)=0,"",SUMIFS(Data!$S:$S,Data!$A:$A,$B2,Data!$C:$C,R$1))</f>
        <v>8.2482142857142851</v>
      </c>
      <c r="S2" s="39">
        <f>IF(SUMIFS(Data!$S:$S,Data!$A:$A,$B2,Data!$C:$C,S$1)=0,"",SUMIFS(Data!$S:$S,Data!$A:$A,$B2,Data!$C:$C,S$1))</f>
        <v>6.0020000000000007</v>
      </c>
      <c r="T2" s="39">
        <f>IF(SUMIFS(Data!$S:$S,Data!$A:$A,$B2,Data!$C:$C,T$1)=0,"",SUMIFS(Data!$S:$S,Data!$A:$A,$B2,Data!$C:$C,T$1))</f>
        <v>3.8125</v>
      </c>
      <c r="U2" s="39">
        <f>IF(SUMIFS(Data!X:X,Data!A:A,'#ligaSYR'!B2)&gt;12,5,IF(SUMIFS(Data!X:X,Data!A:A,'#ligaSYR'!B2)&gt;9,3, IF(SUMIFS(Data!X:X,Data!A:A,'#ligaSYR'!B2)&gt;4,1,0)))</f>
        <v>5</v>
      </c>
      <c r="V2" s="39">
        <f>SUM(C2:U2)</f>
        <v>115.60228571428571</v>
      </c>
      <c r="W2" s="39">
        <f>SUMIFS(Data!D:D,Data!A:A,'#ligaSYR'!B2)</f>
        <v>313.59999999999997</v>
      </c>
      <c r="X2" s="40" t="str">
        <f>IF(VLOOKUP(B2,Participanti!A:D,4,0)=0," ","New")</f>
        <v>New</v>
      </c>
      <c r="Y2" s="99">
        <f>MEDIAN(C2:T2)</f>
        <v>5.9179166666666667</v>
      </c>
      <c r="Z2" s="212">
        <f>COUNT(C2,D2,E2,F2,G2,I2,J2,K2,L2,M2,O2,P2,Q2,R2,S2)</f>
        <v>15</v>
      </c>
      <c r="AA2" s="212"/>
    </row>
    <row r="3" spans="1:27" ht="13.8" x14ac:dyDescent="0.3">
      <c r="A3" s="151">
        <v>2</v>
      </c>
      <c r="B3" s="38" t="s">
        <v>152</v>
      </c>
      <c r="C3" s="39">
        <f>IF(SUMIFS(Data!$S:$S,Data!$A:$A,$B3,Data!$C:$C,C$1)=0,"",SUMIFS(Data!$S:$S,Data!$A:$A,$B3,Data!$C:$C,C$1))</f>
        <v>4.4375</v>
      </c>
      <c r="D3" s="39">
        <f>IF(SUMIFS(Data!$S:$S,Data!$A:$A,$B3,Data!$C:$C,D$1)=0,"",SUMIFS(Data!$S:$S,Data!$A:$A,$B3,Data!$C:$C,D$1))</f>
        <v>4.7906666666666666</v>
      </c>
      <c r="E3" s="39">
        <f>IF(SUMIFS(Data!$S:$S,Data!$A:$A,$B3,Data!$C:$C,E$1)=0,"",SUMIFS(Data!$S:$S,Data!$A:$A,$B3,Data!$C:$C,E$1))</f>
        <v>7.057500000000001</v>
      </c>
      <c r="F3" s="39">
        <f>IF(SUMIFS(Data!$S:$S,Data!$A:$A,$B3,Data!$C:$C,F$1)=0,"",SUMIFS(Data!$S:$S,Data!$A:$A,$B3,Data!$C:$C,F$1))</f>
        <v>4.8086666666666664</v>
      </c>
      <c r="G3" s="39">
        <f>IF(SUMIFS(Data!$S:$S,Data!$A:$A,$B3,Data!$C:$C,G$1)=0,"",SUMIFS(Data!$S:$S,Data!$A:$A,$B3,Data!$C:$C,G$1))</f>
        <v>4.625</v>
      </c>
      <c r="H3" s="39">
        <f>IF(SUMIFS(Data!$S:$S,Data!$A:$A,$B3,Data!$C:$C,H$1)=0,"",SUMIFS(Data!$S:$S,Data!$A:$A,$B3,Data!$C:$C,H$1))</f>
        <v>2.5</v>
      </c>
      <c r="I3" s="39">
        <f>IF(SUMIFS(Data!$S:$S,Data!$A:$A,$B3,Data!$C:$C,I$1)=0,"",SUMIFS(Data!$S:$S,Data!$A:$A,$B3,Data!$C:$C,I$1))</f>
        <v>4.862333333333333</v>
      </c>
      <c r="J3" s="39">
        <f>IF(SUMIFS(Data!$S:$S,Data!$A:$A,$B3,Data!$C:$C,J$1)=0,"",SUMIFS(Data!$S:$S,Data!$A:$A,$B3,Data!$C:$C,J$1))</f>
        <v>10.658125</v>
      </c>
      <c r="K3" s="39">
        <f>IF(SUMIFS(Data!$S:$S,Data!$A:$A,$B3,Data!$C:$C,K$1)=0,"",SUMIFS(Data!$S:$S,Data!$A:$A,$B3,Data!$C:$C,K$1))</f>
        <v>4.05375</v>
      </c>
      <c r="L3" s="39">
        <f>IF(SUMIFS(Data!$S:$S,Data!$A:$A,$B3,Data!$C:$C,L$1)=0,"",SUMIFS(Data!$S:$S,Data!$A:$A,$B3,Data!$C:$C,L$1))</f>
        <v>5.426333333333333</v>
      </c>
      <c r="M3" s="39">
        <f>IF(SUMIFS(Data!$S:$S,Data!$A:$A,$B3,Data!$C:$C,M$1)=0,"",SUMIFS(Data!$S:$S,Data!$A:$A,$B3,Data!$C:$C,M$1))</f>
        <v>10.639291666666667</v>
      </c>
      <c r="N3" s="39">
        <f>IF(SUMIFS(Data!$S:$S,Data!$A:$A,$B3,Data!$C:$C,N$1)=0,"",SUMIFS(Data!$S:$S,Data!$A:$A,$B3,Data!$C:$C,N$1))</f>
        <v>2.125</v>
      </c>
      <c r="O3" s="39">
        <f>IF(SUMIFS(Data!$S:$S,Data!$A:$A,$B3,Data!$C:$C,O$1)=0,"",SUMIFS(Data!$S:$S,Data!$A:$A,$B3,Data!$C:$C,O$1))</f>
        <v>3.7687499999999998</v>
      </c>
      <c r="P3" s="39">
        <f>IF(SUMIFS(Data!$S:$S,Data!$A:$A,$B3,Data!$C:$C,P$1)=0,"",SUMIFS(Data!$S:$S,Data!$A:$A,$B3,Data!$C:$C,P$1))</f>
        <v>4.8733333333333331</v>
      </c>
      <c r="Q3" s="39">
        <f>IF(SUMIFS(Data!$S:$S,Data!$A:$A,$B3,Data!$C:$C,Q$1)=0,"",SUMIFS(Data!$S:$S,Data!$A:$A,$B3,Data!$C:$C,Q$1))</f>
        <v>3.4760416666666667</v>
      </c>
      <c r="R3" s="39">
        <f>IF(SUMIFS(Data!$S:$S,Data!$A:$A,$B3,Data!$C:$C,R$1)=0,"",SUMIFS(Data!$S:$S,Data!$A:$A,$B3,Data!$C:$C,R$1))</f>
        <v>6.1581250000000001</v>
      </c>
      <c r="S3" s="39">
        <f>IF(SUMIFS(Data!$S:$S,Data!$A:$A,$B3,Data!$C:$C,S$1)=0,"",SUMIFS(Data!$S:$S,Data!$A:$A,$B3,Data!$C:$C,S$1))</f>
        <v>3.8639999999999999</v>
      </c>
      <c r="T3" s="39">
        <f>IF(SUMIFS(Data!$S:$S,Data!$A:$A,$B3,Data!$C:$C,T$1)=0,"",SUMIFS(Data!$S:$S,Data!$A:$A,$B3,Data!$C:$C,T$1))</f>
        <v>4.125</v>
      </c>
      <c r="U3" s="39">
        <f>IF(SUMIFS(Data!X:X,Data!A:A,'#ligaSYR'!B3)&gt;12,5,IF(SUMIFS(Data!X:X,Data!A:A,'#ligaSYR'!B3)&gt;9,3, IF(SUMIFS(Data!X:X,Data!A:A,'#ligaSYR'!B3)&gt;4,1,0)))</f>
        <v>5</v>
      </c>
      <c r="V3" s="39">
        <f t="shared" ref="V3:V39" si="0">SUM(C3:U3)</f>
        <v>97.249416666666662</v>
      </c>
      <c r="W3" s="39">
        <f>SUMIFS(Data!D:D,Data!A:A,'#ligaSYR'!B3)</f>
        <v>210.6</v>
      </c>
      <c r="X3" s="40" t="str">
        <f>IF(VLOOKUP(B3,Participanti!A:D,4,0)=0," ","New")</f>
        <v xml:space="preserve"> </v>
      </c>
      <c r="Y3" s="99">
        <f t="shared" ref="Y3:Y39" si="1">MEDIAN(C3:T3)</f>
        <v>4.7078333333333333</v>
      </c>
      <c r="Z3" s="212">
        <f t="shared" ref="Z3:Z43" si="2">COUNT(C3,D3,E3,F3,G3,I3,J3,K3,L3,M3,O3,P3,Q3,R3,S3)</f>
        <v>15</v>
      </c>
      <c r="AA3" s="212"/>
    </row>
    <row r="4" spans="1:27" ht="13.8" x14ac:dyDescent="0.3">
      <c r="A4" s="151">
        <v>3</v>
      </c>
      <c r="B4" s="38" t="s">
        <v>51</v>
      </c>
      <c r="C4" s="39">
        <f>IF(SUMIFS(Data!$S:$S,Data!$A:$A,$B4,Data!$C:$C,C$1)=0,"",SUMIFS(Data!$S:$S,Data!$A:$A,$B4,Data!$C:$C,C$1))</f>
        <v>5.9579999999999993</v>
      </c>
      <c r="D4" s="39">
        <f>IF(SUMIFS(Data!$S:$S,Data!$A:$A,$B4,Data!$C:$C,D$1)=0,"",SUMIFS(Data!$S:$S,Data!$A:$A,$B4,Data!$C:$C,D$1))</f>
        <v>3.625</v>
      </c>
      <c r="E4" s="39">
        <f>IF(SUMIFS(Data!$S:$S,Data!$A:$A,$B4,Data!$C:$C,E$1)=0,"",SUMIFS(Data!$S:$S,Data!$A:$A,$B4,Data!$C:$C,E$1))</f>
        <v>7.1400000000000006</v>
      </c>
      <c r="F4" s="39">
        <f>IF(SUMIFS(Data!$S:$S,Data!$A:$A,$B4,Data!$C:$C,F$1)=0,"",SUMIFS(Data!$S:$S,Data!$A:$A,$B4,Data!$C:$C,F$1))</f>
        <v>4.75</v>
      </c>
      <c r="G4" s="39">
        <f>IF(SUMIFS(Data!$S:$S,Data!$A:$A,$B4,Data!$C:$C,G$1)=0,"",SUMIFS(Data!$S:$S,Data!$A:$A,$B4,Data!$C:$C,G$1))</f>
        <v>4.0720000000000001</v>
      </c>
      <c r="H4" s="39">
        <f>IF(SUMIFS(Data!$S:$S,Data!$A:$A,$B4,Data!$C:$C,H$1)=0,"",SUMIFS(Data!$S:$S,Data!$A:$A,$B4,Data!$C:$C,H$1))</f>
        <v>4.4375</v>
      </c>
      <c r="I4" s="39">
        <f>IF(SUMIFS(Data!$S:$S,Data!$A:$A,$B4,Data!$C:$C,I$1)=0,"",SUMIFS(Data!$S:$S,Data!$A:$A,$B4,Data!$C:$C,I$1))</f>
        <v>5.6506666666666669</v>
      </c>
      <c r="J4" s="39">
        <f>IF(SUMIFS(Data!$S:$S,Data!$A:$A,$B4,Data!$C:$C,J$1)=0,"",SUMIFS(Data!$S:$S,Data!$A:$A,$B4,Data!$C:$C,J$1))</f>
        <v>5.4966666666666661</v>
      </c>
      <c r="K4" s="39">
        <f>IF(SUMIFS(Data!$S:$S,Data!$A:$A,$B4,Data!$C:$C,K$1)=0,"",SUMIFS(Data!$S:$S,Data!$A:$A,$B4,Data!$C:$C,K$1))</f>
        <v>3.5</v>
      </c>
      <c r="L4" s="39">
        <f>IF(SUMIFS(Data!$S:$S,Data!$A:$A,$B4,Data!$C:$C,L$1)=0,"",SUMIFS(Data!$S:$S,Data!$A:$A,$B4,Data!$C:$C,L$1))</f>
        <v>5.5026666666666664</v>
      </c>
      <c r="M4" s="39">
        <f>IF(SUMIFS(Data!$S:$S,Data!$A:$A,$B4,Data!$C:$C,M$1)=0,"",SUMIFS(Data!$S:$S,Data!$A:$A,$B4,Data!$C:$C,M$1))</f>
        <v>4.9316666666666666</v>
      </c>
      <c r="N4" s="39">
        <f>IF(SUMIFS(Data!$S:$S,Data!$A:$A,$B4,Data!$C:$C,N$1)=0,"",SUMIFS(Data!$S:$S,Data!$A:$A,$B4,Data!$C:$C,N$1))</f>
        <v>4.6875</v>
      </c>
      <c r="O4" s="39">
        <f>IF(SUMIFS(Data!$S:$S,Data!$A:$A,$B4,Data!$C:$C,O$1)=0,"",SUMIFS(Data!$S:$S,Data!$A:$A,$B4,Data!$C:$C,O$1))</f>
        <v>3.9453333333333331</v>
      </c>
      <c r="P4" s="39">
        <f>IF(SUMIFS(Data!$S:$S,Data!$A:$A,$B4,Data!$C:$C,P$1)=0,"",SUMIFS(Data!$S:$S,Data!$A:$A,$B4,Data!$C:$C,P$1))</f>
        <v>4.49</v>
      </c>
      <c r="Q4" s="39">
        <f>IF(SUMIFS(Data!$S:$S,Data!$A:$A,$B4,Data!$C:$C,Q$1)=0,"",SUMIFS(Data!$S:$S,Data!$A:$A,$B4,Data!$C:$C,Q$1))</f>
        <v>3.9203333333333332</v>
      </c>
      <c r="R4" s="39">
        <f>IF(SUMIFS(Data!$S:$S,Data!$A:$A,$B4,Data!$C:$C,R$1)=0,"",SUMIFS(Data!$S:$S,Data!$A:$A,$B4,Data!$C:$C,R$1))</f>
        <v>3.875</v>
      </c>
      <c r="S4" s="39">
        <f>IF(SUMIFS(Data!$S:$S,Data!$A:$A,$B4,Data!$C:$C,S$1)=0,"",SUMIFS(Data!$S:$S,Data!$A:$A,$B4,Data!$C:$C,S$1))</f>
        <v>3.6</v>
      </c>
      <c r="T4" s="39">
        <f>IF(SUMIFS(Data!$S:$S,Data!$A:$A,$B4,Data!$C:$C,T$1)=0,"",SUMIFS(Data!$S:$S,Data!$A:$A,$B4,Data!$C:$C,T$1))</f>
        <v>4.6875</v>
      </c>
      <c r="U4" s="39">
        <f>IF(SUMIFS(Data!X:X,Data!A:A,'#ligaSYR'!B4)&gt;12,5,IF(SUMIFS(Data!X:X,Data!A:A,'#ligaSYR'!B4)&gt;9,3, IF(SUMIFS(Data!X:X,Data!A:A,'#ligaSYR'!B4)&gt;4,1,0)))</f>
        <v>3</v>
      </c>
      <c r="V4" s="39">
        <f t="shared" si="0"/>
        <v>87.269833333333324</v>
      </c>
      <c r="W4" s="39">
        <f>SUMIFS(Data!D:D,Data!A:A,'#ligaSYR'!B4)</f>
        <v>456.62</v>
      </c>
      <c r="X4" s="40" t="str">
        <f>IF(VLOOKUP(B4,Participanti!A:D,4,0)=0," ","New")</f>
        <v xml:space="preserve"> </v>
      </c>
      <c r="Y4" s="99">
        <f t="shared" si="1"/>
        <v>4.5887500000000001</v>
      </c>
      <c r="Z4" s="212">
        <f t="shared" si="2"/>
        <v>15</v>
      </c>
      <c r="AA4" s="212">
        <v>23</v>
      </c>
    </row>
    <row r="5" spans="1:27" ht="13.8" x14ac:dyDescent="0.3">
      <c r="A5" s="151">
        <v>4</v>
      </c>
      <c r="B5" s="38" t="s">
        <v>203</v>
      </c>
      <c r="C5" s="39">
        <f>IF(SUMIFS(Data!$S:$S,Data!$A:$A,$B5,Data!$C:$C,C$1)=0,"",SUMIFS(Data!$S:$S,Data!$A:$A,$B5,Data!$C:$C,C$1))</f>
        <v>4.8606904761904763</v>
      </c>
      <c r="D5" s="39">
        <f>IF(SUMIFS(Data!$S:$S,Data!$A:$A,$B5,Data!$C:$C,D$1)=0,"",SUMIFS(Data!$S:$S,Data!$A:$A,$B5,Data!$C:$C,D$1))</f>
        <v>5.1553333333333331</v>
      </c>
      <c r="E5" s="39">
        <f>IF(SUMIFS(Data!$S:$S,Data!$A:$A,$B5,Data!$C:$C,E$1)=0,"",SUMIFS(Data!$S:$S,Data!$A:$A,$B5,Data!$C:$C,E$1))</f>
        <v>5.5940000000000003</v>
      </c>
      <c r="F5" s="39">
        <f>IF(SUMIFS(Data!$S:$S,Data!$A:$A,$B5,Data!$C:$C,F$1)=0,"",SUMIFS(Data!$S:$S,Data!$A:$A,$B5,Data!$C:$C,F$1))</f>
        <v>5.4026666666666667</v>
      </c>
      <c r="G5" s="39">
        <f>IF(SUMIFS(Data!$S:$S,Data!$A:$A,$B5,Data!$C:$C,G$1)=0,"",SUMIFS(Data!$S:$S,Data!$A:$A,$B5,Data!$C:$C,G$1))</f>
        <v>4.6052142857142861</v>
      </c>
      <c r="H5" s="39">
        <f>IF(SUMIFS(Data!$S:$S,Data!$A:$A,$B5,Data!$C:$C,H$1)=0,"",SUMIFS(Data!$S:$S,Data!$A:$A,$B5,Data!$C:$C,H$1))</f>
        <v>1</v>
      </c>
      <c r="I5" s="39">
        <f>IF(SUMIFS(Data!$S:$S,Data!$A:$A,$B5,Data!$C:$C,I$1)=0,"",SUMIFS(Data!$S:$S,Data!$A:$A,$B5,Data!$C:$C,I$1))</f>
        <v>5.0009047619047609</v>
      </c>
      <c r="J5" s="39">
        <f>IF(SUMIFS(Data!$S:$S,Data!$A:$A,$B5,Data!$C:$C,J$1)=0,"",SUMIFS(Data!$S:$S,Data!$A:$A,$B5,Data!$C:$C,J$1))</f>
        <v>5.32</v>
      </c>
      <c r="K5" s="39">
        <f>IF(SUMIFS(Data!$S:$S,Data!$A:$A,$B5,Data!$C:$C,K$1)=0,"",SUMIFS(Data!$S:$S,Data!$A:$A,$B5,Data!$C:$C,K$1))</f>
        <v>5.8482142857142856</v>
      </c>
      <c r="L5" s="39">
        <f>IF(SUMIFS(Data!$S:$S,Data!$A:$A,$B5,Data!$C:$C,L$1)=0,"",SUMIFS(Data!$S:$S,Data!$A:$A,$B5,Data!$C:$C,L$1))</f>
        <v>3.7073095238095237</v>
      </c>
      <c r="M5" s="39">
        <f>IF(SUMIFS(Data!$S:$S,Data!$A:$A,$B5,Data!$C:$C,M$1)=0,"",SUMIFS(Data!$S:$S,Data!$A:$A,$B5,Data!$C:$C,M$1))</f>
        <v>5.0072380952380957</v>
      </c>
      <c r="N5" s="39">
        <f>IF(SUMIFS(Data!$S:$S,Data!$A:$A,$B5,Data!$C:$C,N$1)=0,"",SUMIFS(Data!$S:$S,Data!$A:$A,$B5,Data!$C:$C,N$1))</f>
        <v>0.9375</v>
      </c>
      <c r="O5" s="39">
        <f>IF(SUMIFS(Data!$S:$S,Data!$A:$A,$B5,Data!$C:$C,O$1)=0,"",SUMIFS(Data!$S:$S,Data!$A:$A,$B5,Data!$C:$C,O$1))</f>
        <v>3.0875714285714286</v>
      </c>
      <c r="P5" s="39">
        <f>IF(SUMIFS(Data!$S:$S,Data!$A:$A,$B5,Data!$C:$C,P$1)=0,"",SUMIFS(Data!$S:$S,Data!$A:$A,$B5,Data!$C:$C,P$1))</f>
        <v>5.1370000000000005</v>
      </c>
      <c r="Q5" s="39">
        <f>IF(SUMIFS(Data!$S:$S,Data!$A:$A,$B5,Data!$C:$C,Q$1)=0,"",SUMIFS(Data!$S:$S,Data!$A:$A,$B5,Data!$C:$C,Q$1))</f>
        <v>6.7989999999999995</v>
      </c>
      <c r="R5" s="39">
        <f>IF(SUMIFS(Data!$S:$S,Data!$A:$A,$B5,Data!$C:$C,R$1)=0,"",SUMIFS(Data!$S:$S,Data!$A:$A,$B5,Data!$C:$C,R$1))</f>
        <v>4.9499999999999993</v>
      </c>
      <c r="S5" s="39">
        <f>IF(SUMIFS(Data!$S:$S,Data!$A:$A,$B5,Data!$C:$C,S$1)=0,"",SUMIFS(Data!$S:$S,Data!$A:$A,$B5,Data!$C:$C,S$1))</f>
        <v>3.620190476190476</v>
      </c>
      <c r="T5" s="39">
        <f>IF(SUMIFS(Data!$S:$S,Data!$A:$A,$B5,Data!$C:$C,T$1)=0,"",SUMIFS(Data!$S:$S,Data!$A:$A,$B5,Data!$C:$C,T$1))</f>
        <v>1.25</v>
      </c>
      <c r="U5" s="39">
        <f>IF(SUMIFS(Data!X:X,Data!A:A,'#ligaSYR'!B5)&gt;12,5,IF(SUMIFS(Data!X:X,Data!A:A,'#ligaSYR'!B5)&gt;9,3, IF(SUMIFS(Data!X:X,Data!A:A,'#ligaSYR'!B5)&gt;4,1,0)))</f>
        <v>5</v>
      </c>
      <c r="V5" s="39">
        <f t="shared" si="0"/>
        <v>82.282833333333329</v>
      </c>
      <c r="W5" s="39">
        <f>SUMIFS(Data!D:D,Data!A:A,'#ligaSYR'!B5)</f>
        <v>335.39000000000004</v>
      </c>
      <c r="X5" s="40" t="str">
        <f>IF(VLOOKUP(B5,Participanti!A:D,4,0)=0," ","New")</f>
        <v xml:space="preserve"> </v>
      </c>
      <c r="Y5" s="99">
        <f t="shared" si="1"/>
        <v>4.9754523809523796</v>
      </c>
      <c r="Z5" s="212">
        <f t="shared" si="2"/>
        <v>15</v>
      </c>
      <c r="AA5" s="212"/>
    </row>
    <row r="6" spans="1:27" ht="13.8" x14ac:dyDescent="0.3">
      <c r="A6" s="151">
        <v>5</v>
      </c>
      <c r="B6" s="38" t="s">
        <v>211</v>
      </c>
      <c r="C6" s="39">
        <f>IF(SUMIFS(Data!$S:$S,Data!$A:$A,$B6,Data!$C:$C,C$1)=0,"",SUMIFS(Data!$S:$S,Data!$A:$A,$B6,Data!$C:$C,C$1))</f>
        <v>2.917416666666667</v>
      </c>
      <c r="D6" s="39">
        <f>IF(SUMIFS(Data!$S:$S,Data!$A:$A,$B6,Data!$C:$C,D$1)=0,"",SUMIFS(Data!$S:$S,Data!$A:$A,$B6,Data!$C:$C,D$1))</f>
        <v>6.5626666666666669</v>
      </c>
      <c r="E6" s="39">
        <f>IF(SUMIFS(Data!$S:$S,Data!$A:$A,$B6,Data!$C:$C,E$1)=0,"",SUMIFS(Data!$S:$S,Data!$A:$A,$B6,Data!$C:$C,E$1))</f>
        <v>3.2952499999999998</v>
      </c>
      <c r="F6" s="39">
        <f>IF(SUMIFS(Data!$S:$S,Data!$A:$A,$B6,Data!$C:$C,F$1)=0,"",SUMIFS(Data!$S:$S,Data!$A:$A,$B6,Data!$C:$C,F$1))</f>
        <v>6.120333333333333</v>
      </c>
      <c r="G6" s="39">
        <f>IF(SUMIFS(Data!$S:$S,Data!$A:$A,$B6,Data!$C:$C,G$1)=0,"",SUMIFS(Data!$S:$S,Data!$A:$A,$B6,Data!$C:$C,G$1))</f>
        <v>5.4381249999999994</v>
      </c>
      <c r="H6" s="39">
        <f>IF(SUMIFS(Data!$S:$S,Data!$A:$A,$B6,Data!$C:$C,H$1)=0,"",SUMIFS(Data!$S:$S,Data!$A:$A,$B6,Data!$C:$C,H$1))</f>
        <v>2.25</v>
      </c>
      <c r="I6" s="39">
        <f>IF(SUMIFS(Data!$S:$S,Data!$A:$A,$B6,Data!$C:$C,I$1)=0,"",SUMIFS(Data!$S:$S,Data!$A:$A,$B6,Data!$C:$C,I$1))</f>
        <v>4.8933333333333335</v>
      </c>
      <c r="J6" s="39">
        <f>IF(SUMIFS(Data!$S:$S,Data!$A:$A,$B6,Data!$C:$C,J$1)=0,"",SUMIFS(Data!$S:$S,Data!$A:$A,$B6,Data!$C:$C,J$1))</f>
        <v>7.601583333333334</v>
      </c>
      <c r="K6" s="39">
        <f>IF(SUMIFS(Data!$S:$S,Data!$A:$A,$B6,Data!$C:$C,K$1)=0,"",SUMIFS(Data!$S:$S,Data!$A:$A,$B6,Data!$C:$C,K$1))</f>
        <v>4.3886666666666665</v>
      </c>
      <c r="L6" s="39">
        <f>IF(SUMIFS(Data!$S:$S,Data!$A:$A,$B6,Data!$C:$C,L$1)=0,"",SUMIFS(Data!$S:$S,Data!$A:$A,$B6,Data!$C:$C,L$1))</f>
        <v>4.4506250000000005</v>
      </c>
      <c r="M6" s="39">
        <f>IF(SUMIFS(Data!$S:$S,Data!$A:$A,$B6,Data!$C:$C,M$1)=0,"",SUMIFS(Data!$S:$S,Data!$A:$A,$B6,Data!$C:$C,M$1))</f>
        <v>3.4914166666666664</v>
      </c>
      <c r="N6" s="39">
        <f>IF(SUMIFS(Data!$S:$S,Data!$A:$A,$B6,Data!$C:$C,N$1)=0,"",SUMIFS(Data!$S:$S,Data!$A:$A,$B6,Data!$C:$C,N$1))</f>
        <v>3.625</v>
      </c>
      <c r="O6" s="39">
        <f>IF(SUMIFS(Data!$S:$S,Data!$A:$A,$B6,Data!$C:$C,O$1)=0,"",SUMIFS(Data!$S:$S,Data!$A:$A,$B6,Data!$C:$C,O$1))</f>
        <v>4.6983333333333333</v>
      </c>
      <c r="P6" s="39">
        <f>IF(SUMIFS(Data!$S:$S,Data!$A:$A,$B6,Data!$C:$C,P$1)=0,"",SUMIFS(Data!$S:$S,Data!$A:$A,$B6,Data!$C:$C,P$1))</f>
        <v>4.1230416666666665</v>
      </c>
      <c r="Q6" s="39">
        <f>IF(SUMIFS(Data!$S:$S,Data!$A:$A,$B6,Data!$C:$C,Q$1)=0,"",SUMIFS(Data!$S:$S,Data!$A:$A,$B6,Data!$C:$C,Q$1))</f>
        <v>3.5631249999999999</v>
      </c>
      <c r="R6" s="39">
        <f>IF(SUMIFS(Data!$S:$S,Data!$A:$A,$B6,Data!$C:$C,R$1)=0,"",SUMIFS(Data!$S:$S,Data!$A:$A,$B6,Data!$C:$C,R$1))</f>
        <v>3.5762499999999999</v>
      </c>
      <c r="S6" s="39">
        <f>IF(SUMIFS(Data!$S:$S,Data!$A:$A,$B6,Data!$C:$C,S$1)=0,"",SUMIFS(Data!$S:$S,Data!$A:$A,$B6,Data!$C:$C,S$1))</f>
        <v>3.6839999999999997</v>
      </c>
      <c r="T6" s="39">
        <f>IF(SUMIFS(Data!$S:$S,Data!$A:$A,$B6,Data!$C:$C,T$1)=0,"",SUMIFS(Data!$S:$S,Data!$A:$A,$B6,Data!$C:$C,T$1))</f>
        <v>1.625</v>
      </c>
      <c r="U6" s="39">
        <f>IF(SUMIFS(Data!X:X,Data!A:A,'#ligaSYR'!B6)&gt;12,5,IF(SUMIFS(Data!X:X,Data!A:A,'#ligaSYR'!B6)&gt;9,3, IF(SUMIFS(Data!X:X,Data!A:A,'#ligaSYR'!B6)&gt;4,1,0)))</f>
        <v>5</v>
      </c>
      <c r="V6" s="39">
        <f t="shared" si="0"/>
        <v>81.30416666666666</v>
      </c>
      <c r="W6" s="39">
        <f>SUMIFS(Data!D:D,Data!A:A,'#ligaSYR'!B6)</f>
        <v>233.39999999999998</v>
      </c>
      <c r="X6" s="40" t="str">
        <f>IF(VLOOKUP(B6,Participanti!A:D,4,0)=0," ","New")</f>
        <v xml:space="preserve"> </v>
      </c>
      <c r="Y6" s="99">
        <f t="shared" si="1"/>
        <v>3.9035208333333333</v>
      </c>
      <c r="Z6" s="212">
        <f t="shared" si="2"/>
        <v>15</v>
      </c>
      <c r="AA6" s="212">
        <v>22</v>
      </c>
    </row>
    <row r="7" spans="1:27" ht="13.8" x14ac:dyDescent="0.3">
      <c r="A7" s="151">
        <v>6</v>
      </c>
      <c r="B7" s="38" t="s">
        <v>53</v>
      </c>
      <c r="C7" s="39">
        <f>IF(SUMIFS(Data!$S:$S,Data!$A:$A,$B7,Data!$C:$C,C$1)=0,"",SUMIFS(Data!$S:$S,Data!$A:$A,$B7,Data!$C:$C,C$1))</f>
        <v>4.9376666666666669</v>
      </c>
      <c r="D7" s="39">
        <f>IF(SUMIFS(Data!$S:$S,Data!$A:$A,$B7,Data!$C:$C,D$1)=0,"",SUMIFS(Data!$S:$S,Data!$A:$A,$B7,Data!$C:$C,D$1))</f>
        <v>3.8298809523809521</v>
      </c>
      <c r="E7" s="39">
        <f>IF(SUMIFS(Data!$S:$S,Data!$A:$A,$B7,Data!$C:$C,E$1)=0,"",SUMIFS(Data!$S:$S,Data!$A:$A,$B7,Data!$C:$C,E$1))</f>
        <v>5.6029761904761903</v>
      </c>
      <c r="F7" s="39">
        <f>IF(SUMIFS(Data!$S:$S,Data!$A:$A,$B7,Data!$C:$C,F$1)=0,"",SUMIFS(Data!$S:$S,Data!$A:$A,$B7,Data!$C:$C,F$1))</f>
        <v>4.9780000000000006</v>
      </c>
      <c r="G7" s="39">
        <f>IF(SUMIFS(Data!$S:$S,Data!$A:$A,$B7,Data!$C:$C,G$1)=0,"",SUMIFS(Data!$S:$S,Data!$A:$A,$B7,Data!$C:$C,G$1))</f>
        <v>6.0896666666666661</v>
      </c>
      <c r="H7" s="39">
        <f>IF(SUMIFS(Data!$S:$S,Data!$A:$A,$B7,Data!$C:$C,H$1)=0,"",SUMIFS(Data!$S:$S,Data!$A:$A,$B7,Data!$C:$C,H$1))</f>
        <v>4.375</v>
      </c>
      <c r="I7" s="39" t="str">
        <f>IF(SUMIFS(Data!$S:$S,Data!$A:$A,$B7,Data!$C:$C,I$1)=0,"",SUMIFS(Data!$S:$S,Data!$A:$A,$B7,Data!$C:$C,I$1))</f>
        <v/>
      </c>
      <c r="J7" s="39">
        <f>IF(SUMIFS(Data!$S:$S,Data!$A:$A,$B7,Data!$C:$C,J$1)=0,"",SUMIFS(Data!$S:$S,Data!$A:$A,$B7,Data!$C:$C,J$1))</f>
        <v>2.4806428571428571</v>
      </c>
      <c r="K7" s="39">
        <f>IF(SUMIFS(Data!$S:$S,Data!$A:$A,$B7,Data!$C:$C,K$1)=0,"",SUMIFS(Data!$S:$S,Data!$A:$A,$B7,Data!$C:$C,K$1))</f>
        <v>4.3458333333333332</v>
      </c>
      <c r="L7" s="39">
        <f>IF(SUMIFS(Data!$S:$S,Data!$A:$A,$B7,Data!$C:$C,L$1)=0,"",SUMIFS(Data!$S:$S,Data!$A:$A,$B7,Data!$C:$C,L$1))</f>
        <v>5.9733333333333327</v>
      </c>
      <c r="M7" s="39">
        <f>IF(SUMIFS(Data!$S:$S,Data!$A:$A,$B7,Data!$C:$C,M$1)=0,"",SUMIFS(Data!$S:$S,Data!$A:$A,$B7,Data!$C:$C,M$1))</f>
        <v>4.0136904761904759</v>
      </c>
      <c r="N7" s="39">
        <f>IF(SUMIFS(Data!$S:$S,Data!$A:$A,$B7,Data!$C:$C,N$1)=0,"",SUMIFS(Data!$S:$S,Data!$A:$A,$B7,Data!$C:$C,N$1))</f>
        <v>4.3125</v>
      </c>
      <c r="O7" s="39">
        <f>IF(SUMIFS(Data!$S:$S,Data!$A:$A,$B7,Data!$C:$C,O$1)=0,"",SUMIFS(Data!$S:$S,Data!$A:$A,$B7,Data!$C:$C,O$1))</f>
        <v>3.5543095238095241</v>
      </c>
      <c r="P7" s="39">
        <f>IF(SUMIFS(Data!$S:$S,Data!$A:$A,$B7,Data!$C:$C,P$1)=0,"",SUMIFS(Data!$S:$S,Data!$A:$A,$B7,Data!$C:$C,P$1))</f>
        <v>3.375</v>
      </c>
      <c r="Q7" s="39">
        <f>IF(SUMIFS(Data!$S:$S,Data!$A:$A,$B7,Data!$C:$C,Q$1)=0,"",SUMIFS(Data!$S:$S,Data!$A:$A,$B7,Data!$C:$C,Q$1))</f>
        <v>5.2086666666666668</v>
      </c>
      <c r="R7" s="39">
        <f>IF(SUMIFS(Data!$S:$S,Data!$A:$A,$B7,Data!$C:$C,R$1)=0,"",SUMIFS(Data!$S:$S,Data!$A:$A,$B7,Data!$C:$C,R$1))</f>
        <v>3.7229523809523806</v>
      </c>
      <c r="S7" s="39">
        <f>IF(SUMIFS(Data!$S:$S,Data!$A:$A,$B7,Data!$C:$C,S$1)=0,"",SUMIFS(Data!$S:$S,Data!$A:$A,$B7,Data!$C:$C,S$1))</f>
        <v>3.6779999999999999</v>
      </c>
      <c r="T7" s="39">
        <f>IF(SUMIFS(Data!$S:$S,Data!$A:$A,$B7,Data!$C:$C,T$1)=0,"",SUMIFS(Data!$S:$S,Data!$A:$A,$B7,Data!$C:$C,T$1))</f>
        <v>3.625</v>
      </c>
      <c r="U7" s="39">
        <f>IF(SUMIFS(Data!X:X,Data!A:A,'#ligaSYR'!B7)&gt;12,5,IF(SUMIFS(Data!X:X,Data!A:A,'#ligaSYR'!B7)&gt;9,3, IF(SUMIFS(Data!X:X,Data!A:A,'#ligaSYR'!B7)&gt;4,1,0)))</f>
        <v>5</v>
      </c>
      <c r="V7" s="39">
        <f t="shared" si="0"/>
        <v>79.103119047619046</v>
      </c>
      <c r="W7" s="39">
        <f>SUMIFS(Data!D:D,Data!A:A,'#ligaSYR'!B7)</f>
        <v>298.27999999999997</v>
      </c>
      <c r="X7" s="40" t="str">
        <f>IF(VLOOKUP(B7,Participanti!A:D,4,0)=0," ","New")</f>
        <v xml:space="preserve"> </v>
      </c>
      <c r="Y7" s="99">
        <f t="shared" si="1"/>
        <v>4.3125</v>
      </c>
      <c r="Z7" s="212">
        <f t="shared" si="2"/>
        <v>14</v>
      </c>
      <c r="AA7" s="212">
        <v>21</v>
      </c>
    </row>
    <row r="8" spans="1:27" ht="13.8" x14ac:dyDescent="0.3">
      <c r="A8" s="151">
        <v>7</v>
      </c>
      <c r="B8" s="38" t="s">
        <v>119</v>
      </c>
      <c r="C8" s="39">
        <f>IF(SUMIFS(Data!$S:$S,Data!$A:$A,$B8,Data!$C:$C,C$1)=0,"",SUMIFS(Data!$S:$S,Data!$A:$A,$B8,Data!$C:$C,C$1))</f>
        <v>2.7249999999999996</v>
      </c>
      <c r="D8" s="39">
        <f>IF(SUMIFS(Data!$S:$S,Data!$A:$A,$B8,Data!$C:$C,D$1)=0,"",SUMIFS(Data!$S:$S,Data!$A:$A,$B8,Data!$C:$C,D$1))</f>
        <v>5.8494047619047622</v>
      </c>
      <c r="E8" s="39">
        <f>IF(SUMIFS(Data!$S:$S,Data!$A:$A,$B8,Data!$C:$C,E$1)=0,"",SUMIFS(Data!$S:$S,Data!$A:$A,$B8,Data!$C:$C,E$1))</f>
        <v>4.7249999999999996</v>
      </c>
      <c r="F8" s="39">
        <f>IF(SUMIFS(Data!$S:$S,Data!$A:$A,$B8,Data!$C:$C,F$1)=0,"",SUMIFS(Data!$S:$S,Data!$A:$A,$B8,Data!$C:$C,F$1))</f>
        <v>4.0279761904761902</v>
      </c>
      <c r="G8" s="39">
        <f>IF(SUMIFS(Data!$S:$S,Data!$A:$A,$B8,Data!$C:$C,G$1)=0,"",SUMIFS(Data!$S:$S,Data!$A:$A,$B8,Data!$C:$C,G$1))</f>
        <v>5.2517857142857149</v>
      </c>
      <c r="H8" s="39">
        <f>IF(SUMIFS(Data!$S:$S,Data!$A:$A,$B8,Data!$C:$C,H$1)=0,"",SUMIFS(Data!$S:$S,Data!$A:$A,$B8,Data!$C:$C,H$1))</f>
        <v>3.25</v>
      </c>
      <c r="I8" s="39">
        <f>IF(SUMIFS(Data!$S:$S,Data!$A:$A,$B8,Data!$C:$C,I$1)=0,"",SUMIFS(Data!$S:$S,Data!$A:$A,$B8,Data!$C:$C,I$1))</f>
        <v>4.625</v>
      </c>
      <c r="J8" s="39">
        <f>IF(SUMIFS(Data!$S:$S,Data!$A:$A,$B8,Data!$C:$C,J$1)=0,"",SUMIFS(Data!$S:$S,Data!$A:$A,$B8,Data!$C:$C,J$1))</f>
        <v>4.4416666666666673</v>
      </c>
      <c r="K8" s="39">
        <f>IF(SUMIFS(Data!$S:$S,Data!$A:$A,$B8,Data!$C:$C,K$1)=0,"",SUMIFS(Data!$S:$S,Data!$A:$A,$B8,Data!$C:$C,K$1))</f>
        <v>4.0892857142857135</v>
      </c>
      <c r="L8" s="39">
        <f>IF(SUMIFS(Data!$S:$S,Data!$A:$A,$B8,Data!$C:$C,L$1)=0,"",SUMIFS(Data!$S:$S,Data!$A:$A,$B8,Data!$C:$C,L$1))</f>
        <v>4.625</v>
      </c>
      <c r="M8" s="39">
        <f>IF(SUMIFS(Data!$S:$S,Data!$A:$A,$B8,Data!$C:$C,M$1)=0,"",SUMIFS(Data!$S:$S,Data!$A:$A,$B8,Data!$C:$C,M$1))</f>
        <v>3.6178571428571429</v>
      </c>
      <c r="N8" s="39">
        <f>IF(SUMIFS(Data!$S:$S,Data!$A:$A,$B8,Data!$C:$C,N$1)=0,"",SUMIFS(Data!$S:$S,Data!$A:$A,$B8,Data!$C:$C,N$1))</f>
        <v>1.5</v>
      </c>
      <c r="O8" s="39">
        <f>IF(SUMIFS(Data!$S:$S,Data!$A:$A,$B8,Data!$C:$C,O$1)=0,"",SUMIFS(Data!$S:$S,Data!$A:$A,$B8,Data!$C:$C,O$1))</f>
        <v>4.75</v>
      </c>
      <c r="P8" s="39">
        <f>IF(SUMIFS(Data!$S:$S,Data!$A:$A,$B8,Data!$C:$C,P$1)=0,"",SUMIFS(Data!$S:$S,Data!$A:$A,$B8,Data!$C:$C,P$1))</f>
        <v>3.655357142857143</v>
      </c>
      <c r="Q8" s="39">
        <f>IF(SUMIFS(Data!$S:$S,Data!$A:$A,$B8,Data!$C:$C,Q$1)=0,"",SUMIFS(Data!$S:$S,Data!$A:$A,$B8,Data!$C:$C,Q$1))</f>
        <v>4.869476190476191</v>
      </c>
      <c r="R8" s="39">
        <f>IF(SUMIFS(Data!$S:$S,Data!$A:$A,$B8,Data!$C:$C,R$1)=0,"",SUMIFS(Data!$S:$S,Data!$A:$A,$B8,Data!$C:$C,R$1))</f>
        <v>4.5</v>
      </c>
      <c r="S8" s="39">
        <f>IF(SUMIFS(Data!$S:$S,Data!$A:$A,$B8,Data!$C:$C,S$1)=0,"",SUMIFS(Data!$S:$S,Data!$A:$A,$B8,Data!$C:$C,S$1))</f>
        <v>3.95</v>
      </c>
      <c r="T8" s="39">
        <f>IF(SUMIFS(Data!$S:$S,Data!$A:$A,$B8,Data!$C:$C,T$1)=0,"",SUMIFS(Data!$S:$S,Data!$A:$A,$B8,Data!$C:$C,T$1))</f>
        <v>2.125</v>
      </c>
      <c r="U8" s="39">
        <f>IF(SUMIFS(Data!X:X,Data!A:A,'#ligaSYR'!B8)&gt;12,5,IF(SUMIFS(Data!X:X,Data!A:A,'#ligaSYR'!B8)&gt;9,3, IF(SUMIFS(Data!X:X,Data!A:A,'#ligaSYR'!B8)&gt;4,1,0)))</f>
        <v>5</v>
      </c>
      <c r="V8" s="39">
        <f t="shared" si="0"/>
        <v>77.577809523809535</v>
      </c>
      <c r="W8" s="39">
        <f>SUMIFS(Data!D:D,Data!A:A,'#ligaSYR'!B8)</f>
        <v>249.73999999999998</v>
      </c>
      <c r="X8" s="40" t="str">
        <f>IF(VLOOKUP(B8,Participanti!A:D,4,0)=0," ","New")</f>
        <v xml:space="preserve"> </v>
      </c>
      <c r="Y8" s="99">
        <f t="shared" si="1"/>
        <v>4.2654761904761909</v>
      </c>
      <c r="Z8" s="212">
        <f t="shared" si="2"/>
        <v>15</v>
      </c>
      <c r="AA8" s="212">
        <v>20</v>
      </c>
    </row>
    <row r="9" spans="1:27" ht="13.8" x14ac:dyDescent="0.3">
      <c r="A9" s="151">
        <v>8</v>
      </c>
      <c r="B9" s="38" t="s">
        <v>111</v>
      </c>
      <c r="C9" s="39">
        <f>IF(SUMIFS(Data!$S:$S,Data!$A:$A,$B9,Data!$C:$C,C$1)=0,"",SUMIFS(Data!$S:$S,Data!$A:$A,$B9,Data!$C:$C,C$1))</f>
        <v>3.2261904761904763</v>
      </c>
      <c r="D9" s="39">
        <f>IF(SUMIFS(Data!$S:$S,Data!$A:$A,$B9,Data!$C:$C,D$1)=0,"",SUMIFS(Data!$S:$S,Data!$A:$A,$B9,Data!$C:$C,D$1))</f>
        <v>3.2863095238095239</v>
      </c>
      <c r="E9" s="39">
        <f>IF(SUMIFS(Data!$S:$S,Data!$A:$A,$B9,Data!$C:$C,E$1)=0,"",SUMIFS(Data!$S:$S,Data!$A:$A,$B9,Data!$C:$C,E$1))</f>
        <v>5.0066666666666668</v>
      </c>
      <c r="F9" s="39">
        <f>IF(SUMIFS(Data!$S:$S,Data!$A:$A,$B9,Data!$C:$C,F$1)=0,"",SUMIFS(Data!$S:$S,Data!$A:$A,$B9,Data!$C:$C,F$1))</f>
        <v>7.5793333333333335</v>
      </c>
      <c r="G9" s="39">
        <f>IF(SUMIFS(Data!$S:$S,Data!$A:$A,$B9,Data!$C:$C,G$1)=0,"",SUMIFS(Data!$S:$S,Data!$A:$A,$B9,Data!$C:$C,G$1))</f>
        <v>3.2863095238095239</v>
      </c>
      <c r="H9" s="39">
        <f>IF(SUMIFS(Data!$S:$S,Data!$A:$A,$B9,Data!$C:$C,H$1)=0,"",SUMIFS(Data!$S:$S,Data!$A:$A,$B9,Data!$C:$C,H$1))</f>
        <v>3.5</v>
      </c>
      <c r="I9" s="39">
        <f>IF(SUMIFS(Data!$S:$S,Data!$A:$A,$B9,Data!$C:$C,I$1)=0,"",SUMIFS(Data!$S:$S,Data!$A:$A,$B9,Data!$C:$C,I$1))</f>
        <v>5.2249999999999996</v>
      </c>
      <c r="J9" s="39">
        <f>IF(SUMIFS(Data!$S:$S,Data!$A:$A,$B9,Data!$C:$C,J$1)=0,"",SUMIFS(Data!$S:$S,Data!$A:$A,$B9,Data!$C:$C,J$1))</f>
        <v>3.4178571428571427</v>
      </c>
      <c r="K9" s="39">
        <f>IF(SUMIFS(Data!$S:$S,Data!$A:$A,$B9,Data!$C:$C,K$1)=0,"",SUMIFS(Data!$S:$S,Data!$A:$A,$B9,Data!$C:$C,K$1))</f>
        <v>4.45</v>
      </c>
      <c r="L9" s="39">
        <f>IF(SUMIFS(Data!$S:$S,Data!$A:$A,$B9,Data!$C:$C,L$1)=0,"",SUMIFS(Data!$S:$S,Data!$A:$A,$B9,Data!$C:$C,L$1))</f>
        <v>3.3571428571428572</v>
      </c>
      <c r="M9" s="39">
        <f>IF(SUMIFS(Data!$S:$S,Data!$A:$A,$B9,Data!$C:$C,M$1)=0,"",SUMIFS(Data!$S:$S,Data!$A:$A,$B9,Data!$C:$C,M$1))</f>
        <v>4.625</v>
      </c>
      <c r="N9" s="39">
        <f>IF(SUMIFS(Data!$S:$S,Data!$A:$A,$B9,Data!$C:$C,N$1)=0,"",SUMIFS(Data!$S:$S,Data!$A:$A,$B9,Data!$C:$C,N$1))</f>
        <v>2.4375</v>
      </c>
      <c r="O9" s="39">
        <f>IF(SUMIFS(Data!$S:$S,Data!$A:$A,$B9,Data!$C:$C,O$1)=0,"",SUMIFS(Data!$S:$S,Data!$A:$A,$B9,Data!$C:$C,O$1))</f>
        <v>3.75</v>
      </c>
      <c r="P9" s="39">
        <f>IF(SUMIFS(Data!$S:$S,Data!$A:$A,$B9,Data!$C:$C,P$1)=0,"",SUMIFS(Data!$S:$S,Data!$A:$A,$B9,Data!$C:$C,P$1))</f>
        <v>4.5</v>
      </c>
      <c r="Q9" s="39" t="str">
        <f>IF(SUMIFS(Data!$S:$S,Data!$A:$A,$B9,Data!$C:$C,Q$1)=0,"",SUMIFS(Data!$S:$S,Data!$A:$A,$B9,Data!$C:$C,Q$1))</f>
        <v/>
      </c>
      <c r="R9" s="39">
        <f>IF(SUMIFS(Data!$S:$S,Data!$A:$A,$B9,Data!$C:$C,R$1)=0,"",SUMIFS(Data!$S:$S,Data!$A:$A,$B9,Data!$C:$C,R$1))</f>
        <v>4.3906666666666663</v>
      </c>
      <c r="S9" s="39">
        <f>IF(SUMIFS(Data!$S:$S,Data!$A:$A,$B9,Data!$C:$C,S$1)=0,"",SUMIFS(Data!$S:$S,Data!$A:$A,$B9,Data!$C:$C,S$1))</f>
        <v>3.6440000000000001</v>
      </c>
      <c r="T9" s="39">
        <f>IF(SUMIFS(Data!$S:$S,Data!$A:$A,$B9,Data!$C:$C,T$1)=0,"",SUMIFS(Data!$S:$S,Data!$A:$A,$B9,Data!$C:$C,T$1))</f>
        <v>4.625</v>
      </c>
      <c r="U9" s="39">
        <f>IF(SUMIFS(Data!X:X,Data!A:A,'#ligaSYR'!B9)&gt;12,5,IF(SUMIFS(Data!X:X,Data!A:A,'#ligaSYR'!B9)&gt;9,3, IF(SUMIFS(Data!X:X,Data!A:A,'#ligaSYR'!B9)&gt;4,1,0)))</f>
        <v>5</v>
      </c>
      <c r="V9" s="39">
        <f t="shared" si="0"/>
        <v>75.306976190476192</v>
      </c>
      <c r="W9" s="39">
        <f>SUMIFS(Data!D:D,Data!A:A,'#ligaSYR'!B9)</f>
        <v>344.69000000000005</v>
      </c>
      <c r="X9" s="40" t="str">
        <f>IF(VLOOKUP(B9,Participanti!A:D,4,0)=0," ","New")</f>
        <v xml:space="preserve"> </v>
      </c>
      <c r="Y9" s="99">
        <f t="shared" si="1"/>
        <v>3.75</v>
      </c>
      <c r="Z9" s="212">
        <f t="shared" si="2"/>
        <v>14</v>
      </c>
      <c r="AA9" s="212">
        <v>19</v>
      </c>
    </row>
    <row r="10" spans="1:27" ht="13.8" x14ac:dyDescent="0.3">
      <c r="A10" s="151">
        <v>9</v>
      </c>
      <c r="B10" s="38" t="s">
        <v>118</v>
      </c>
      <c r="C10" s="39">
        <f>IF(SUMIFS(Data!$S:$S,Data!$A:$A,$B10,Data!$C:$C,C$1)=0,"",SUMIFS(Data!$S:$S,Data!$A:$A,$B10,Data!$C:$C,C$1))</f>
        <v>4.2</v>
      </c>
      <c r="D10" s="39">
        <f>IF(SUMIFS(Data!$S:$S,Data!$A:$A,$B10,Data!$C:$C,D$1)=0,"",SUMIFS(Data!$S:$S,Data!$A:$A,$B10,Data!$C:$C,D$1))</f>
        <v>4.625</v>
      </c>
      <c r="E10" s="39">
        <f>IF(SUMIFS(Data!$S:$S,Data!$A:$A,$B10,Data!$C:$C,E$1)=0,"",SUMIFS(Data!$S:$S,Data!$A:$A,$B10,Data!$C:$C,E$1))</f>
        <v>4.3791666666666664</v>
      </c>
      <c r="F10" s="39">
        <f>IF(SUMIFS(Data!$S:$S,Data!$A:$A,$B10,Data!$C:$C,F$1)=0,"",SUMIFS(Data!$S:$S,Data!$A:$A,$B10,Data!$C:$C,F$1))</f>
        <v>3.5958333333333332</v>
      </c>
      <c r="G10" s="39">
        <f>IF(SUMIFS(Data!$S:$S,Data!$A:$A,$B10,Data!$C:$C,G$1)=0,"",SUMIFS(Data!$S:$S,Data!$A:$A,$B10,Data!$C:$C,G$1))</f>
        <v>6.7743333333333329</v>
      </c>
      <c r="H10" s="39">
        <f>IF(SUMIFS(Data!$S:$S,Data!$A:$A,$B10,Data!$C:$C,H$1)=0,"",SUMIFS(Data!$S:$S,Data!$A:$A,$B10,Data!$C:$C,H$1))</f>
        <v>2.5625</v>
      </c>
      <c r="I10" s="39">
        <f>IF(SUMIFS(Data!$S:$S,Data!$A:$A,$B10,Data!$C:$C,I$1)=0,"",SUMIFS(Data!$S:$S,Data!$A:$A,$B10,Data!$C:$C,I$1))</f>
        <v>4.8291666666666666</v>
      </c>
      <c r="J10" s="39" t="str">
        <f>IF(SUMIFS(Data!$S:$S,Data!$A:$A,$B10,Data!$C:$C,J$1)=0,"",SUMIFS(Data!$S:$S,Data!$A:$A,$B10,Data!$C:$C,J$1))</f>
        <v/>
      </c>
      <c r="K10" s="39">
        <f>IF(SUMIFS(Data!$S:$S,Data!$A:$A,$B10,Data!$C:$C,K$1)=0,"",SUMIFS(Data!$S:$S,Data!$A:$A,$B10,Data!$C:$C,K$1))</f>
        <v>4.3106666666666671</v>
      </c>
      <c r="L10" s="39">
        <f>IF(SUMIFS(Data!$S:$S,Data!$A:$A,$B10,Data!$C:$C,L$1)=0,"",SUMIFS(Data!$S:$S,Data!$A:$A,$B10,Data!$C:$C,L$1))</f>
        <v>3.7380952380952381</v>
      </c>
      <c r="M10" s="39">
        <f>IF(SUMIFS(Data!$S:$S,Data!$A:$A,$B10,Data!$C:$C,M$1)=0,"",SUMIFS(Data!$S:$S,Data!$A:$A,$B10,Data!$C:$C,M$1))</f>
        <v>4.625</v>
      </c>
      <c r="N10" s="39">
        <f>IF(SUMIFS(Data!$S:$S,Data!$A:$A,$B10,Data!$C:$C,N$1)=0,"",SUMIFS(Data!$S:$S,Data!$A:$A,$B10,Data!$C:$C,N$1))</f>
        <v>2.625</v>
      </c>
      <c r="O10" s="39">
        <f>IF(SUMIFS(Data!$S:$S,Data!$A:$A,$B10,Data!$C:$C,O$1)=0,"",SUMIFS(Data!$S:$S,Data!$A:$A,$B10,Data!$C:$C,O$1))</f>
        <v>4.3797619047619047</v>
      </c>
      <c r="P10" s="39">
        <f>IF(SUMIFS(Data!$S:$S,Data!$A:$A,$B10,Data!$C:$C,P$1)=0,"",SUMIFS(Data!$S:$S,Data!$A:$A,$B10,Data!$C:$C,P$1))</f>
        <v>2.6002142857142858</v>
      </c>
      <c r="Q10" s="39">
        <f>IF(SUMIFS(Data!$S:$S,Data!$A:$A,$B10,Data!$C:$C,Q$1)=0,"",SUMIFS(Data!$S:$S,Data!$A:$A,$B10,Data!$C:$C,Q$1))</f>
        <v>4.7809999999999997</v>
      </c>
      <c r="R10" s="39">
        <f>IF(SUMIFS(Data!$S:$S,Data!$A:$A,$B10,Data!$C:$C,R$1)=0,"",SUMIFS(Data!$S:$S,Data!$A:$A,$B10,Data!$C:$C,R$1))</f>
        <v>4.0339999999999998</v>
      </c>
      <c r="S10" s="39">
        <f>IF(SUMIFS(Data!$S:$S,Data!$A:$A,$B10,Data!$C:$C,S$1)=0,"",SUMIFS(Data!$S:$S,Data!$A:$A,$B10,Data!$C:$C,S$1))</f>
        <v>4.1806666666666663</v>
      </c>
      <c r="T10" s="39">
        <f>IF(SUMIFS(Data!$S:$S,Data!$A:$A,$B10,Data!$C:$C,T$1)=0,"",SUMIFS(Data!$S:$S,Data!$A:$A,$B10,Data!$C:$C,T$1))</f>
        <v>3.25</v>
      </c>
      <c r="U10" s="39">
        <f>IF(SUMIFS(Data!X:X,Data!A:A,'#ligaSYR'!B10)&gt;12,5,IF(SUMIFS(Data!X:X,Data!A:A,'#ligaSYR'!B10)&gt;9,3, IF(SUMIFS(Data!X:X,Data!A:A,'#ligaSYR'!B10)&gt;4,1,0)))</f>
        <v>5</v>
      </c>
      <c r="V10" s="39">
        <f t="shared" si="0"/>
        <v>74.490404761904756</v>
      </c>
      <c r="W10" s="39">
        <f>SUMIFS(Data!D:D,Data!A:A,'#ligaSYR'!B10)</f>
        <v>270.63</v>
      </c>
      <c r="X10" s="40" t="str">
        <f>IF(VLOOKUP(B10,Participanti!A:D,4,0)=0," ","New")</f>
        <v xml:space="preserve"> </v>
      </c>
      <c r="Y10" s="99">
        <f t="shared" si="1"/>
        <v>4.2</v>
      </c>
      <c r="Z10" s="212">
        <f t="shared" si="2"/>
        <v>14</v>
      </c>
      <c r="AA10" s="212">
        <v>18</v>
      </c>
    </row>
    <row r="11" spans="1:27" ht="13.8" x14ac:dyDescent="0.3">
      <c r="A11" s="151">
        <v>10</v>
      </c>
      <c r="B11" s="38" t="s">
        <v>240</v>
      </c>
      <c r="C11" s="39">
        <f>IF(SUMIFS(Data!$S:$S,Data!$A:$A,$B11,Data!$C:$C,C$1)=0,"",SUMIFS(Data!$S:$S,Data!$A:$A,$B11,Data!$C:$C,C$1))</f>
        <v>4.5746666666666664</v>
      </c>
      <c r="D11" s="39">
        <f>IF(SUMIFS(Data!$S:$S,Data!$A:$A,$B11,Data!$C:$C,D$1)=0,"",SUMIFS(Data!$S:$S,Data!$A:$A,$B11,Data!$C:$C,D$1))</f>
        <v>3.5952380952380953</v>
      </c>
      <c r="E11" s="39">
        <f>IF(SUMIFS(Data!$S:$S,Data!$A:$A,$B11,Data!$C:$C,E$1)=0,"",SUMIFS(Data!$S:$S,Data!$A:$A,$B11,Data!$C:$C,E$1))</f>
        <v>3.9744047619047618</v>
      </c>
      <c r="F11" s="39">
        <f>IF(SUMIFS(Data!$S:$S,Data!$A:$A,$B11,Data!$C:$C,F$1)=0,"",SUMIFS(Data!$S:$S,Data!$A:$A,$B11,Data!$C:$C,F$1))</f>
        <v>4.75</v>
      </c>
      <c r="G11" s="39">
        <f>IF(SUMIFS(Data!$S:$S,Data!$A:$A,$B11,Data!$C:$C,G$1)=0,"",SUMIFS(Data!$S:$S,Data!$A:$A,$B11,Data!$C:$C,G$1))</f>
        <v>3.6547619047619047</v>
      </c>
      <c r="H11" s="39">
        <f>IF(SUMIFS(Data!$S:$S,Data!$A:$A,$B11,Data!$C:$C,H$1)=0,"",SUMIFS(Data!$S:$S,Data!$A:$A,$B11,Data!$C:$C,H$1))</f>
        <v>3.1875</v>
      </c>
      <c r="I11" s="39">
        <f>IF(SUMIFS(Data!$S:$S,Data!$A:$A,$B11,Data!$C:$C,I$1)=0,"",SUMIFS(Data!$S:$S,Data!$A:$A,$B11,Data!$C:$C,I$1))</f>
        <v>2.9142857142857137</v>
      </c>
      <c r="J11" s="39">
        <f>IF(SUMIFS(Data!$S:$S,Data!$A:$A,$B11,Data!$C:$C,J$1)=0,"",SUMIFS(Data!$S:$S,Data!$A:$A,$B11,Data!$C:$C,J$1))</f>
        <v>3.8339285714285714</v>
      </c>
      <c r="K11" s="39">
        <f>IF(SUMIFS(Data!$S:$S,Data!$A:$A,$B11,Data!$C:$C,K$1)=0,"",SUMIFS(Data!$S:$S,Data!$A:$A,$B11,Data!$C:$C,K$1))</f>
        <v>5.0856666666666674</v>
      </c>
      <c r="L11" s="39">
        <f>IF(SUMIFS(Data!$S:$S,Data!$A:$A,$B11,Data!$C:$C,L$1)=0,"",SUMIFS(Data!$S:$S,Data!$A:$A,$B11,Data!$C:$C,L$1))</f>
        <v>4.0155000000000003</v>
      </c>
      <c r="M11" s="39">
        <f>IF(SUMIFS(Data!$S:$S,Data!$A:$A,$B11,Data!$C:$C,M$1)=0,"",SUMIFS(Data!$S:$S,Data!$A:$A,$B11,Data!$C:$C,M$1))</f>
        <v>4.6646666666666663</v>
      </c>
      <c r="N11" s="39">
        <f>IF(SUMIFS(Data!$S:$S,Data!$A:$A,$B11,Data!$C:$C,N$1)=0,"",SUMIFS(Data!$S:$S,Data!$A:$A,$B11,Data!$C:$C,N$1))</f>
        <v>1.375</v>
      </c>
      <c r="O11" s="39">
        <f>IF(SUMIFS(Data!$S:$S,Data!$A:$A,$B11,Data!$C:$C,O$1)=0,"",SUMIFS(Data!$S:$S,Data!$A:$A,$B11,Data!$C:$C,O$1))</f>
        <v>3.2511904761904762</v>
      </c>
      <c r="P11" s="39">
        <f>IF(SUMIFS(Data!$S:$S,Data!$A:$A,$B11,Data!$C:$C,P$1)=0,"",SUMIFS(Data!$S:$S,Data!$A:$A,$B11,Data!$C:$C,P$1))</f>
        <v>4.7519999999999998</v>
      </c>
      <c r="Q11" s="39">
        <f>IF(SUMIFS(Data!$S:$S,Data!$A:$A,$B11,Data!$C:$C,Q$1)=0,"",SUMIFS(Data!$S:$S,Data!$A:$A,$B11,Data!$C:$C,Q$1))</f>
        <v>4.2906666666666666</v>
      </c>
      <c r="R11" s="39">
        <f>IF(SUMIFS(Data!$S:$S,Data!$A:$A,$B11,Data!$C:$C,R$1)=0,"",SUMIFS(Data!$S:$S,Data!$A:$A,$B11,Data!$C:$C,R$1))</f>
        <v>3.5535714285714284</v>
      </c>
      <c r="S11" s="39">
        <f>IF(SUMIFS(Data!$S:$S,Data!$A:$A,$B11,Data!$C:$C,S$1)=0,"",SUMIFS(Data!$S:$S,Data!$A:$A,$B11,Data!$C:$C,S$1))</f>
        <v>4</v>
      </c>
      <c r="T11" s="39">
        <f>IF(SUMIFS(Data!$S:$S,Data!$A:$A,$B11,Data!$C:$C,T$1)=0,"",SUMIFS(Data!$S:$S,Data!$A:$A,$B11,Data!$C:$C,T$1))</f>
        <v>1.25</v>
      </c>
      <c r="U11" s="39">
        <f>IF(SUMIFS(Data!X:X,Data!A:A,'#ligaSYR'!B11)&gt;12,5,IF(SUMIFS(Data!X:X,Data!A:A,'#ligaSYR'!B11)&gt;9,3, IF(SUMIFS(Data!X:X,Data!A:A,'#ligaSYR'!B11)&gt;4,1,0)))</f>
        <v>5</v>
      </c>
      <c r="V11" s="39">
        <f t="shared" si="0"/>
        <v>71.723047619047634</v>
      </c>
      <c r="W11" s="39">
        <f>SUMIFS(Data!D:D,Data!A:A,'#ligaSYR'!B11)</f>
        <v>250.82999999999998</v>
      </c>
      <c r="X11" s="40" t="str">
        <f>IF(VLOOKUP(B11,Participanti!A:D,4,0)=0," ","New")</f>
        <v>New</v>
      </c>
      <c r="Y11" s="99">
        <f t="shared" si="1"/>
        <v>3.9041666666666668</v>
      </c>
      <c r="Z11" s="212">
        <f t="shared" si="2"/>
        <v>15</v>
      </c>
      <c r="AA11" s="212">
        <v>17</v>
      </c>
    </row>
    <row r="12" spans="1:27" ht="13.8" x14ac:dyDescent="0.3">
      <c r="A12" s="151">
        <v>11</v>
      </c>
      <c r="B12" s="38" t="s">
        <v>49</v>
      </c>
      <c r="C12" s="39">
        <f>IF(SUMIFS(Data!$S:$S,Data!$A:$A,$B12,Data!$C:$C,C$1)=0,"",SUMIFS(Data!$S:$S,Data!$A:$A,$B12,Data!$C:$C,C$1))</f>
        <v>3.5524047619047621</v>
      </c>
      <c r="D12" s="39">
        <f>IF(SUMIFS(Data!$S:$S,Data!$A:$A,$B12,Data!$C:$C,D$1)=0,"",SUMIFS(Data!$S:$S,Data!$A:$A,$B12,Data!$C:$C,D$1))</f>
        <v>3.9744047619047618</v>
      </c>
      <c r="E12" s="39">
        <f>IF(SUMIFS(Data!$S:$S,Data!$A:$A,$B12,Data!$C:$C,E$1)=0,"",SUMIFS(Data!$S:$S,Data!$A:$A,$B12,Data!$C:$C,E$1))</f>
        <v>2.3267857142857142</v>
      </c>
      <c r="F12" s="39">
        <f>IF(SUMIFS(Data!$S:$S,Data!$A:$A,$B12,Data!$C:$C,F$1)=0,"",SUMIFS(Data!$S:$S,Data!$A:$A,$B12,Data!$C:$C,F$1))</f>
        <v>5.2249999999999996</v>
      </c>
      <c r="G12" s="39">
        <f>IF(SUMIFS(Data!$S:$S,Data!$A:$A,$B12,Data!$C:$C,G$1)=0,"",SUMIFS(Data!$S:$S,Data!$A:$A,$B12,Data!$C:$C,G$1))</f>
        <v>2.2214285714285711</v>
      </c>
      <c r="H12" s="39">
        <f>IF(SUMIFS(Data!$S:$S,Data!$A:$A,$B12,Data!$C:$C,H$1)=0,"",SUMIFS(Data!$S:$S,Data!$A:$A,$B12,Data!$C:$C,H$1))</f>
        <v>1.8333333333333333</v>
      </c>
      <c r="I12" s="39">
        <f>IF(SUMIFS(Data!$S:$S,Data!$A:$A,$B12,Data!$C:$C,I$1)=0,"",SUMIFS(Data!$S:$S,Data!$A:$A,$B12,Data!$C:$C,I$1))</f>
        <v>4.3964285714285714</v>
      </c>
      <c r="J12" s="39">
        <f>IF(SUMIFS(Data!$S:$S,Data!$A:$A,$B12,Data!$C:$C,J$1)=0,"",SUMIFS(Data!$S:$S,Data!$A:$A,$B12,Data!$C:$C,J$1))</f>
        <v>4.2678571428571423</v>
      </c>
      <c r="K12" s="39">
        <f>IF(SUMIFS(Data!$S:$S,Data!$A:$A,$B12,Data!$C:$C,K$1)=0,"",SUMIFS(Data!$S:$S,Data!$A:$A,$B12,Data!$C:$C,K$1))</f>
        <v>4.625</v>
      </c>
      <c r="L12" s="39">
        <f>IF(SUMIFS(Data!$S:$S,Data!$A:$A,$B12,Data!$C:$C,L$1)=0,"",SUMIFS(Data!$S:$S,Data!$A:$A,$B12,Data!$C:$C,L$1))</f>
        <v>2.2019761904761905</v>
      </c>
      <c r="M12" s="39">
        <f>IF(SUMIFS(Data!$S:$S,Data!$A:$A,$B12,Data!$C:$C,M$1)=0,"",SUMIFS(Data!$S:$S,Data!$A:$A,$B12,Data!$C:$C,M$1))</f>
        <v>2.9410714285714286</v>
      </c>
      <c r="N12" s="39">
        <f>IF(SUMIFS(Data!$S:$S,Data!$A:$A,$B12,Data!$C:$C,N$1)=0,"",SUMIFS(Data!$S:$S,Data!$A:$A,$B12,Data!$C:$C,N$1))</f>
        <v>4</v>
      </c>
      <c r="O12" s="39">
        <f>IF(SUMIFS(Data!$S:$S,Data!$A:$A,$B12,Data!$C:$C,O$1)=0,"",SUMIFS(Data!$S:$S,Data!$A:$A,$B12,Data!$C:$C,O$1))</f>
        <v>3.083333333333333</v>
      </c>
      <c r="P12" s="39">
        <f>IF(SUMIFS(Data!$S:$S,Data!$A:$A,$B12,Data!$C:$C,P$1)=0,"",SUMIFS(Data!$S:$S,Data!$A:$A,$B12,Data!$C:$C,P$1))</f>
        <v>3.4880952380952381</v>
      </c>
      <c r="Q12" s="39">
        <f>IF(SUMIFS(Data!$S:$S,Data!$A:$A,$B12,Data!$C:$C,Q$1)=0,"",SUMIFS(Data!$S:$S,Data!$A:$A,$B12,Data!$C:$C,Q$1))</f>
        <v>3.4160714285714286</v>
      </c>
      <c r="R12" s="39">
        <f>IF(SUMIFS(Data!$S:$S,Data!$A:$A,$B12,Data!$C:$C,R$1)=0,"",SUMIFS(Data!$S:$S,Data!$A:$A,$B12,Data!$C:$C,R$1))</f>
        <v>2.3374999999999999</v>
      </c>
      <c r="S12" s="39">
        <f>IF(SUMIFS(Data!$S:$S,Data!$A:$A,$B12,Data!$C:$C,S$1)=0,"",SUMIFS(Data!$S:$S,Data!$A:$A,$B12,Data!$C:$C,S$1))</f>
        <v>3.5392857142857141</v>
      </c>
      <c r="T12" s="39">
        <f>IF(SUMIFS(Data!$S:$S,Data!$A:$A,$B12,Data!$C:$C,T$1)=0,"",SUMIFS(Data!$S:$S,Data!$A:$A,$B12,Data!$C:$C,T$1))</f>
        <v>1.3333333333333333</v>
      </c>
      <c r="U12" s="39">
        <f>IF(SUMIFS(Data!X:X,Data!A:A,'#ligaSYR'!B12)&gt;12,5,IF(SUMIFS(Data!X:X,Data!A:A,'#ligaSYR'!B12)&gt;9,3, IF(SUMIFS(Data!X:X,Data!A:A,'#ligaSYR'!B12)&gt;4,1,0)))</f>
        <v>5</v>
      </c>
      <c r="V12" s="39">
        <f t="shared" si="0"/>
        <v>63.763309523809518</v>
      </c>
      <c r="W12" s="39">
        <f>SUMIFS(Data!D:D,Data!A:A,'#ligaSYR'!B12)</f>
        <v>249.05999999999997</v>
      </c>
      <c r="X12" s="40" t="str">
        <f>IF(VLOOKUP(B12,Participanti!A:D,4,0)=0," ","New")</f>
        <v xml:space="preserve"> </v>
      </c>
      <c r="Y12" s="99">
        <f t="shared" si="1"/>
        <v>3.4520833333333334</v>
      </c>
      <c r="Z12" s="212">
        <f t="shared" si="2"/>
        <v>15</v>
      </c>
      <c r="AA12" s="212">
        <v>16</v>
      </c>
    </row>
    <row r="13" spans="1:27" ht="13.8" x14ac:dyDescent="0.3">
      <c r="A13" s="151">
        <v>12</v>
      </c>
      <c r="B13" s="38" t="s">
        <v>67</v>
      </c>
      <c r="C13" s="39">
        <f>IF(SUMIFS(Data!$S:$S,Data!$A:$A,$B13,Data!$C:$C,C$1)=0,"",SUMIFS(Data!$S:$S,Data!$A:$A,$B13,Data!$C:$C,C$1))</f>
        <v>4.45</v>
      </c>
      <c r="D13" s="39">
        <f>IF(SUMIFS(Data!$S:$S,Data!$A:$A,$B13,Data!$C:$C,D$1)=0,"",SUMIFS(Data!$S:$S,Data!$A:$A,$B13,Data!$C:$C,D$1))</f>
        <v>3.0422619047619048</v>
      </c>
      <c r="E13" s="39">
        <f>IF(SUMIFS(Data!$S:$S,Data!$A:$A,$B13,Data!$C:$C,E$1)=0,"",SUMIFS(Data!$S:$S,Data!$A:$A,$B13,Data!$C:$C,E$1))</f>
        <v>3.4178571428571427</v>
      </c>
      <c r="F13" s="39">
        <f>IF(SUMIFS(Data!$S:$S,Data!$A:$A,$B13,Data!$C:$C,F$1)=0,"",SUMIFS(Data!$S:$S,Data!$A:$A,$B13,Data!$C:$C,F$1))</f>
        <v>4.3763333333333332</v>
      </c>
      <c r="G13" s="39">
        <f>IF(SUMIFS(Data!$S:$S,Data!$A:$A,$B13,Data!$C:$C,G$1)=0,"",SUMIFS(Data!$S:$S,Data!$A:$A,$B13,Data!$C:$C,G$1))</f>
        <v>4.2966666666666669</v>
      </c>
      <c r="H13" s="39">
        <f>IF(SUMIFS(Data!$S:$S,Data!$A:$A,$B13,Data!$C:$C,H$1)=0,"",SUMIFS(Data!$S:$S,Data!$A:$A,$B13,Data!$C:$C,H$1))</f>
        <v>3.3125</v>
      </c>
      <c r="I13" s="39">
        <f>IF(SUMIFS(Data!$S:$S,Data!$A:$A,$B13,Data!$C:$C,I$1)=0,"",SUMIFS(Data!$S:$S,Data!$A:$A,$B13,Data!$C:$C,I$1))</f>
        <v>2.6505952380952378</v>
      </c>
      <c r="J13" s="39">
        <f>IF(SUMIFS(Data!$S:$S,Data!$A:$A,$B13,Data!$C:$C,J$1)=0,"",SUMIFS(Data!$S:$S,Data!$A:$A,$B13,Data!$C:$C,J$1))</f>
        <v>3.4551666666666665</v>
      </c>
      <c r="K13" s="39">
        <f>IF(SUMIFS(Data!$S:$S,Data!$A:$A,$B13,Data!$C:$C,K$1)=0,"",SUMIFS(Data!$S:$S,Data!$A:$A,$B13,Data!$C:$C,K$1))</f>
        <v>4.125</v>
      </c>
      <c r="L13" s="39" t="str">
        <f>IF(SUMIFS(Data!$S:$S,Data!$A:$A,$B13,Data!$C:$C,L$1)=0,"",SUMIFS(Data!$S:$S,Data!$A:$A,$B13,Data!$C:$C,L$1))</f>
        <v/>
      </c>
      <c r="M13" s="39">
        <f>IF(SUMIFS(Data!$S:$S,Data!$A:$A,$B13,Data!$C:$C,M$1)=0,"",SUMIFS(Data!$S:$S,Data!$A:$A,$B13,Data!$C:$C,M$1))</f>
        <v>2.5476190476190474</v>
      </c>
      <c r="N13" s="39">
        <f>IF(SUMIFS(Data!$S:$S,Data!$A:$A,$B13,Data!$C:$C,N$1)=0,"",SUMIFS(Data!$S:$S,Data!$A:$A,$B13,Data!$C:$C,N$1))</f>
        <v>3.0625</v>
      </c>
      <c r="O13" s="39">
        <f>IF(SUMIFS(Data!$S:$S,Data!$A:$A,$B13,Data!$C:$C,O$1)=0,"",SUMIFS(Data!$S:$S,Data!$A:$A,$B13,Data!$C:$C,O$1))</f>
        <v>4.0714285714285712</v>
      </c>
      <c r="P13" s="39">
        <f>IF(SUMIFS(Data!$S:$S,Data!$A:$A,$B13,Data!$C:$C,P$1)=0,"",SUMIFS(Data!$S:$S,Data!$A:$A,$B13,Data!$C:$C,P$1))</f>
        <v>2.9226190476190474</v>
      </c>
      <c r="Q13" s="39">
        <f>IF(SUMIFS(Data!$S:$S,Data!$A:$A,$B13,Data!$C:$C,Q$1)=0,"",SUMIFS(Data!$S:$S,Data!$A:$A,$B13,Data!$C:$C,Q$1))</f>
        <v>4.25</v>
      </c>
      <c r="R13" s="39">
        <f>IF(SUMIFS(Data!$S:$S,Data!$A:$A,$B13,Data!$C:$C,R$1)=0,"",SUMIFS(Data!$S:$S,Data!$A:$A,$B13,Data!$C:$C,R$1))</f>
        <v>1.9065476190476192</v>
      </c>
      <c r="S13" s="39">
        <f>IF(SUMIFS(Data!$S:$S,Data!$A:$A,$B13,Data!$C:$C,S$1)=0,"",SUMIFS(Data!$S:$S,Data!$A:$A,$B13,Data!$C:$C,S$1))</f>
        <v>3.4986666666666668</v>
      </c>
      <c r="T13" s="39">
        <f>IF(SUMIFS(Data!$S:$S,Data!$A:$A,$B13,Data!$C:$C,T$1)=0,"",SUMIFS(Data!$S:$S,Data!$A:$A,$B13,Data!$C:$C,T$1))</f>
        <v>1.0625</v>
      </c>
      <c r="U13" s="39">
        <f>IF(SUMIFS(Data!X:X,Data!A:A,'#ligaSYR'!B13)&gt;12,5,IF(SUMIFS(Data!X:X,Data!A:A,'#ligaSYR'!B13)&gt;9,3, IF(SUMIFS(Data!X:X,Data!A:A,'#ligaSYR'!B13)&gt;4,1,0)))</f>
        <v>5</v>
      </c>
      <c r="V13" s="39">
        <f t="shared" si="0"/>
        <v>61.448261904761914</v>
      </c>
      <c r="W13" s="39">
        <f>SUMIFS(Data!D:D,Data!A:A,'#ligaSYR'!B13)</f>
        <v>227.03</v>
      </c>
      <c r="X13" s="40" t="str">
        <f>IF(VLOOKUP(B13,Participanti!A:D,4,0)=0," ","New")</f>
        <v xml:space="preserve"> </v>
      </c>
      <c r="Y13" s="99">
        <f t="shared" si="1"/>
        <v>3.4178571428571427</v>
      </c>
      <c r="Z13" s="212">
        <f t="shared" si="2"/>
        <v>14</v>
      </c>
      <c r="AA13" s="212">
        <v>15</v>
      </c>
    </row>
    <row r="14" spans="1:27" ht="13.8" x14ac:dyDescent="0.3">
      <c r="A14" s="151">
        <v>13</v>
      </c>
      <c r="B14" s="38" t="s">
        <v>239</v>
      </c>
      <c r="C14" s="39">
        <f>IF(SUMIFS(Data!$S:$S,Data!$A:$A,$B14,Data!$C:$C,C$1)=0,"",SUMIFS(Data!$S:$S,Data!$A:$A,$B14,Data!$C:$C,C$1))</f>
        <v>2.5857142857142859</v>
      </c>
      <c r="D14" s="39">
        <f>IF(SUMIFS(Data!$S:$S,Data!$A:$A,$B14,Data!$C:$C,D$1)=0,"",SUMIFS(Data!$S:$S,Data!$A:$A,$B14,Data!$C:$C,D$1))</f>
        <v>2.9172619047619048</v>
      </c>
      <c r="E14" s="39">
        <f>IF(SUMIFS(Data!$S:$S,Data!$A:$A,$B14,Data!$C:$C,E$1)=0,"",SUMIFS(Data!$S:$S,Data!$A:$A,$B14,Data!$C:$C,E$1))</f>
        <v>3.0535714285714284</v>
      </c>
      <c r="F14" s="39">
        <f>IF(SUMIFS(Data!$S:$S,Data!$A:$A,$B14,Data!$C:$C,F$1)=0,"",SUMIFS(Data!$S:$S,Data!$A:$A,$B14,Data!$C:$C,F$1))</f>
        <v>3.3833333333333333</v>
      </c>
      <c r="G14" s="39">
        <f>IF(SUMIFS(Data!$S:$S,Data!$A:$A,$B14,Data!$C:$C,G$1)=0,"",SUMIFS(Data!$S:$S,Data!$A:$A,$B14,Data!$C:$C,G$1))</f>
        <v>3.1392857142857142</v>
      </c>
      <c r="H14" s="39">
        <f>IF(SUMIFS(Data!$S:$S,Data!$A:$A,$B14,Data!$C:$C,H$1)=0,"",SUMIFS(Data!$S:$S,Data!$A:$A,$B14,Data!$C:$C,H$1))</f>
        <v>3.375</v>
      </c>
      <c r="I14" s="39">
        <f>IF(SUMIFS(Data!$S:$S,Data!$A:$A,$B14,Data!$C:$C,I$1)=0,"",SUMIFS(Data!$S:$S,Data!$A:$A,$B14,Data!$C:$C,I$1))</f>
        <v>4.5386666666666668</v>
      </c>
      <c r="J14" s="39">
        <f>IF(SUMIFS(Data!$S:$S,Data!$A:$A,$B14,Data!$C:$C,J$1)=0,"",SUMIFS(Data!$S:$S,Data!$A:$A,$B14,Data!$C:$C,J$1))</f>
        <v>3.746428571428571</v>
      </c>
      <c r="K14" s="39">
        <f>IF(SUMIFS(Data!$S:$S,Data!$A:$A,$B14,Data!$C:$C,K$1)=0,"",SUMIFS(Data!$S:$S,Data!$A:$A,$B14,Data!$C:$C,K$1))</f>
        <v>3.1863095238095238</v>
      </c>
      <c r="L14" s="39">
        <f>IF(SUMIFS(Data!$S:$S,Data!$A:$A,$B14,Data!$C:$C,L$1)=0,"",SUMIFS(Data!$S:$S,Data!$A:$A,$B14,Data!$C:$C,L$1))</f>
        <v>3.0351190476190477</v>
      </c>
      <c r="M14" s="39">
        <f>IF(SUMIFS(Data!$S:$S,Data!$A:$A,$B14,Data!$C:$C,M$1)=0,"",SUMIFS(Data!$S:$S,Data!$A:$A,$B14,Data!$C:$C,M$1))</f>
        <v>2.9817857142857145</v>
      </c>
      <c r="N14" s="39">
        <f>IF(SUMIFS(Data!$S:$S,Data!$A:$A,$B14,Data!$C:$C,N$1)=0,"",SUMIFS(Data!$S:$S,Data!$A:$A,$B14,Data!$C:$C,N$1))</f>
        <v>1.375</v>
      </c>
      <c r="O14" s="39">
        <f>IF(SUMIFS(Data!$S:$S,Data!$A:$A,$B14,Data!$C:$C,O$1)=0,"",SUMIFS(Data!$S:$S,Data!$A:$A,$B14,Data!$C:$C,O$1))</f>
        <v>3.9824285714285717</v>
      </c>
      <c r="P14" s="39">
        <f>IF(SUMIFS(Data!$S:$S,Data!$A:$A,$B14,Data!$C:$C,P$1)=0,"",SUMIFS(Data!$S:$S,Data!$A:$A,$B14,Data!$C:$C,P$1))</f>
        <v>2.4968571428571429</v>
      </c>
      <c r="Q14" s="39">
        <f>IF(SUMIFS(Data!$S:$S,Data!$A:$A,$B14,Data!$C:$C,Q$1)=0,"",SUMIFS(Data!$S:$S,Data!$A:$A,$B14,Data!$C:$C,Q$1))</f>
        <v>3.2323809523809528</v>
      </c>
      <c r="R14" s="39">
        <f>IF(SUMIFS(Data!$S:$S,Data!$A:$A,$B14,Data!$C:$C,R$1)=0,"",SUMIFS(Data!$S:$S,Data!$A:$A,$B14,Data!$C:$C,R$1))</f>
        <v>3.5541666666666667</v>
      </c>
      <c r="S14" s="39">
        <f>IF(SUMIFS(Data!$S:$S,Data!$A:$A,$B14,Data!$C:$C,S$1)=0,"",SUMIFS(Data!$S:$S,Data!$A:$A,$B14,Data!$C:$C,S$1))</f>
        <v>3.7950476190476192</v>
      </c>
      <c r="T14" s="39">
        <f>IF(SUMIFS(Data!$S:$S,Data!$A:$A,$B14,Data!$C:$C,T$1)=0,"",SUMIFS(Data!$S:$S,Data!$A:$A,$B14,Data!$C:$C,T$1))</f>
        <v>1.625</v>
      </c>
      <c r="U14" s="39">
        <f>IF(SUMIFS(Data!X:X,Data!A:A,'#ligaSYR'!B14)&gt;12,5,IF(SUMIFS(Data!X:X,Data!A:A,'#ligaSYR'!B14)&gt;9,3, IF(SUMIFS(Data!X:X,Data!A:A,'#ligaSYR'!B14)&gt;4,1,0)))</f>
        <v>5</v>
      </c>
      <c r="V14" s="39">
        <f t="shared" si="0"/>
        <v>61.003357142857141</v>
      </c>
      <c r="W14" s="39">
        <f>SUMIFS(Data!D:D,Data!A:A,'#ligaSYR'!B14)</f>
        <v>160.63999999999996</v>
      </c>
      <c r="X14" s="40" t="str">
        <f>IF(VLOOKUP(B14,Participanti!A:D,4,0)=0," ","New")</f>
        <v>New</v>
      </c>
      <c r="Y14" s="99">
        <f t="shared" si="1"/>
        <v>3.1627976190476188</v>
      </c>
      <c r="Z14" s="212">
        <f t="shared" si="2"/>
        <v>15</v>
      </c>
      <c r="AA14" s="212">
        <v>14</v>
      </c>
    </row>
    <row r="15" spans="1:27" ht="13.8" x14ac:dyDescent="0.3">
      <c r="A15" s="151">
        <v>14</v>
      </c>
      <c r="B15" s="38" t="s">
        <v>102</v>
      </c>
      <c r="C15" s="39">
        <f>IF(SUMIFS(Data!$S:$S,Data!$A:$A,$B15,Data!$C:$C,C$1)=0,"",SUMIFS(Data!$S:$S,Data!$A:$A,$B15,Data!$C:$C,C$1))</f>
        <v>2.5357142857142856</v>
      </c>
      <c r="D15" s="39">
        <f>IF(SUMIFS(Data!$S:$S,Data!$A:$A,$B15,Data!$C:$C,D$1)=0,"",SUMIFS(Data!$S:$S,Data!$A:$A,$B15,Data!$C:$C,D$1))</f>
        <v>5.45</v>
      </c>
      <c r="E15" s="39">
        <f>IF(SUMIFS(Data!$S:$S,Data!$A:$A,$B15,Data!$C:$C,E$1)=0,"",SUMIFS(Data!$S:$S,Data!$A:$A,$B15,Data!$C:$C,E$1))</f>
        <v>3.1619047619047618</v>
      </c>
      <c r="F15" s="39">
        <f>IF(SUMIFS(Data!$S:$S,Data!$A:$A,$B15,Data!$C:$C,F$1)=0,"",SUMIFS(Data!$S:$S,Data!$A:$A,$B15,Data!$C:$C,F$1))</f>
        <v>3.7916666666666665</v>
      </c>
      <c r="G15" s="39">
        <f>IF(SUMIFS(Data!$S:$S,Data!$A:$A,$B15,Data!$C:$C,G$1)=0,"",SUMIFS(Data!$S:$S,Data!$A:$A,$B15,Data!$C:$C,G$1))</f>
        <v>3.5297619047619047</v>
      </c>
      <c r="H15" s="39">
        <f>IF(SUMIFS(Data!$S:$S,Data!$A:$A,$B15,Data!$C:$C,H$1)=0,"",SUMIFS(Data!$S:$S,Data!$A:$A,$B15,Data!$C:$C,H$1))</f>
        <v>0.8125</v>
      </c>
      <c r="I15" s="39">
        <f>IF(SUMIFS(Data!$S:$S,Data!$A:$A,$B15,Data!$C:$C,I$1)=0,"",SUMIFS(Data!$S:$S,Data!$A:$A,$B15,Data!$C:$C,I$1))</f>
        <v>4.551333333333333</v>
      </c>
      <c r="J15" s="39">
        <f>IF(SUMIFS(Data!$S:$S,Data!$A:$A,$B15,Data!$C:$C,J$1)=0,"",SUMIFS(Data!$S:$S,Data!$A:$A,$B15,Data!$C:$C,J$1))</f>
        <v>4.3535714285714278</v>
      </c>
      <c r="K15" s="39">
        <f>IF(SUMIFS(Data!$S:$S,Data!$A:$A,$B15,Data!$C:$C,K$1)=0,"",SUMIFS(Data!$S:$S,Data!$A:$A,$B15,Data!$C:$C,K$1))</f>
        <v>5.9</v>
      </c>
      <c r="L15" s="39">
        <f>IF(SUMIFS(Data!$S:$S,Data!$A:$A,$B15,Data!$C:$C,L$1)=0,"",SUMIFS(Data!$S:$S,Data!$A:$A,$B15,Data!$C:$C,L$1))</f>
        <v>4.0369523809523802</v>
      </c>
      <c r="M15" s="39">
        <f>IF(SUMIFS(Data!$S:$S,Data!$A:$A,$B15,Data!$C:$C,M$1)=0,"",SUMIFS(Data!$S:$S,Data!$A:$A,$B15,Data!$C:$C,M$1))</f>
        <v>1.4827380952380951</v>
      </c>
      <c r="N15" s="39">
        <f>IF(SUMIFS(Data!$S:$S,Data!$A:$A,$B15,Data!$C:$C,N$1)=0,"",SUMIFS(Data!$S:$S,Data!$A:$A,$B15,Data!$C:$C,N$1))</f>
        <v>0.8125</v>
      </c>
      <c r="O15" s="39">
        <f>IF(SUMIFS(Data!$S:$S,Data!$A:$A,$B15,Data!$C:$C,O$1)=0,"",SUMIFS(Data!$S:$S,Data!$A:$A,$B15,Data!$C:$C,O$1))</f>
        <v>3.4857142857142858</v>
      </c>
      <c r="P15" s="39">
        <f>IF(SUMIFS(Data!$S:$S,Data!$A:$A,$B15,Data!$C:$C,P$1)=0,"",SUMIFS(Data!$S:$S,Data!$A:$A,$B15,Data!$C:$C,P$1))</f>
        <v>3.6029761904761903</v>
      </c>
      <c r="Q15" s="39">
        <f>IF(SUMIFS(Data!$S:$S,Data!$A:$A,$B15,Data!$C:$C,Q$1)=0,"",SUMIFS(Data!$S:$S,Data!$A:$A,$B15,Data!$C:$C,Q$1))</f>
        <v>4.8769523809523809</v>
      </c>
      <c r="R15" s="39">
        <f>IF(SUMIFS(Data!$S:$S,Data!$A:$A,$B15,Data!$C:$C,R$1)=0,"",SUMIFS(Data!$S:$S,Data!$A:$A,$B15,Data!$C:$C,R$1))</f>
        <v>2.6749999999999998</v>
      </c>
      <c r="S15" s="39" t="str">
        <f>IF(SUMIFS(Data!$S:$S,Data!$A:$A,$B15,Data!$C:$C,S$1)=0,"",SUMIFS(Data!$S:$S,Data!$A:$A,$B15,Data!$C:$C,S$1))</f>
        <v/>
      </c>
      <c r="T15" s="39">
        <f>IF(SUMIFS(Data!$S:$S,Data!$A:$A,$B15,Data!$C:$C,T$1)=0,"",SUMIFS(Data!$S:$S,Data!$A:$A,$B15,Data!$C:$C,T$1))</f>
        <v>0.9375</v>
      </c>
      <c r="U15" s="39">
        <f>IF(SUMIFS(Data!X:X,Data!A:A,'#ligaSYR'!B15)&gt;12,5,IF(SUMIFS(Data!X:X,Data!A:A,'#ligaSYR'!B15)&gt;9,3, IF(SUMIFS(Data!X:X,Data!A:A,'#ligaSYR'!B15)&gt;4,1,0)))</f>
        <v>5</v>
      </c>
      <c r="V15" s="39">
        <f t="shared" si="0"/>
        <v>60.996785714285714</v>
      </c>
      <c r="W15" s="39">
        <f>SUMIFS(Data!D:D,Data!A:A,'#ligaSYR'!B15)</f>
        <v>203.17999999999998</v>
      </c>
      <c r="X15" s="40" t="str">
        <f>IF(VLOOKUP(B15,Participanti!A:D,4,0)=0," ","New")</f>
        <v xml:space="preserve"> </v>
      </c>
      <c r="Y15" s="99">
        <f t="shared" si="1"/>
        <v>3.5297619047619047</v>
      </c>
      <c r="Z15" s="212">
        <f t="shared" si="2"/>
        <v>14</v>
      </c>
      <c r="AA15" s="212">
        <v>13</v>
      </c>
    </row>
    <row r="16" spans="1:27" ht="13.8" x14ac:dyDescent="0.3">
      <c r="A16" s="151">
        <v>15</v>
      </c>
      <c r="B16" s="38" t="s">
        <v>153</v>
      </c>
      <c r="C16" s="39">
        <f>IF(SUMIFS(Data!$S:$S,Data!$A:$A,$B16,Data!$C:$C,C$1)=0,"",SUMIFS(Data!$S:$S,Data!$A:$A,$B16,Data!$C:$C,C$1))</f>
        <v>2.7506249999999999</v>
      </c>
      <c r="D16" s="39">
        <f>IF(SUMIFS(Data!$S:$S,Data!$A:$A,$B16,Data!$C:$C,D$1)=0,"",SUMIFS(Data!$S:$S,Data!$A:$A,$B16,Data!$C:$C,D$1))</f>
        <v>3.0006249999999999</v>
      </c>
      <c r="E16" s="39">
        <f>IF(SUMIFS(Data!$S:$S,Data!$A:$A,$B16,Data!$C:$C,E$1)=0,"",SUMIFS(Data!$S:$S,Data!$A:$A,$B16,Data!$C:$C,E$1))</f>
        <v>3.0018750000000001</v>
      </c>
      <c r="F16" s="39">
        <f>IF(SUMIFS(Data!$S:$S,Data!$A:$A,$B16,Data!$C:$C,F$1)=0,"",SUMIFS(Data!$S:$S,Data!$A:$A,$B16,Data!$C:$C,F$1))</f>
        <v>3.9710000000000001</v>
      </c>
      <c r="G16" s="39">
        <f>IF(SUMIFS(Data!$S:$S,Data!$A:$A,$B16,Data!$C:$C,G$1)=0,"",SUMIFS(Data!$S:$S,Data!$A:$A,$B16,Data!$C:$C,G$1))</f>
        <v>3.1256249999999999</v>
      </c>
      <c r="H16" s="39">
        <f>IF(SUMIFS(Data!$S:$S,Data!$A:$A,$B16,Data!$C:$C,H$1)=0,"",SUMIFS(Data!$S:$S,Data!$A:$A,$B16,Data!$C:$C,H$1))</f>
        <v>2</v>
      </c>
      <c r="I16" s="39">
        <f>IF(SUMIFS(Data!$S:$S,Data!$A:$A,$B16,Data!$C:$C,I$1)=0,"",SUMIFS(Data!$S:$S,Data!$A:$A,$B16,Data!$C:$C,I$1))</f>
        <v>0.47733333333333328</v>
      </c>
      <c r="J16" s="39">
        <f>IF(SUMIFS(Data!$S:$S,Data!$A:$A,$B16,Data!$C:$C,J$1)=0,"",SUMIFS(Data!$S:$S,Data!$A:$A,$B16,Data!$C:$C,J$1))</f>
        <v>3.0631249999999999</v>
      </c>
      <c r="K16" s="39">
        <f>IF(SUMIFS(Data!$S:$S,Data!$A:$A,$B16,Data!$C:$C,K$1)=0,"",SUMIFS(Data!$S:$S,Data!$A:$A,$B16,Data!$C:$C,K$1))</f>
        <v>12.188750000000001</v>
      </c>
      <c r="L16" s="39">
        <f>IF(SUMIFS(Data!$S:$S,Data!$A:$A,$B16,Data!$C:$C,L$1)=0,"",SUMIFS(Data!$S:$S,Data!$A:$A,$B16,Data!$C:$C,L$1))</f>
        <v>1.9787083333333335</v>
      </c>
      <c r="M16" s="39">
        <f>IF(SUMIFS(Data!$S:$S,Data!$A:$A,$B16,Data!$C:$C,M$1)=0,"",SUMIFS(Data!$S:$S,Data!$A:$A,$B16,Data!$C:$C,M$1))</f>
        <v>3.4901666666666666</v>
      </c>
      <c r="N16" s="39">
        <f>IF(SUMIFS(Data!$S:$S,Data!$A:$A,$B16,Data!$C:$C,N$1)=0,"",SUMIFS(Data!$S:$S,Data!$A:$A,$B16,Data!$C:$C,N$1))</f>
        <v>2.6875</v>
      </c>
      <c r="O16" s="39" t="str">
        <f>IF(SUMIFS(Data!$S:$S,Data!$A:$A,$B16,Data!$C:$C,O$1)=0,"",SUMIFS(Data!$S:$S,Data!$A:$A,$B16,Data!$C:$C,O$1))</f>
        <v/>
      </c>
      <c r="P16" s="39">
        <f>IF(SUMIFS(Data!$S:$S,Data!$A:$A,$B16,Data!$C:$C,P$1)=0,"",SUMIFS(Data!$S:$S,Data!$A:$A,$B16,Data!$C:$C,P$1))</f>
        <v>1.6893750000000001</v>
      </c>
      <c r="Q16" s="39">
        <f>IF(SUMIFS(Data!$S:$S,Data!$A:$A,$B16,Data!$C:$C,Q$1)=0,"",SUMIFS(Data!$S:$S,Data!$A:$A,$B16,Data!$C:$C,Q$1))</f>
        <v>2.8617083333333335</v>
      </c>
      <c r="R16" s="39">
        <f>IF(SUMIFS(Data!$S:$S,Data!$A:$A,$B16,Data!$C:$C,R$1)=0,"",SUMIFS(Data!$S:$S,Data!$A:$A,$B16,Data!$C:$C,R$1))</f>
        <v>2.7905416666666669</v>
      </c>
      <c r="S16" s="39">
        <f>IF(SUMIFS(Data!$S:$S,Data!$A:$A,$B16,Data!$C:$C,S$1)=0,"",SUMIFS(Data!$S:$S,Data!$A:$A,$B16,Data!$C:$C,S$1))</f>
        <v>3.0012499999999998</v>
      </c>
      <c r="T16" s="39">
        <f>IF(SUMIFS(Data!$S:$S,Data!$A:$A,$B16,Data!$C:$C,T$1)=0,"",SUMIFS(Data!$S:$S,Data!$A:$A,$B16,Data!$C:$C,T$1))</f>
        <v>2.875</v>
      </c>
      <c r="U16" s="39">
        <f>IF(SUMIFS(Data!X:X,Data!A:A,'#ligaSYR'!B16)&gt;12,5,IF(SUMIFS(Data!X:X,Data!A:A,'#ligaSYR'!B16)&gt;9,3, IF(SUMIFS(Data!X:X,Data!A:A,'#ligaSYR'!B16)&gt;4,1,0)))</f>
        <v>5</v>
      </c>
      <c r="V16" s="39">
        <f t="shared" si="0"/>
        <v>59.953208333333329</v>
      </c>
      <c r="W16" s="39">
        <f>SUMIFS(Data!D:D,Data!A:A,'#ligaSYR'!B16)</f>
        <v>127.12000000000002</v>
      </c>
      <c r="X16" s="40" t="str">
        <f>IF(VLOOKUP(B16,Participanti!A:D,4,0)=0," ","New")</f>
        <v xml:space="preserve"> </v>
      </c>
      <c r="Y16" s="99">
        <f t="shared" si="1"/>
        <v>2.875</v>
      </c>
      <c r="Z16" s="212">
        <f t="shared" si="2"/>
        <v>14</v>
      </c>
      <c r="AA16" s="212">
        <v>12</v>
      </c>
    </row>
    <row r="17" spans="1:27" ht="13.8" x14ac:dyDescent="0.3">
      <c r="A17" s="151">
        <v>16</v>
      </c>
      <c r="B17" s="38" t="s">
        <v>61</v>
      </c>
      <c r="C17" s="39">
        <f>IF(SUMIFS(Data!$S:$S,Data!$A:$A,$B17,Data!$C:$C,C$1)=0,"",SUMIFS(Data!$S:$S,Data!$A:$A,$B17,Data!$C:$C,C$1))</f>
        <v>3.6726190476190474</v>
      </c>
      <c r="D17" s="39">
        <f>IF(SUMIFS(Data!$S:$S,Data!$A:$A,$B17,Data!$C:$C,D$1)=0,"",SUMIFS(Data!$S:$S,Data!$A:$A,$B17,Data!$C:$C,D$1))</f>
        <v>3.1964285714285712</v>
      </c>
      <c r="E17" s="39">
        <f>IF(SUMIFS(Data!$S:$S,Data!$A:$A,$B17,Data!$C:$C,E$1)=0,"",SUMIFS(Data!$S:$S,Data!$A:$A,$B17,Data!$C:$C,E$1))</f>
        <v>3.4749999999999996</v>
      </c>
      <c r="F17" s="39">
        <f>IF(SUMIFS(Data!$S:$S,Data!$A:$A,$B17,Data!$C:$C,F$1)=0,"",SUMIFS(Data!$S:$S,Data!$A:$A,$B17,Data!$C:$C,F$1))</f>
        <v>2.4971904761904766</v>
      </c>
      <c r="G17" s="39">
        <f>IF(SUMIFS(Data!$S:$S,Data!$A:$A,$B17,Data!$C:$C,G$1)=0,"",SUMIFS(Data!$S:$S,Data!$A:$A,$B17,Data!$C:$C,G$1))</f>
        <v>3.3053571428571433</v>
      </c>
      <c r="H17" s="39">
        <f>IF(SUMIFS(Data!$S:$S,Data!$A:$A,$B17,Data!$C:$C,H$1)=0,"",SUMIFS(Data!$S:$S,Data!$A:$A,$B17,Data!$C:$C,H$1))</f>
        <v>2</v>
      </c>
      <c r="I17" s="39">
        <f>IF(SUMIFS(Data!$S:$S,Data!$A:$A,$B17,Data!$C:$C,I$1)=0,"",SUMIFS(Data!$S:$S,Data!$A:$A,$B17,Data!$C:$C,I$1))</f>
        <v>2.9226190476190474</v>
      </c>
      <c r="J17" s="39">
        <f>IF(SUMIFS(Data!$S:$S,Data!$A:$A,$B17,Data!$C:$C,J$1)=0,"",SUMIFS(Data!$S:$S,Data!$A:$A,$B17,Data!$C:$C,J$1))</f>
        <v>5.7403333333333331</v>
      </c>
      <c r="K17" s="39">
        <f>IF(SUMIFS(Data!$S:$S,Data!$A:$A,$B17,Data!$C:$C,K$1)=0,"",SUMIFS(Data!$S:$S,Data!$A:$A,$B17,Data!$C:$C,K$1))</f>
        <v>3.4369047619047617</v>
      </c>
      <c r="L17" s="39">
        <f>IF(SUMIFS(Data!$S:$S,Data!$A:$A,$B17,Data!$C:$C,L$1)=0,"",SUMIFS(Data!$S:$S,Data!$A:$A,$B17,Data!$C:$C,L$1))</f>
        <v>4.6983333333333333</v>
      </c>
      <c r="M17" s="39" t="str">
        <f>IF(SUMIFS(Data!$S:$S,Data!$A:$A,$B17,Data!$C:$C,M$1)=0,"",SUMIFS(Data!$S:$S,Data!$A:$A,$B17,Data!$C:$C,M$1))</f>
        <v/>
      </c>
      <c r="N17" s="39">
        <f>IF(SUMIFS(Data!$S:$S,Data!$A:$A,$B17,Data!$C:$C,N$1)=0,"",SUMIFS(Data!$S:$S,Data!$A:$A,$B17,Data!$C:$C,N$1))</f>
        <v>3.5625</v>
      </c>
      <c r="O17" s="39">
        <f>IF(SUMIFS(Data!$S:$S,Data!$A:$A,$B17,Data!$C:$C,O$1)=0,"",SUMIFS(Data!$S:$S,Data!$A:$A,$B17,Data!$C:$C,O$1))</f>
        <v>3.4896904761904763</v>
      </c>
      <c r="P17" s="39">
        <f>IF(SUMIFS(Data!$S:$S,Data!$A:$A,$B17,Data!$C:$C,P$1)=0,"",SUMIFS(Data!$S:$S,Data!$A:$A,$B17,Data!$C:$C,P$1))</f>
        <v>2.8547619047619048</v>
      </c>
      <c r="Q17" s="39">
        <f>IF(SUMIFS(Data!$S:$S,Data!$A:$A,$B17,Data!$C:$C,Q$1)=0,"",SUMIFS(Data!$S:$S,Data!$A:$A,$B17,Data!$C:$C,Q$1))</f>
        <v>3.4214285714285713</v>
      </c>
      <c r="R17" s="39">
        <f>IF(SUMIFS(Data!$S:$S,Data!$A:$A,$B17,Data!$C:$C,R$1)=0,"",SUMIFS(Data!$S:$S,Data!$A:$A,$B17,Data!$C:$C,R$1))</f>
        <v>2.1285714285714286</v>
      </c>
      <c r="S17" s="39">
        <f>IF(SUMIFS(Data!$S:$S,Data!$A:$A,$B17,Data!$C:$C,S$1)=0,"",SUMIFS(Data!$S:$S,Data!$A:$A,$B17,Data!$C:$C,S$1))</f>
        <v>3.0119047619047619</v>
      </c>
      <c r="T17" s="39">
        <f>IF(SUMIFS(Data!$S:$S,Data!$A:$A,$B17,Data!$C:$C,T$1)=0,"",SUMIFS(Data!$S:$S,Data!$A:$A,$B17,Data!$C:$C,T$1))</f>
        <v>1.5</v>
      </c>
      <c r="U17" s="39">
        <f>IF(SUMIFS(Data!X:X,Data!A:A,'#ligaSYR'!B17)&gt;12,5,IF(SUMIFS(Data!X:X,Data!A:A,'#ligaSYR'!B17)&gt;9,3, IF(SUMIFS(Data!X:X,Data!A:A,'#ligaSYR'!B17)&gt;4,1,0)))</f>
        <v>5</v>
      </c>
      <c r="V17" s="39">
        <f t="shared" si="0"/>
        <v>59.913642857142847</v>
      </c>
      <c r="W17" s="39">
        <f>SUMIFS(Data!D:D,Data!A:A,'#ligaSYR'!B17)</f>
        <v>169.66000000000003</v>
      </c>
      <c r="X17" s="40" t="str">
        <f>IF(VLOOKUP(B17,Participanti!A:D,4,0)=0," ","New")</f>
        <v xml:space="preserve"> </v>
      </c>
      <c r="Y17" s="99">
        <f t="shared" si="1"/>
        <v>3.3053571428571433</v>
      </c>
      <c r="Z17" s="212">
        <f t="shared" si="2"/>
        <v>14</v>
      </c>
      <c r="AA17" s="212">
        <v>11</v>
      </c>
    </row>
    <row r="18" spans="1:27" ht="13.8" x14ac:dyDescent="0.3">
      <c r="A18" s="151">
        <v>17</v>
      </c>
      <c r="B18" s="38" t="s">
        <v>7</v>
      </c>
      <c r="C18" s="39">
        <f>IF(SUMIFS(Data!$S:$S,Data!$A:$A,$B18,Data!$C:$C,C$1)=0,"",SUMIFS(Data!$S:$S,Data!$A:$A,$B18,Data!$C:$C,C$1))</f>
        <v>3.5535714285714284</v>
      </c>
      <c r="D18" s="39">
        <f>IF(SUMIFS(Data!$S:$S,Data!$A:$A,$B18,Data!$C:$C,D$1)=0,"",SUMIFS(Data!$S:$S,Data!$A:$A,$B18,Data!$C:$C,D$1))</f>
        <v>2.5178571428571428</v>
      </c>
      <c r="E18" s="39">
        <f>IF(SUMIFS(Data!$S:$S,Data!$A:$A,$B18,Data!$C:$C,E$1)=0,"",SUMIFS(Data!$S:$S,Data!$A:$A,$B18,Data!$C:$C,E$1))</f>
        <v>1.4369047619047619</v>
      </c>
      <c r="F18" s="39">
        <f>IF(SUMIFS(Data!$S:$S,Data!$A:$A,$B18,Data!$C:$C,F$1)=0,"",SUMIFS(Data!$S:$S,Data!$A:$A,$B18,Data!$C:$C,F$1))</f>
        <v>1.4380952380952381</v>
      </c>
      <c r="G18" s="39">
        <f>IF(SUMIFS(Data!$S:$S,Data!$A:$A,$B18,Data!$C:$C,G$1)=0,"",SUMIFS(Data!$S:$S,Data!$A:$A,$B18,Data!$C:$C,G$1))</f>
        <v>2.1113095238095236</v>
      </c>
      <c r="H18" s="39">
        <f>IF(SUMIFS(Data!$S:$S,Data!$A:$A,$B18,Data!$C:$C,H$1)=0,"",SUMIFS(Data!$S:$S,Data!$A:$A,$B18,Data!$C:$C,H$1))</f>
        <v>2.125</v>
      </c>
      <c r="I18" s="39">
        <f>IF(SUMIFS(Data!$S:$S,Data!$A:$A,$B18,Data!$C:$C,I$1)=0,"",SUMIFS(Data!$S:$S,Data!$A:$A,$B18,Data!$C:$C,I$1))</f>
        <v>3.1785714285714284</v>
      </c>
      <c r="J18" s="39">
        <f>IF(SUMIFS(Data!$S:$S,Data!$A:$A,$B18,Data!$C:$C,J$1)=0,"",SUMIFS(Data!$S:$S,Data!$A:$A,$B18,Data!$C:$C,J$1))</f>
        <v>3.3571428571428572</v>
      </c>
      <c r="K18" s="39">
        <f>IF(SUMIFS(Data!$S:$S,Data!$A:$A,$B18,Data!$C:$C,K$1)=0,"",SUMIFS(Data!$S:$S,Data!$A:$A,$B18,Data!$C:$C,K$1))</f>
        <v>2.9627142857142856</v>
      </c>
      <c r="L18" s="39">
        <f>IF(SUMIFS(Data!$S:$S,Data!$A:$A,$B18,Data!$C:$C,L$1)=0,"",SUMIFS(Data!$S:$S,Data!$A:$A,$B18,Data!$C:$C,L$1))</f>
        <v>3.3125</v>
      </c>
      <c r="M18" s="39">
        <f>IF(SUMIFS(Data!$S:$S,Data!$A:$A,$B18,Data!$C:$C,M$1)=0,"",SUMIFS(Data!$S:$S,Data!$A:$A,$B18,Data!$C:$C,M$1))</f>
        <v>3.8839285714285712</v>
      </c>
      <c r="N18" s="39">
        <f>IF(SUMIFS(Data!$S:$S,Data!$A:$A,$B18,Data!$C:$C,N$1)=0,"",SUMIFS(Data!$S:$S,Data!$A:$A,$B18,Data!$C:$C,N$1))</f>
        <v>1.875</v>
      </c>
      <c r="O18" s="39">
        <f>IF(SUMIFS(Data!$S:$S,Data!$A:$A,$B18,Data!$C:$C,O$1)=0,"",SUMIFS(Data!$S:$S,Data!$A:$A,$B18,Data!$C:$C,O$1))</f>
        <v>4.0553571428571429</v>
      </c>
      <c r="P18" s="39">
        <f>IF(SUMIFS(Data!$S:$S,Data!$A:$A,$B18,Data!$C:$C,P$1)=0,"",SUMIFS(Data!$S:$S,Data!$A:$A,$B18,Data!$C:$C,P$1))</f>
        <v>4.0178571428571423</v>
      </c>
      <c r="Q18" s="39">
        <f>IF(SUMIFS(Data!$S:$S,Data!$A:$A,$B18,Data!$C:$C,Q$1)=0,"",SUMIFS(Data!$S:$S,Data!$A:$A,$B18,Data!$C:$C,Q$1))</f>
        <v>3.7130476190476189</v>
      </c>
      <c r="R18" s="39">
        <f>IF(SUMIFS(Data!$S:$S,Data!$A:$A,$B18,Data!$C:$C,R$1)=0,"",SUMIFS(Data!$S:$S,Data!$A:$A,$B18,Data!$C:$C,R$1))</f>
        <v>3.013095238095238</v>
      </c>
      <c r="S18" s="39">
        <f>IF(SUMIFS(Data!$S:$S,Data!$A:$A,$B18,Data!$C:$C,S$1)=0,"",SUMIFS(Data!$S:$S,Data!$A:$A,$B18,Data!$C:$C,S$1))</f>
        <v>3.7933333333333334</v>
      </c>
      <c r="T18" s="39">
        <f>IF(SUMIFS(Data!$S:$S,Data!$A:$A,$B18,Data!$C:$C,T$1)=0,"",SUMIFS(Data!$S:$S,Data!$A:$A,$B18,Data!$C:$C,T$1))</f>
        <v>1.25</v>
      </c>
      <c r="U18" s="39">
        <f>IF(SUMIFS(Data!X:X,Data!A:A,'#ligaSYR'!B18)&gt;12,5,IF(SUMIFS(Data!X:X,Data!A:A,'#ligaSYR'!B18)&gt;9,3, IF(SUMIFS(Data!X:X,Data!A:A,'#ligaSYR'!B18)&gt;4,1,0)))</f>
        <v>5</v>
      </c>
      <c r="V18" s="39">
        <f t="shared" si="0"/>
        <v>56.595285714285723</v>
      </c>
      <c r="W18" s="39">
        <f>SUMIFS(Data!D:D,Data!A:A,'#ligaSYR'!B18)</f>
        <v>189.14</v>
      </c>
      <c r="X18" s="40" t="str">
        <f>IF(VLOOKUP(B18,Participanti!A:D,4,0)=0," ","New")</f>
        <v xml:space="preserve"> </v>
      </c>
      <c r="Y18" s="99">
        <f t="shared" si="1"/>
        <v>3.0958333333333332</v>
      </c>
      <c r="Z18" s="212">
        <f t="shared" si="2"/>
        <v>15</v>
      </c>
      <c r="AA18" s="212">
        <v>10</v>
      </c>
    </row>
    <row r="19" spans="1:27" ht="13.8" x14ac:dyDescent="0.3">
      <c r="A19" s="151">
        <v>18</v>
      </c>
      <c r="B19" s="38" t="s">
        <v>154</v>
      </c>
      <c r="C19" s="39">
        <f>IF(SUMIFS(Data!$S:$S,Data!$A:$A,$B19,Data!$C:$C,C$1)=0,"",SUMIFS(Data!$S:$S,Data!$A:$A,$B19,Data!$C:$C,C$1))</f>
        <v>4.25</v>
      </c>
      <c r="D19" s="39">
        <f>IF(SUMIFS(Data!$S:$S,Data!$A:$A,$B19,Data!$C:$C,D$1)=0,"",SUMIFS(Data!$S:$S,Data!$A:$A,$B19,Data!$C:$C,D$1))</f>
        <v>2.4708333333333332</v>
      </c>
      <c r="E19" s="39">
        <f>IF(SUMIFS(Data!$S:$S,Data!$A:$A,$B19,Data!$C:$C,E$1)=0,"",SUMIFS(Data!$S:$S,Data!$A:$A,$B19,Data!$C:$C,E$1))</f>
        <v>4.375</v>
      </c>
      <c r="F19" s="39">
        <f>IF(SUMIFS(Data!$S:$S,Data!$A:$A,$B19,Data!$C:$C,F$1)=0,"",SUMIFS(Data!$S:$S,Data!$A:$A,$B19,Data!$C:$C,F$1))</f>
        <v>3.7482142857142855</v>
      </c>
      <c r="G19" s="39">
        <f>IF(SUMIFS(Data!$S:$S,Data!$A:$A,$B19,Data!$C:$C,G$1)=0,"",SUMIFS(Data!$S:$S,Data!$A:$A,$B19,Data!$C:$C,G$1))</f>
        <v>3.375</v>
      </c>
      <c r="H19" s="39">
        <f>IF(SUMIFS(Data!$S:$S,Data!$A:$A,$B19,Data!$C:$C,H$1)=0,"",SUMIFS(Data!$S:$S,Data!$A:$A,$B19,Data!$C:$C,H$1))</f>
        <v>1.1875</v>
      </c>
      <c r="I19" s="39" t="str">
        <f>IF(SUMIFS(Data!$S:$S,Data!$A:$A,$B19,Data!$C:$C,I$1)=0,"",SUMIFS(Data!$S:$S,Data!$A:$A,$B19,Data!$C:$C,I$1))</f>
        <v/>
      </c>
      <c r="J19" s="39">
        <f>IF(SUMIFS(Data!$S:$S,Data!$A:$A,$B19,Data!$C:$C,J$1)=0,"",SUMIFS(Data!$S:$S,Data!$A:$A,$B19,Data!$C:$C,J$1))</f>
        <v>2.9678333333333331</v>
      </c>
      <c r="K19" s="39">
        <f>IF(SUMIFS(Data!$S:$S,Data!$A:$A,$B19,Data!$C:$C,K$1)=0,"",SUMIFS(Data!$S:$S,Data!$A:$A,$B19,Data!$C:$C,K$1))</f>
        <v>2.4833333333333334</v>
      </c>
      <c r="L19" s="39">
        <f>IF(SUMIFS(Data!$S:$S,Data!$A:$A,$B19,Data!$C:$C,L$1)=0,"",SUMIFS(Data!$S:$S,Data!$A:$A,$B19,Data!$C:$C,L$1))</f>
        <v>2.6017857142857141</v>
      </c>
      <c r="M19" s="39">
        <f>IF(SUMIFS(Data!$S:$S,Data!$A:$A,$B19,Data!$C:$C,M$1)=0,"",SUMIFS(Data!$S:$S,Data!$A:$A,$B19,Data!$C:$C,M$1))</f>
        <v>2.2148809523809523</v>
      </c>
      <c r="N19" s="39">
        <f>IF(SUMIFS(Data!$S:$S,Data!$A:$A,$B19,Data!$C:$C,N$1)=0,"",SUMIFS(Data!$S:$S,Data!$A:$A,$B19,Data!$C:$C,N$1))</f>
        <v>1.625</v>
      </c>
      <c r="O19" s="39">
        <f>IF(SUMIFS(Data!$S:$S,Data!$A:$A,$B19,Data!$C:$C,O$1)=0,"",SUMIFS(Data!$S:$S,Data!$A:$A,$B19,Data!$C:$C,O$1))</f>
        <v>4.291666666666667</v>
      </c>
      <c r="P19" s="39">
        <f>IF(SUMIFS(Data!$S:$S,Data!$A:$A,$B19,Data!$C:$C,P$1)=0,"",SUMIFS(Data!$S:$S,Data!$A:$A,$B19,Data!$C:$C,P$1))</f>
        <v>2.7442619047619048</v>
      </c>
      <c r="Q19" s="39">
        <f>IF(SUMIFS(Data!$S:$S,Data!$A:$A,$B19,Data!$C:$C,Q$1)=0,"",SUMIFS(Data!$S:$S,Data!$A:$A,$B19,Data!$C:$C,Q$1))</f>
        <v>4.1796666666666669</v>
      </c>
      <c r="R19" s="39">
        <f>IF(SUMIFS(Data!$S:$S,Data!$A:$A,$B19,Data!$C:$C,R$1)=0,"",SUMIFS(Data!$S:$S,Data!$A:$A,$B19,Data!$C:$C,R$1))</f>
        <v>1.0797619047619047</v>
      </c>
      <c r="S19" s="39">
        <f>IF(SUMIFS(Data!$S:$S,Data!$A:$A,$B19,Data!$C:$C,S$1)=0,"",SUMIFS(Data!$S:$S,Data!$A:$A,$B19,Data!$C:$C,S$1))</f>
        <v>3.5640000000000001</v>
      </c>
      <c r="T19" s="39">
        <f>IF(SUMIFS(Data!$S:$S,Data!$A:$A,$B19,Data!$C:$C,T$1)=0,"",SUMIFS(Data!$S:$S,Data!$A:$A,$B19,Data!$C:$C,T$1))</f>
        <v>1.6875</v>
      </c>
      <c r="U19" s="39">
        <f>IF(SUMIFS(Data!X:X,Data!A:A,'#ligaSYR'!B19)&gt;12,5,IF(SUMIFS(Data!X:X,Data!A:A,'#ligaSYR'!B19)&gt;9,3, IF(SUMIFS(Data!X:X,Data!A:A,'#ligaSYR'!B19)&gt;4,1,0)))</f>
        <v>5</v>
      </c>
      <c r="V19" s="39">
        <f t="shared" si="0"/>
        <v>53.8462380952381</v>
      </c>
      <c r="W19" s="39">
        <f>SUMIFS(Data!D:D,Data!A:A,'#ligaSYR'!B19)</f>
        <v>205.25999999999996</v>
      </c>
      <c r="X19" s="40" t="str">
        <f>IF(VLOOKUP(B19,Participanti!A:D,4,0)=0," ","New")</f>
        <v xml:space="preserve"> </v>
      </c>
      <c r="Y19" s="99">
        <f t="shared" si="1"/>
        <v>2.7442619047619048</v>
      </c>
      <c r="Z19" s="212">
        <f t="shared" si="2"/>
        <v>14</v>
      </c>
      <c r="AA19" s="212">
        <v>9</v>
      </c>
    </row>
    <row r="20" spans="1:27" ht="13.8" x14ac:dyDescent="0.3">
      <c r="A20" s="151">
        <v>19</v>
      </c>
      <c r="B20" s="38" t="s">
        <v>80</v>
      </c>
      <c r="C20" s="39">
        <f>IF(SUMIFS(Data!$S:$S,Data!$A:$A,$B20,Data!$C:$C,C$1)=0,"",SUMIFS(Data!$S:$S,Data!$A:$A,$B20,Data!$C:$C,C$1))</f>
        <v>6.075333333333333</v>
      </c>
      <c r="D20" s="39">
        <f>IF(SUMIFS(Data!$S:$S,Data!$A:$A,$B20,Data!$C:$C,D$1)=0,"",SUMIFS(Data!$S:$S,Data!$A:$A,$B20,Data!$C:$C,D$1))</f>
        <v>2.7826666666666666</v>
      </c>
      <c r="E20" s="39">
        <f>IF(SUMIFS(Data!$S:$S,Data!$A:$A,$B20,Data!$C:$C,E$1)=0,"",SUMIFS(Data!$S:$S,Data!$A:$A,$B20,Data!$C:$C,E$1))</f>
        <v>7.4139999999999997</v>
      </c>
      <c r="F20" s="39">
        <f>IF(SUMIFS(Data!$S:$S,Data!$A:$A,$B20,Data!$C:$C,F$1)=0,"",SUMIFS(Data!$S:$S,Data!$A:$A,$B20,Data!$C:$C,F$1))</f>
        <v>1.9946666666666668</v>
      </c>
      <c r="G20" s="39">
        <f>IF(SUMIFS(Data!$S:$S,Data!$A:$A,$B20,Data!$C:$C,G$1)=0,"",SUMIFS(Data!$S:$S,Data!$A:$A,$B20,Data!$C:$C,G$1))</f>
        <v>5.7906666666666675</v>
      </c>
      <c r="H20" s="39">
        <f>IF(SUMIFS(Data!$S:$S,Data!$A:$A,$B20,Data!$C:$C,H$1)=0,"",SUMIFS(Data!$S:$S,Data!$A:$A,$B20,Data!$C:$C,H$1))</f>
        <v>3.875</v>
      </c>
      <c r="I20" s="39">
        <f>IF(SUMIFS(Data!$S:$S,Data!$A:$A,$B20,Data!$C:$C,I$1)=0,"",SUMIFS(Data!$S:$S,Data!$A:$A,$B20,Data!$C:$C,I$1))</f>
        <v>3.7013333333333329</v>
      </c>
      <c r="J20" s="39" t="str">
        <f>IF(SUMIFS(Data!$S:$S,Data!$A:$A,$B20,Data!$C:$C,J$1)=0,"",SUMIFS(Data!$S:$S,Data!$A:$A,$B20,Data!$C:$C,J$1))</f>
        <v/>
      </c>
      <c r="K20" s="39">
        <f>IF(SUMIFS(Data!$S:$S,Data!$A:$A,$B20,Data!$C:$C,K$1)=0,"",SUMIFS(Data!$S:$S,Data!$A:$A,$B20,Data!$C:$C,K$1))</f>
        <v>6.2993333333333341</v>
      </c>
      <c r="L20" s="39">
        <f>IF(SUMIFS(Data!$S:$S,Data!$A:$A,$B20,Data!$C:$C,L$1)=0,"",SUMIFS(Data!$S:$S,Data!$A:$A,$B20,Data!$C:$C,L$1))</f>
        <v>9.1873333333333331</v>
      </c>
      <c r="M20" s="39" t="str">
        <f>IF(SUMIFS(Data!$S:$S,Data!$A:$A,$B20,Data!$C:$C,M$1)=0,"",SUMIFS(Data!$S:$S,Data!$A:$A,$B20,Data!$C:$C,M$1))</f>
        <v/>
      </c>
      <c r="N20" s="39">
        <f>IF(SUMIFS(Data!$S:$S,Data!$A:$A,$B20,Data!$C:$C,N$1)=0,"",SUMIFS(Data!$S:$S,Data!$A:$A,$B20,Data!$C:$C,N$1))</f>
        <v>4.25</v>
      </c>
      <c r="O20" s="39" t="str">
        <f>IF(SUMIFS(Data!$S:$S,Data!$A:$A,$B20,Data!$C:$C,O$1)=0,"",SUMIFS(Data!$S:$S,Data!$A:$A,$B20,Data!$C:$C,O$1))</f>
        <v/>
      </c>
      <c r="P20" s="39" t="str">
        <f>IF(SUMIFS(Data!$S:$S,Data!$A:$A,$B20,Data!$C:$C,P$1)=0,"",SUMIFS(Data!$S:$S,Data!$A:$A,$B20,Data!$C:$C,P$1))</f>
        <v/>
      </c>
      <c r="Q20" s="39" t="str">
        <f>IF(SUMIFS(Data!$S:$S,Data!$A:$A,$B20,Data!$C:$C,Q$1)=0,"",SUMIFS(Data!$S:$S,Data!$A:$A,$B20,Data!$C:$C,Q$1))</f>
        <v/>
      </c>
      <c r="R20" s="39" t="str">
        <f>IF(SUMIFS(Data!$S:$S,Data!$A:$A,$B20,Data!$C:$C,R$1)=0,"",SUMIFS(Data!$S:$S,Data!$A:$A,$B20,Data!$C:$C,R$1))</f>
        <v/>
      </c>
      <c r="S20" s="39" t="str">
        <f>IF(SUMIFS(Data!$S:$S,Data!$A:$A,$B20,Data!$C:$C,S$1)=0,"",SUMIFS(Data!$S:$S,Data!$A:$A,$B20,Data!$C:$C,S$1))</f>
        <v/>
      </c>
      <c r="T20" s="39" t="str">
        <f>IF(SUMIFS(Data!$S:$S,Data!$A:$A,$B20,Data!$C:$C,T$1)=0,"",SUMIFS(Data!$S:$S,Data!$A:$A,$B20,Data!$C:$C,T$1))</f>
        <v/>
      </c>
      <c r="U20" s="39">
        <f>IF(SUMIFS(Data!X:X,Data!A:A,'#ligaSYR'!B20)&gt;12,5,IF(SUMIFS(Data!X:X,Data!A:A,'#ligaSYR'!B20)&gt;9,3, IF(SUMIFS(Data!X:X,Data!A:A,'#ligaSYR'!B20)&gt;4,1,0)))</f>
        <v>0</v>
      </c>
      <c r="V20" s="39">
        <f t="shared" si="0"/>
        <v>51.370333333333335</v>
      </c>
      <c r="W20" s="39">
        <f>SUMIFS(Data!D:D,Data!A:A,'#ligaSYR'!B20)</f>
        <v>331.3</v>
      </c>
      <c r="X20" s="40" t="str">
        <f>IF(VLOOKUP(B20,Participanti!A:D,4,0)=0," ","New")</f>
        <v xml:space="preserve"> </v>
      </c>
      <c r="Y20" s="99">
        <f t="shared" si="1"/>
        <v>5.0203333333333333</v>
      </c>
      <c r="Z20" s="212">
        <f t="shared" si="2"/>
        <v>8</v>
      </c>
      <c r="AA20" s="212"/>
    </row>
    <row r="21" spans="1:27" ht="13.8" x14ac:dyDescent="0.3">
      <c r="A21" s="151">
        <v>20</v>
      </c>
      <c r="B21" s="38" t="s">
        <v>103</v>
      </c>
      <c r="C21" s="39">
        <f>IF(SUMIFS(Data!$S:$S,Data!$A:$A,$B21,Data!$C:$C,C$1)=0,"",SUMIFS(Data!$S:$S,Data!$A:$A,$B21,Data!$C:$C,C$1))</f>
        <v>1.51</v>
      </c>
      <c r="D21" s="39">
        <f>IF(SUMIFS(Data!$S:$S,Data!$A:$A,$B21,Data!$C:$C,D$1)=0,"",SUMIFS(Data!$S:$S,Data!$A:$A,$B21,Data!$C:$C,D$1))</f>
        <v>4.375</v>
      </c>
      <c r="E21" s="39">
        <f>IF(SUMIFS(Data!$S:$S,Data!$A:$A,$B21,Data!$C:$C,E$1)=0,"",SUMIFS(Data!$S:$S,Data!$A:$A,$B21,Data!$C:$C,E$1))</f>
        <v>2.6287500000000001</v>
      </c>
      <c r="F21" s="39">
        <f>IF(SUMIFS(Data!$S:$S,Data!$A:$A,$B21,Data!$C:$C,F$1)=0,"",SUMIFS(Data!$S:$S,Data!$A:$A,$B21,Data!$C:$C,F$1))</f>
        <v>1.441875</v>
      </c>
      <c r="G21" s="39">
        <f>IF(SUMIFS(Data!$S:$S,Data!$A:$A,$B21,Data!$C:$C,G$1)=0,"",SUMIFS(Data!$S:$S,Data!$A:$A,$B21,Data!$C:$C,G$1))</f>
        <v>2.8756249999999999</v>
      </c>
      <c r="H21" s="39">
        <f>IF(SUMIFS(Data!$S:$S,Data!$A:$A,$B21,Data!$C:$C,H$1)=0,"",SUMIFS(Data!$S:$S,Data!$A:$A,$B21,Data!$C:$C,H$1))</f>
        <v>1.8125</v>
      </c>
      <c r="I21" s="39">
        <f>IF(SUMIFS(Data!$S:$S,Data!$A:$A,$B21,Data!$C:$C,I$1)=0,"",SUMIFS(Data!$S:$S,Data!$A:$A,$B21,Data!$C:$C,I$1))</f>
        <v>3.3143750000000001</v>
      </c>
      <c r="J21" s="39">
        <f>IF(SUMIFS(Data!$S:$S,Data!$A:$A,$B21,Data!$C:$C,J$1)=0,"",SUMIFS(Data!$S:$S,Data!$A:$A,$B21,Data!$C:$C,J$1))</f>
        <v>3.1893750000000001</v>
      </c>
      <c r="K21" s="39" t="str">
        <f>IF(SUMIFS(Data!$S:$S,Data!$A:$A,$B21,Data!$C:$C,K$1)=0,"",SUMIFS(Data!$S:$S,Data!$A:$A,$B21,Data!$C:$C,K$1))</f>
        <v/>
      </c>
      <c r="L21" s="39">
        <f>IF(SUMIFS(Data!$S:$S,Data!$A:$A,$B21,Data!$C:$C,L$1)=0,"",SUMIFS(Data!$S:$S,Data!$A:$A,$B21,Data!$C:$C,L$1))</f>
        <v>1.5</v>
      </c>
      <c r="M21" s="39">
        <f>IF(SUMIFS(Data!$S:$S,Data!$A:$A,$B21,Data!$C:$C,M$1)=0,"",SUMIFS(Data!$S:$S,Data!$A:$A,$B21,Data!$C:$C,M$1))</f>
        <v>3.1881249999999999</v>
      </c>
      <c r="N21" s="39">
        <f>IF(SUMIFS(Data!$S:$S,Data!$A:$A,$B21,Data!$C:$C,N$1)=0,"",SUMIFS(Data!$S:$S,Data!$A:$A,$B21,Data!$C:$C,N$1))</f>
        <v>1.5625</v>
      </c>
      <c r="O21" s="39">
        <f>IF(SUMIFS(Data!$S:$S,Data!$A:$A,$B21,Data!$C:$C,O$1)=0,"",SUMIFS(Data!$S:$S,Data!$A:$A,$B21,Data!$C:$C,O$1))</f>
        <v>2.8131249999999999</v>
      </c>
      <c r="P21" s="39">
        <f>IF(SUMIFS(Data!$S:$S,Data!$A:$A,$B21,Data!$C:$C,P$1)=0,"",SUMIFS(Data!$S:$S,Data!$A:$A,$B21,Data!$C:$C,P$1))</f>
        <v>3.4873750000000001</v>
      </c>
      <c r="Q21" s="39">
        <f>IF(SUMIFS(Data!$S:$S,Data!$A:$A,$B21,Data!$C:$C,Q$1)=0,"",SUMIFS(Data!$S:$S,Data!$A:$A,$B21,Data!$C:$C,Q$1))</f>
        <v>2.8131249999999999</v>
      </c>
      <c r="R21" s="39">
        <f>IF(SUMIFS(Data!$S:$S,Data!$A:$A,$B21,Data!$C:$C,R$1)=0,"",SUMIFS(Data!$S:$S,Data!$A:$A,$B21,Data!$C:$C,R$1))</f>
        <v>2.2506249999999999</v>
      </c>
      <c r="S21" s="39">
        <f>IF(SUMIFS(Data!$S:$S,Data!$A:$A,$B21,Data!$C:$C,S$1)=0,"",SUMIFS(Data!$S:$S,Data!$A:$A,$B21,Data!$C:$C,S$1))</f>
        <v>2.5225</v>
      </c>
      <c r="T21" s="39">
        <f>IF(SUMIFS(Data!$S:$S,Data!$A:$A,$B21,Data!$C:$C,T$1)=0,"",SUMIFS(Data!$S:$S,Data!$A:$A,$B21,Data!$C:$C,T$1))</f>
        <v>2.375</v>
      </c>
      <c r="U21" s="39">
        <f>IF(SUMIFS(Data!X:X,Data!A:A,'#ligaSYR'!B21)&gt;12,5,IF(SUMIFS(Data!X:X,Data!A:A,'#ligaSYR'!B21)&gt;9,3, IF(SUMIFS(Data!X:X,Data!A:A,'#ligaSYR'!B21)&gt;4,1,0)))</f>
        <v>5</v>
      </c>
      <c r="V21" s="39">
        <f t="shared" si="0"/>
        <v>48.659875</v>
      </c>
      <c r="W21" s="39">
        <f>SUMIFS(Data!D:D,Data!A:A,'#ligaSYR'!B21)</f>
        <v>125.08000000000004</v>
      </c>
      <c r="X21" s="40" t="str">
        <f>IF(VLOOKUP(B21,Participanti!A:D,4,0)=0," ","New")</f>
        <v xml:space="preserve"> </v>
      </c>
      <c r="Y21" s="99">
        <f t="shared" si="1"/>
        <v>2.6287500000000001</v>
      </c>
      <c r="Z21" s="212">
        <f t="shared" si="2"/>
        <v>14</v>
      </c>
      <c r="AA21" s="212">
        <v>8</v>
      </c>
    </row>
    <row r="22" spans="1:27" ht="13.8" x14ac:dyDescent="0.3">
      <c r="A22" s="151">
        <v>21</v>
      </c>
      <c r="B22" s="38" t="s">
        <v>244</v>
      </c>
      <c r="C22" s="39">
        <f>IF(SUMIFS(Data!$S:$S,Data!$A:$A,$B22,Data!$C:$C,C$1)=0,"",SUMIFS(Data!$S:$S,Data!$A:$A,$B22,Data!$C:$C,C$1))</f>
        <v>4.8165238095238099</v>
      </c>
      <c r="D22" s="39">
        <f>IF(SUMIFS(Data!$S:$S,Data!$A:$A,$B22,Data!$C:$C,D$1)=0,"",SUMIFS(Data!$S:$S,Data!$A:$A,$B22,Data!$C:$C,D$1))</f>
        <v>2.5154761904761904</v>
      </c>
      <c r="E22" s="39">
        <f>IF(SUMIFS(Data!$S:$S,Data!$A:$A,$B22,Data!$C:$C,E$1)=0,"",SUMIFS(Data!$S:$S,Data!$A:$A,$B22,Data!$C:$C,E$1))</f>
        <v>4.5931190476190471</v>
      </c>
      <c r="F22" s="39">
        <f>IF(SUMIFS(Data!$S:$S,Data!$A:$A,$B22,Data!$C:$C,F$1)=0,"",SUMIFS(Data!$S:$S,Data!$A:$A,$B22,Data!$C:$C,F$1))</f>
        <v>5.7126666666666663</v>
      </c>
      <c r="G22" s="39">
        <f>IF(SUMIFS(Data!$S:$S,Data!$A:$A,$B22,Data!$C:$C,G$1)=0,"",SUMIFS(Data!$S:$S,Data!$A:$A,$B22,Data!$C:$C,G$1))</f>
        <v>2.6055476190476186</v>
      </c>
      <c r="H22" s="39">
        <f>IF(SUMIFS(Data!$S:$S,Data!$A:$A,$B22,Data!$C:$C,H$1)=0,"",SUMIFS(Data!$S:$S,Data!$A:$A,$B22,Data!$C:$C,H$1))</f>
        <v>2.375</v>
      </c>
      <c r="I22" s="39">
        <f>IF(SUMIFS(Data!$S:$S,Data!$A:$A,$B22,Data!$C:$C,I$1)=0,"",SUMIFS(Data!$S:$S,Data!$A:$A,$B22,Data!$C:$C,I$1))</f>
        <v>1.5</v>
      </c>
      <c r="J22" s="39" t="str">
        <f>IF(SUMIFS(Data!$S:$S,Data!$A:$A,$B22,Data!$C:$C,J$1)=0,"",SUMIFS(Data!$S:$S,Data!$A:$A,$B22,Data!$C:$C,J$1))</f>
        <v/>
      </c>
      <c r="K22" s="39" t="str">
        <f>IF(SUMIFS(Data!$S:$S,Data!$A:$A,$B22,Data!$C:$C,K$1)=0,"",SUMIFS(Data!$S:$S,Data!$A:$A,$B22,Data!$C:$C,K$1))</f>
        <v/>
      </c>
      <c r="L22" s="39" t="str">
        <f>IF(SUMIFS(Data!$S:$S,Data!$A:$A,$B22,Data!$C:$C,L$1)=0,"",SUMIFS(Data!$S:$S,Data!$A:$A,$B22,Data!$C:$C,L$1))</f>
        <v/>
      </c>
      <c r="M22" s="39">
        <f>IF(SUMIFS(Data!$S:$S,Data!$A:$A,$B22,Data!$C:$C,M$1)=0,"",SUMIFS(Data!$S:$S,Data!$A:$A,$B22,Data!$C:$C,M$1))</f>
        <v>4.7213333333333329</v>
      </c>
      <c r="N22" s="39">
        <f>IF(SUMIFS(Data!$S:$S,Data!$A:$A,$B22,Data!$C:$C,N$1)=0,"",SUMIFS(Data!$S:$S,Data!$A:$A,$B22,Data!$C:$C,N$1))</f>
        <v>2.625</v>
      </c>
      <c r="O22" s="39" t="str">
        <f>IF(SUMIFS(Data!$S:$S,Data!$A:$A,$B22,Data!$C:$C,O$1)=0,"",SUMIFS(Data!$S:$S,Data!$A:$A,$B22,Data!$C:$C,O$1))</f>
        <v/>
      </c>
      <c r="P22" s="39" t="str">
        <f>IF(SUMIFS(Data!$S:$S,Data!$A:$A,$B22,Data!$C:$C,P$1)=0,"",SUMIFS(Data!$S:$S,Data!$A:$A,$B22,Data!$C:$C,P$1))</f>
        <v/>
      </c>
      <c r="Q22" s="39">
        <f>IF(SUMIFS(Data!$S:$S,Data!$A:$A,$B22,Data!$C:$C,Q$1)=0,"",SUMIFS(Data!$S:$S,Data!$A:$A,$B22,Data!$C:$C,Q$1))</f>
        <v>4.9215952380952377</v>
      </c>
      <c r="R22" s="39">
        <f>IF(SUMIFS(Data!$S:$S,Data!$A:$A,$B22,Data!$C:$C,R$1)=0,"",SUMIFS(Data!$S:$S,Data!$A:$A,$B22,Data!$C:$C,R$1))</f>
        <v>4.6713333333333331</v>
      </c>
      <c r="S22" s="39">
        <f>IF(SUMIFS(Data!$S:$S,Data!$A:$A,$B22,Data!$C:$C,S$1)=0,"",SUMIFS(Data!$S:$S,Data!$A:$A,$B22,Data!$C:$C,S$1))</f>
        <v>2.8271904761904763</v>
      </c>
      <c r="T22" s="39">
        <f>IF(SUMIFS(Data!$S:$S,Data!$A:$A,$B22,Data!$C:$C,T$1)=0,"",SUMIFS(Data!$S:$S,Data!$A:$A,$B22,Data!$C:$C,T$1))</f>
        <v>4.3125</v>
      </c>
      <c r="U22" s="39">
        <f>IF(SUMIFS(Data!X:X,Data!A:A,'#ligaSYR'!B22)&gt;12,5,IF(SUMIFS(Data!X:X,Data!A:A,'#ligaSYR'!B22)&gt;9,3, IF(SUMIFS(Data!X:X,Data!A:A,'#ligaSYR'!B22)&gt;4,1,0)))</f>
        <v>0</v>
      </c>
      <c r="V22" s="39">
        <f t="shared" si="0"/>
        <v>48.197285714285719</v>
      </c>
      <c r="W22" s="39">
        <f>SUMIFS(Data!D:D,Data!A:A,'#ligaSYR'!B22)</f>
        <v>202.21</v>
      </c>
      <c r="X22" s="40" t="str">
        <f>IF(VLOOKUP(B22,Participanti!A:D,4,0)=0," ","New")</f>
        <v xml:space="preserve"> </v>
      </c>
      <c r="Y22" s="99">
        <f t="shared" si="1"/>
        <v>4.3125</v>
      </c>
      <c r="Z22" s="212">
        <f t="shared" si="2"/>
        <v>10</v>
      </c>
      <c r="AA22" s="212">
        <v>7</v>
      </c>
    </row>
    <row r="23" spans="1:27" ht="13.8" x14ac:dyDescent="0.3">
      <c r="A23" s="151">
        <v>22</v>
      </c>
      <c r="B23" s="38" t="s">
        <v>196</v>
      </c>
      <c r="C23" s="39">
        <f>IF(SUMIFS(Data!$S:$S,Data!$A:$A,$B23,Data!$C:$C,C$1)=0,"",SUMIFS(Data!$S:$S,Data!$A:$A,$B23,Data!$C:$C,C$1))</f>
        <v>3.7856666666666667</v>
      </c>
      <c r="D23" s="39">
        <f>IF(SUMIFS(Data!$S:$S,Data!$A:$A,$B23,Data!$C:$C,D$1)=0,"",SUMIFS(Data!$S:$S,Data!$A:$A,$B23,Data!$C:$C,D$1))</f>
        <v>1.7318750000000001</v>
      </c>
      <c r="E23" s="39">
        <f>IF(SUMIFS(Data!$S:$S,Data!$A:$A,$B23,Data!$C:$C,E$1)=0,"",SUMIFS(Data!$S:$S,Data!$A:$A,$B23,Data!$C:$C,E$1))</f>
        <v>3.6311249999999995</v>
      </c>
      <c r="F23" s="39">
        <f>IF(SUMIFS(Data!$S:$S,Data!$A:$A,$B23,Data!$C:$C,F$1)=0,"",SUMIFS(Data!$S:$S,Data!$A:$A,$B23,Data!$C:$C,F$1))</f>
        <v>1.8131250000000001</v>
      </c>
      <c r="G23" s="39">
        <f>IF(SUMIFS(Data!$S:$S,Data!$A:$A,$B23,Data!$C:$C,G$1)=0,"",SUMIFS(Data!$S:$S,Data!$A:$A,$B23,Data!$C:$C,G$1))</f>
        <v>1.765625</v>
      </c>
      <c r="H23" s="39">
        <f>IF(SUMIFS(Data!$S:$S,Data!$A:$A,$B23,Data!$C:$C,H$1)=0,"",SUMIFS(Data!$S:$S,Data!$A:$A,$B23,Data!$C:$C,H$1))</f>
        <v>4.0625</v>
      </c>
      <c r="I23" s="39">
        <f>IF(SUMIFS(Data!$S:$S,Data!$A:$A,$B23,Data!$C:$C,I$1)=0,"",SUMIFS(Data!$S:$S,Data!$A:$A,$B23,Data!$C:$C,I$1))</f>
        <v>4.3466666666666667</v>
      </c>
      <c r="J23" s="39" t="str">
        <f>IF(SUMIFS(Data!$S:$S,Data!$A:$A,$B23,Data!$C:$C,J$1)=0,"",SUMIFS(Data!$S:$S,Data!$A:$A,$B23,Data!$C:$C,J$1))</f>
        <v/>
      </c>
      <c r="K23" s="39">
        <f>IF(SUMIFS(Data!$S:$S,Data!$A:$A,$B23,Data!$C:$C,K$1)=0,"",SUMIFS(Data!$S:$S,Data!$A:$A,$B23,Data!$C:$C,K$1))</f>
        <v>2.879375</v>
      </c>
      <c r="L23" s="39">
        <f>IF(SUMIFS(Data!$S:$S,Data!$A:$A,$B23,Data!$C:$C,L$1)=0,"",SUMIFS(Data!$S:$S,Data!$A:$A,$B23,Data!$C:$C,L$1))</f>
        <v>1.6875</v>
      </c>
      <c r="M23" s="39" t="str">
        <f>IF(SUMIFS(Data!$S:$S,Data!$A:$A,$B23,Data!$C:$C,M$1)=0,"",SUMIFS(Data!$S:$S,Data!$A:$A,$B23,Data!$C:$C,M$1))</f>
        <v/>
      </c>
      <c r="N23" s="39">
        <f>IF(SUMIFS(Data!$S:$S,Data!$A:$A,$B23,Data!$C:$C,N$1)=0,"",SUMIFS(Data!$S:$S,Data!$A:$A,$B23,Data!$C:$C,N$1))</f>
        <v>3.5</v>
      </c>
      <c r="O23" s="39">
        <f>IF(SUMIFS(Data!$S:$S,Data!$A:$A,$B23,Data!$C:$C,O$1)=0,"",SUMIFS(Data!$S:$S,Data!$A:$A,$B23,Data!$C:$C,O$1))</f>
        <v>2.8768750000000001</v>
      </c>
      <c r="P23" s="39">
        <f>IF(SUMIFS(Data!$S:$S,Data!$A:$A,$B23,Data!$C:$C,P$1)=0,"",SUMIFS(Data!$S:$S,Data!$A:$A,$B23,Data!$C:$C,P$1))</f>
        <v>1.4781249999999999</v>
      </c>
      <c r="Q23" s="39">
        <f>IF(SUMIFS(Data!$S:$S,Data!$A:$A,$B23,Data!$C:$C,Q$1)=0,"",SUMIFS(Data!$S:$S,Data!$A:$A,$B23,Data!$C:$C,Q$1))</f>
        <v>3.1875</v>
      </c>
      <c r="R23" s="39">
        <f>IF(SUMIFS(Data!$S:$S,Data!$A:$A,$B23,Data!$C:$C,R$1)=0,"",SUMIFS(Data!$S:$S,Data!$A:$A,$B23,Data!$C:$C,R$1))</f>
        <v>1.75</v>
      </c>
      <c r="S23" s="39">
        <f>IF(SUMIFS(Data!$S:$S,Data!$A:$A,$B23,Data!$C:$C,S$1)=0,"",SUMIFS(Data!$S:$S,Data!$A:$A,$B23,Data!$C:$C,S$1))</f>
        <v>2.0499999999999998</v>
      </c>
      <c r="T23" s="39">
        <f>IF(SUMIFS(Data!$S:$S,Data!$A:$A,$B23,Data!$C:$C,T$1)=0,"",SUMIFS(Data!$S:$S,Data!$A:$A,$B23,Data!$C:$C,T$1))</f>
        <v>2.1875</v>
      </c>
      <c r="U23" s="39">
        <f>IF(SUMIFS(Data!X:X,Data!A:A,'#ligaSYR'!B23)&gt;12,5,IF(SUMIFS(Data!X:X,Data!A:A,'#ligaSYR'!B23)&gt;9,3, IF(SUMIFS(Data!X:X,Data!A:A,'#ligaSYR'!B23)&gt;4,1,0)))</f>
        <v>3</v>
      </c>
      <c r="V23" s="39">
        <f t="shared" si="0"/>
        <v>45.733458333333324</v>
      </c>
      <c r="W23" s="39">
        <f>SUMIFS(Data!D:D,Data!A:A,'#ligaSYR'!B23)</f>
        <v>166.25</v>
      </c>
      <c r="X23" s="40" t="str">
        <f>IF(VLOOKUP(B23,Participanti!A:D,4,0)=0," ","New")</f>
        <v xml:space="preserve"> </v>
      </c>
      <c r="Y23" s="99">
        <f t="shared" si="1"/>
        <v>2.5321875</v>
      </c>
      <c r="Z23" s="212">
        <f t="shared" si="2"/>
        <v>13</v>
      </c>
      <c r="AA23" s="212">
        <v>6</v>
      </c>
    </row>
    <row r="24" spans="1:27" ht="13.8" x14ac:dyDescent="0.3">
      <c r="A24" s="151">
        <v>23</v>
      </c>
      <c r="B24" s="38" t="s">
        <v>202</v>
      </c>
      <c r="C24" s="39" t="str">
        <f>IF(SUMIFS(Data!$S:$S,Data!$A:$A,$B24,Data!$C:$C,C$1)=0,"",SUMIFS(Data!$S:$S,Data!$A:$A,$B24,Data!$C:$C,C$1))</f>
        <v/>
      </c>
      <c r="D24" s="39">
        <f>IF(SUMIFS(Data!$S:$S,Data!$A:$A,$B24,Data!$C:$C,D$1)=0,"",SUMIFS(Data!$S:$S,Data!$A:$A,$B24,Data!$C:$C,D$1))</f>
        <v>4</v>
      </c>
      <c r="E24" s="39">
        <f>IF(SUMIFS(Data!$S:$S,Data!$A:$A,$B24,Data!$C:$C,E$1)=0,"",SUMIFS(Data!$S:$S,Data!$A:$A,$B24,Data!$C:$C,E$1))</f>
        <v>1.5</v>
      </c>
      <c r="F24" s="39">
        <f>IF(SUMIFS(Data!$S:$S,Data!$A:$A,$B24,Data!$C:$C,F$1)=0,"",SUMIFS(Data!$S:$S,Data!$A:$A,$B24,Data!$C:$C,F$1))</f>
        <v>1.00125</v>
      </c>
      <c r="G24" s="39">
        <f>IF(SUMIFS(Data!$S:$S,Data!$A:$A,$B24,Data!$C:$C,G$1)=0,"",SUMIFS(Data!$S:$S,Data!$A:$A,$B24,Data!$C:$C,G$1))</f>
        <v>2.6331250000000002</v>
      </c>
      <c r="H24" s="39">
        <f>IF(SUMIFS(Data!$S:$S,Data!$A:$A,$B24,Data!$C:$C,H$1)=0,"",SUMIFS(Data!$S:$S,Data!$A:$A,$B24,Data!$C:$C,H$1))</f>
        <v>2.625</v>
      </c>
      <c r="I24" s="39">
        <f>IF(SUMIFS(Data!$S:$S,Data!$A:$A,$B24,Data!$C:$C,I$1)=0,"",SUMIFS(Data!$S:$S,Data!$A:$A,$B24,Data!$C:$C,I$1))</f>
        <v>1.5106250000000001</v>
      </c>
      <c r="J24" s="39">
        <f>IF(SUMIFS(Data!$S:$S,Data!$A:$A,$B24,Data!$C:$C,J$1)=0,"",SUMIFS(Data!$S:$S,Data!$A:$A,$B24,Data!$C:$C,J$1))</f>
        <v>2.1268750000000001</v>
      </c>
      <c r="K24" s="39">
        <f>IF(SUMIFS(Data!$S:$S,Data!$A:$A,$B24,Data!$C:$C,K$1)=0,"",SUMIFS(Data!$S:$S,Data!$A:$A,$B24,Data!$C:$C,K$1))</f>
        <v>1.278125</v>
      </c>
      <c r="L24" s="39">
        <f>IF(SUMIFS(Data!$S:$S,Data!$A:$A,$B24,Data!$C:$C,L$1)=0,"",SUMIFS(Data!$S:$S,Data!$A:$A,$B24,Data!$C:$C,L$1))</f>
        <v>4</v>
      </c>
      <c r="M24" s="39">
        <f>IF(SUMIFS(Data!$S:$S,Data!$A:$A,$B24,Data!$C:$C,M$1)=0,"",SUMIFS(Data!$S:$S,Data!$A:$A,$B24,Data!$C:$C,M$1))</f>
        <v>2.4375</v>
      </c>
      <c r="N24" s="39">
        <f>IF(SUMIFS(Data!$S:$S,Data!$A:$A,$B24,Data!$C:$C,N$1)=0,"",SUMIFS(Data!$S:$S,Data!$A:$A,$B24,Data!$C:$C,N$1))</f>
        <v>3.0625</v>
      </c>
      <c r="O24" s="39">
        <f>IF(SUMIFS(Data!$S:$S,Data!$A:$A,$B24,Data!$C:$C,O$1)=0,"",SUMIFS(Data!$S:$S,Data!$A:$A,$B24,Data!$C:$C,O$1))</f>
        <v>2.0318749999999999</v>
      </c>
      <c r="P24" s="39">
        <f>IF(SUMIFS(Data!$S:$S,Data!$A:$A,$B24,Data!$C:$C,P$1)=0,"",SUMIFS(Data!$S:$S,Data!$A:$A,$B24,Data!$C:$C,P$1))</f>
        <v>1.6945833333333336</v>
      </c>
      <c r="Q24" s="39">
        <f>IF(SUMIFS(Data!$S:$S,Data!$A:$A,$B24,Data!$C:$C,Q$1)=0,"",SUMIFS(Data!$S:$S,Data!$A:$A,$B24,Data!$C:$C,Q$1))</f>
        <v>1.4275</v>
      </c>
      <c r="R24" s="39">
        <f>IF(SUMIFS(Data!$S:$S,Data!$A:$A,$B24,Data!$C:$C,R$1)=0,"",SUMIFS(Data!$S:$S,Data!$A:$A,$B24,Data!$C:$C,R$1))</f>
        <v>1.2818749999999999</v>
      </c>
      <c r="S24" s="39">
        <f>IF(SUMIFS(Data!$S:$S,Data!$A:$A,$B24,Data!$C:$C,S$1)=0,"",SUMIFS(Data!$S:$S,Data!$A:$A,$B24,Data!$C:$C,S$1))</f>
        <v>3.25</v>
      </c>
      <c r="T24" s="39">
        <f>IF(SUMIFS(Data!$S:$S,Data!$A:$A,$B24,Data!$C:$C,T$1)=0,"",SUMIFS(Data!$S:$S,Data!$A:$A,$B24,Data!$C:$C,T$1))</f>
        <v>3.875</v>
      </c>
      <c r="U24" s="39">
        <f>IF(SUMIFS(Data!X:X,Data!A:A,'#ligaSYR'!B24)&gt;12,5,IF(SUMIFS(Data!X:X,Data!A:A,'#ligaSYR'!B24)&gt;9,3, IF(SUMIFS(Data!X:X,Data!A:A,'#ligaSYR'!B24)&gt;4,1,0)))</f>
        <v>5</v>
      </c>
      <c r="V24" s="39">
        <f t="shared" si="0"/>
        <v>44.735833333333332</v>
      </c>
      <c r="W24" s="39">
        <f>SUMIFS(Data!D:D,Data!A:A,'#ligaSYR'!B24)</f>
        <v>126.67</v>
      </c>
      <c r="X24" s="40" t="str">
        <f>IF(VLOOKUP(B24,Participanti!A:D,4,0)=0," ","New")</f>
        <v xml:space="preserve"> </v>
      </c>
      <c r="Y24" s="99">
        <f t="shared" si="1"/>
        <v>2.1268750000000001</v>
      </c>
      <c r="Z24" s="212">
        <f t="shared" si="2"/>
        <v>14</v>
      </c>
      <c r="AA24" s="212">
        <v>5</v>
      </c>
    </row>
    <row r="25" spans="1:27" ht="13.8" x14ac:dyDescent="0.3">
      <c r="A25" s="151">
        <v>24</v>
      </c>
      <c r="B25" s="38" t="s">
        <v>50</v>
      </c>
      <c r="C25" s="39">
        <f>IF(SUMIFS(Data!$S:$S,Data!$A:$A,$B25,Data!$C:$C,C$1)=0,"",SUMIFS(Data!$S:$S,Data!$A:$A,$B25,Data!$C:$C,C$1))</f>
        <v>2.4097142857142857</v>
      </c>
      <c r="D25" s="39">
        <f>IF(SUMIFS(Data!$S:$S,Data!$A:$A,$B25,Data!$C:$C,D$1)=0,"",SUMIFS(Data!$S:$S,Data!$A:$A,$B25,Data!$C:$C,D$1))</f>
        <v>4.7666666666666666</v>
      </c>
      <c r="E25" s="39" t="str">
        <f>IF(SUMIFS(Data!$S:$S,Data!$A:$A,$B25,Data!$C:$C,E$1)=0,"",SUMIFS(Data!$S:$S,Data!$A:$A,$B25,Data!$C:$C,E$1))</f>
        <v/>
      </c>
      <c r="F25" s="39">
        <f>IF(SUMIFS(Data!$S:$S,Data!$A:$A,$B25,Data!$C:$C,F$1)=0,"",SUMIFS(Data!$S:$S,Data!$A:$A,$B25,Data!$C:$C,F$1))</f>
        <v>1.5</v>
      </c>
      <c r="G25" s="39" t="str">
        <f>IF(SUMIFS(Data!$S:$S,Data!$A:$A,$B25,Data!$C:$C,G$1)=0,"",SUMIFS(Data!$S:$S,Data!$A:$A,$B25,Data!$C:$C,G$1))</f>
        <v/>
      </c>
      <c r="H25" s="39">
        <f>IF(SUMIFS(Data!$S:$S,Data!$A:$A,$B25,Data!$C:$C,H$1)=0,"",SUMIFS(Data!$S:$S,Data!$A:$A,$B25,Data!$C:$C,H$1))</f>
        <v>1.4375</v>
      </c>
      <c r="I25" s="39">
        <f>IF(SUMIFS(Data!$S:$S,Data!$A:$A,$B25,Data!$C:$C,I$1)=0,"",SUMIFS(Data!$S:$S,Data!$A:$A,$B25,Data!$C:$C,I$1))</f>
        <v>2.9938095238095239</v>
      </c>
      <c r="J25" s="39">
        <f>IF(SUMIFS(Data!$S:$S,Data!$A:$A,$B25,Data!$C:$C,J$1)=0,"",SUMIFS(Data!$S:$S,Data!$A:$A,$B25,Data!$C:$C,J$1))</f>
        <v>3.2015714285714285</v>
      </c>
      <c r="K25" s="39">
        <f>IF(SUMIFS(Data!$S:$S,Data!$A:$A,$B25,Data!$C:$C,K$1)=0,"",SUMIFS(Data!$S:$S,Data!$A:$A,$B25,Data!$C:$C,K$1))</f>
        <v>2.3249285714285715</v>
      </c>
      <c r="L25" s="39">
        <f>IF(SUMIFS(Data!$S:$S,Data!$A:$A,$B25,Data!$C:$C,L$1)=0,"",SUMIFS(Data!$S:$S,Data!$A:$A,$B25,Data!$C:$C,L$1))</f>
        <v>2.2285714285714286</v>
      </c>
      <c r="M25" s="39">
        <f>IF(SUMIFS(Data!$S:$S,Data!$A:$A,$B25,Data!$C:$C,M$1)=0,"",SUMIFS(Data!$S:$S,Data!$A:$A,$B25,Data!$C:$C,M$1))</f>
        <v>1.871690476190476</v>
      </c>
      <c r="N25" s="39">
        <f>IF(SUMIFS(Data!$S:$S,Data!$A:$A,$B25,Data!$C:$C,N$1)=0,"",SUMIFS(Data!$S:$S,Data!$A:$A,$B25,Data!$C:$C,N$1))</f>
        <v>3.0625</v>
      </c>
      <c r="O25" s="39">
        <f>IF(SUMIFS(Data!$S:$S,Data!$A:$A,$B25,Data!$C:$C,O$1)=0,"",SUMIFS(Data!$S:$S,Data!$A:$A,$B25,Data!$C:$C,O$1))</f>
        <v>3.0216428571428571</v>
      </c>
      <c r="P25" s="39">
        <f>IF(SUMIFS(Data!$S:$S,Data!$A:$A,$B25,Data!$C:$C,P$1)=0,"",SUMIFS(Data!$S:$S,Data!$A:$A,$B25,Data!$C:$C,P$1))</f>
        <v>1.286357142857143</v>
      </c>
      <c r="Q25" s="39">
        <f>IF(SUMIFS(Data!$S:$S,Data!$A:$A,$B25,Data!$C:$C,Q$1)=0,"",SUMIFS(Data!$S:$S,Data!$A:$A,$B25,Data!$C:$C,Q$1))</f>
        <v>2.9310476190476189</v>
      </c>
      <c r="R25" s="39">
        <f>IF(SUMIFS(Data!$S:$S,Data!$A:$A,$B25,Data!$C:$C,R$1)=0,"",SUMIFS(Data!$S:$S,Data!$A:$A,$B25,Data!$C:$C,R$1))</f>
        <v>1.930047619047619</v>
      </c>
      <c r="S25" s="39">
        <f>IF(SUMIFS(Data!$S:$S,Data!$A:$A,$B25,Data!$C:$C,S$1)=0,"",SUMIFS(Data!$S:$S,Data!$A:$A,$B25,Data!$C:$C,S$1))</f>
        <v>1.6012380952380951</v>
      </c>
      <c r="T25" s="39">
        <f>IF(SUMIFS(Data!$S:$S,Data!$A:$A,$B25,Data!$C:$C,T$1)=0,"",SUMIFS(Data!$S:$S,Data!$A:$A,$B25,Data!$C:$C,T$1))</f>
        <v>3.1875</v>
      </c>
      <c r="U25" s="39">
        <f>IF(SUMIFS(Data!X:X,Data!A:A,'#ligaSYR'!B25)&gt;12,5,IF(SUMIFS(Data!X:X,Data!A:A,'#ligaSYR'!B25)&gt;9,3, IF(SUMIFS(Data!X:X,Data!A:A,'#ligaSYR'!B25)&gt;4,1,0)))</f>
        <v>3</v>
      </c>
      <c r="V25" s="39">
        <f t="shared" si="0"/>
        <v>42.754785714285717</v>
      </c>
      <c r="W25" s="39">
        <f>SUMIFS(Data!D:D,Data!A:A,'#ligaSYR'!B25)</f>
        <v>145.35</v>
      </c>
      <c r="X25" s="40" t="str">
        <f>IF(VLOOKUP(B25,Participanti!A:D,4,0)=0," ","New")</f>
        <v xml:space="preserve"> </v>
      </c>
      <c r="Y25" s="99">
        <f t="shared" si="1"/>
        <v>2.3673214285714286</v>
      </c>
      <c r="Z25" s="212">
        <f t="shared" si="2"/>
        <v>13</v>
      </c>
      <c r="AA25" s="212">
        <v>4</v>
      </c>
    </row>
    <row r="26" spans="1:27" ht="13.8" x14ac:dyDescent="0.3">
      <c r="A26" s="151">
        <v>25</v>
      </c>
      <c r="B26" s="38" t="s">
        <v>66</v>
      </c>
      <c r="C26" s="39">
        <f>IF(SUMIFS(Data!$S:$S,Data!$A:$A,$B26,Data!$C:$C,C$1)=0,"",SUMIFS(Data!$S:$S,Data!$A:$A,$B26,Data!$C:$C,C$1))</f>
        <v>1.881875</v>
      </c>
      <c r="D26" s="39">
        <f>IF(SUMIFS(Data!$S:$S,Data!$A:$A,$B26,Data!$C:$C,D$1)=0,"",SUMIFS(Data!$S:$S,Data!$A:$A,$B26,Data!$C:$C,D$1))</f>
        <v>1.9512499999999999</v>
      </c>
      <c r="E26" s="39">
        <f>IF(SUMIFS(Data!$S:$S,Data!$A:$A,$B26,Data!$C:$C,E$1)=0,"",SUMIFS(Data!$S:$S,Data!$A:$A,$B26,Data!$C:$C,E$1))</f>
        <v>2.2018750000000002</v>
      </c>
      <c r="F26" s="39">
        <f>IF(SUMIFS(Data!$S:$S,Data!$A:$A,$B26,Data!$C:$C,F$1)=0,"",SUMIFS(Data!$S:$S,Data!$A:$A,$B26,Data!$C:$C,F$1))</f>
        <v>1.9512499999999999</v>
      </c>
      <c r="G26" s="39">
        <f>IF(SUMIFS(Data!$S:$S,Data!$A:$A,$B26,Data!$C:$C,G$1)=0,"",SUMIFS(Data!$S:$S,Data!$A:$A,$B26,Data!$C:$C,G$1))</f>
        <v>2.4518750000000002</v>
      </c>
      <c r="H26" s="39">
        <f>IF(SUMIFS(Data!$S:$S,Data!$A:$A,$B26,Data!$C:$C,H$1)=0,"",SUMIFS(Data!$S:$S,Data!$A:$A,$B26,Data!$C:$C,H$1))</f>
        <v>3</v>
      </c>
      <c r="I26" s="39" t="str">
        <f>IF(SUMIFS(Data!$S:$S,Data!$A:$A,$B26,Data!$C:$C,I$1)=0,"",SUMIFS(Data!$S:$S,Data!$A:$A,$B26,Data!$C:$C,I$1))</f>
        <v/>
      </c>
      <c r="J26" s="39">
        <f>IF(SUMIFS(Data!$S:$S,Data!$A:$A,$B26,Data!$C:$C,J$1)=0,"",SUMIFS(Data!$S:$S,Data!$A:$A,$B26,Data!$C:$C,J$1))</f>
        <v>2.8250000000000002</v>
      </c>
      <c r="K26" s="39">
        <f>IF(SUMIFS(Data!$S:$S,Data!$A:$A,$B26,Data!$C:$C,K$1)=0,"",SUMIFS(Data!$S:$S,Data!$A:$A,$B26,Data!$C:$C,K$1))</f>
        <v>1.95</v>
      </c>
      <c r="L26" s="39">
        <f>IF(SUMIFS(Data!$S:$S,Data!$A:$A,$B26,Data!$C:$C,L$1)=0,"",SUMIFS(Data!$S:$S,Data!$A:$A,$B26,Data!$C:$C,L$1))</f>
        <v>2.4612499999999997</v>
      </c>
      <c r="M26" s="39">
        <f>IF(SUMIFS(Data!$S:$S,Data!$A:$A,$B26,Data!$C:$C,M$1)=0,"",SUMIFS(Data!$S:$S,Data!$A:$A,$B26,Data!$C:$C,M$1))</f>
        <v>1.9568749999999999</v>
      </c>
      <c r="N26" s="39">
        <f>IF(SUMIFS(Data!$S:$S,Data!$A:$A,$B26,Data!$C:$C,N$1)=0,"",SUMIFS(Data!$S:$S,Data!$A:$A,$B26,Data!$C:$C,N$1))</f>
        <v>2.625</v>
      </c>
      <c r="O26" s="39">
        <f>IF(SUMIFS(Data!$S:$S,Data!$A:$A,$B26,Data!$C:$C,O$1)=0,"",SUMIFS(Data!$S:$S,Data!$A:$A,$B26,Data!$C:$C,O$1))</f>
        <v>2.4743750000000002</v>
      </c>
      <c r="P26" s="39" t="str">
        <f>IF(SUMIFS(Data!$S:$S,Data!$A:$A,$B26,Data!$C:$C,P$1)=0,"",SUMIFS(Data!$S:$S,Data!$A:$A,$B26,Data!$C:$C,P$1))</f>
        <v/>
      </c>
      <c r="Q26" s="39">
        <f>IF(SUMIFS(Data!$S:$S,Data!$A:$A,$B26,Data!$C:$C,Q$1)=0,"",SUMIFS(Data!$S:$S,Data!$A:$A,$B26,Data!$C:$C,Q$1))</f>
        <v>2.4612499999999997</v>
      </c>
      <c r="R26" s="39">
        <f>IF(SUMIFS(Data!$S:$S,Data!$A:$A,$B26,Data!$C:$C,R$1)=0,"",SUMIFS(Data!$S:$S,Data!$A:$A,$B26,Data!$C:$C,R$1))</f>
        <v>1.96875</v>
      </c>
      <c r="S26" s="39">
        <f>IF(SUMIFS(Data!$S:$S,Data!$A:$A,$B26,Data!$C:$C,S$1)=0,"",SUMIFS(Data!$S:$S,Data!$A:$A,$B26,Data!$C:$C,S$1))</f>
        <v>2.4500000000000002</v>
      </c>
      <c r="T26" s="39">
        <f>IF(SUMIFS(Data!$S:$S,Data!$A:$A,$B26,Data!$C:$C,T$1)=0,"",SUMIFS(Data!$S:$S,Data!$A:$A,$B26,Data!$C:$C,T$1))</f>
        <v>2.1875</v>
      </c>
      <c r="U26" s="39">
        <f>IF(SUMIFS(Data!X:X,Data!A:A,'#ligaSYR'!B26)&gt;12,5,IF(SUMIFS(Data!X:X,Data!A:A,'#ligaSYR'!B26)&gt;9,3, IF(SUMIFS(Data!X:X,Data!A:A,'#ligaSYR'!B26)&gt;4,1,0)))</f>
        <v>3</v>
      </c>
      <c r="V26" s="39">
        <f t="shared" si="0"/>
        <v>39.798124999999999</v>
      </c>
      <c r="W26" s="39">
        <f>SUMIFS(Data!D:D,Data!A:A,'#ligaSYR'!B26)</f>
        <v>105.69</v>
      </c>
      <c r="X26" s="40" t="str">
        <f>IF(VLOOKUP(B26,Participanti!A:D,4,0)=0," ","New")</f>
        <v xml:space="preserve"> </v>
      </c>
      <c r="Y26" s="99">
        <f t="shared" si="1"/>
        <v>2.3259375000000002</v>
      </c>
      <c r="Z26" s="212">
        <f t="shared" si="2"/>
        <v>13</v>
      </c>
      <c r="AA26" s="212">
        <v>3</v>
      </c>
    </row>
    <row r="27" spans="1:27" ht="13.8" x14ac:dyDescent="0.3">
      <c r="A27" s="151">
        <v>26</v>
      </c>
      <c r="B27" s="38" t="s">
        <v>117</v>
      </c>
      <c r="C27" s="39">
        <f>IF(SUMIFS(Data!$S:$S,Data!$A:$A,$B27,Data!$C:$C,C$1)=0,"",SUMIFS(Data!$S:$S,Data!$A:$A,$B27,Data!$C:$C,C$1))</f>
        <v>1.1428571428571428</v>
      </c>
      <c r="D27" s="39">
        <f>IF(SUMIFS(Data!$S:$S,Data!$A:$A,$B27,Data!$C:$C,D$1)=0,"",SUMIFS(Data!$S:$S,Data!$A:$A,$B27,Data!$C:$C,D$1))</f>
        <v>1.5</v>
      </c>
      <c r="E27" s="39">
        <f>IF(SUMIFS(Data!$S:$S,Data!$A:$A,$B27,Data!$C:$C,E$1)=0,"",SUMIFS(Data!$S:$S,Data!$A:$A,$B27,Data!$C:$C,E$1))</f>
        <v>1.4232142857142858</v>
      </c>
      <c r="F27" s="39">
        <f>IF(SUMIFS(Data!$S:$S,Data!$A:$A,$B27,Data!$C:$C,F$1)=0,"",SUMIFS(Data!$S:$S,Data!$A:$A,$B27,Data!$C:$C,F$1))</f>
        <v>2.8892857142857142</v>
      </c>
      <c r="G27" s="39" t="str">
        <f>IF(SUMIFS(Data!$S:$S,Data!$A:$A,$B27,Data!$C:$C,G$1)=0,"",SUMIFS(Data!$S:$S,Data!$A:$A,$B27,Data!$C:$C,G$1))</f>
        <v/>
      </c>
      <c r="H27" s="39">
        <f>IF(SUMIFS(Data!$S:$S,Data!$A:$A,$B27,Data!$C:$C,H$1)=0,"",SUMIFS(Data!$S:$S,Data!$A:$A,$B27,Data!$C:$C,H$1))</f>
        <v>1.8125</v>
      </c>
      <c r="I27" s="39">
        <f>IF(SUMIFS(Data!$S:$S,Data!$A:$A,$B27,Data!$C:$C,I$1)=0,"",SUMIFS(Data!$S:$S,Data!$A:$A,$B27,Data!$C:$C,I$1))</f>
        <v>1.7976190476190477</v>
      </c>
      <c r="J27" s="39">
        <f>IF(SUMIFS(Data!$S:$S,Data!$A:$A,$B27,Data!$C:$C,J$1)=0,"",SUMIFS(Data!$S:$S,Data!$A:$A,$B27,Data!$C:$C,J$1))</f>
        <v>1.7446428571428569</v>
      </c>
      <c r="K27" s="39">
        <f>IF(SUMIFS(Data!$S:$S,Data!$A:$A,$B27,Data!$C:$C,K$1)=0,"",SUMIFS(Data!$S:$S,Data!$A:$A,$B27,Data!$C:$C,K$1))</f>
        <v>4.125</v>
      </c>
      <c r="L27" s="39">
        <f>IF(SUMIFS(Data!$S:$S,Data!$A:$A,$B27,Data!$C:$C,L$1)=0,"",SUMIFS(Data!$S:$S,Data!$A:$A,$B27,Data!$C:$C,L$1))</f>
        <v>2.1642857142857141</v>
      </c>
      <c r="M27" s="39">
        <f>IF(SUMIFS(Data!$S:$S,Data!$A:$A,$B27,Data!$C:$C,M$1)=0,"",SUMIFS(Data!$S:$S,Data!$A:$A,$B27,Data!$C:$C,M$1))</f>
        <v>4.0366666666666671</v>
      </c>
      <c r="N27" s="39">
        <f>IF(SUMIFS(Data!$S:$S,Data!$A:$A,$B27,Data!$C:$C,N$1)=0,"",SUMIFS(Data!$S:$S,Data!$A:$A,$B27,Data!$C:$C,N$1))</f>
        <v>1.1875</v>
      </c>
      <c r="O27" s="39">
        <f>IF(SUMIFS(Data!$S:$S,Data!$A:$A,$B27,Data!$C:$C,O$1)=0,"",SUMIFS(Data!$S:$S,Data!$A:$A,$B27,Data!$C:$C,O$1))</f>
        <v>2.0553571428571429</v>
      </c>
      <c r="P27" s="39">
        <f>IF(SUMIFS(Data!$S:$S,Data!$A:$A,$B27,Data!$C:$C,P$1)=0,"",SUMIFS(Data!$S:$S,Data!$A:$A,$B27,Data!$C:$C,P$1))</f>
        <v>2.183928571428571</v>
      </c>
      <c r="Q27" s="39" t="str">
        <f>IF(SUMIFS(Data!$S:$S,Data!$A:$A,$B27,Data!$C:$C,Q$1)=0,"",SUMIFS(Data!$S:$S,Data!$A:$A,$B27,Data!$C:$C,Q$1))</f>
        <v/>
      </c>
      <c r="R27" s="39">
        <f>IF(SUMIFS(Data!$S:$S,Data!$A:$A,$B27,Data!$C:$C,R$1)=0,"",SUMIFS(Data!$S:$S,Data!$A:$A,$B27,Data!$C:$C,R$1))</f>
        <v>1.5464285714285715</v>
      </c>
      <c r="S27" s="39">
        <f>IF(SUMIFS(Data!$S:$S,Data!$A:$A,$B27,Data!$C:$C,S$1)=0,"",SUMIFS(Data!$S:$S,Data!$A:$A,$B27,Data!$C:$C,S$1))</f>
        <v>2.0345238095238094</v>
      </c>
      <c r="T27" s="39">
        <f>IF(SUMIFS(Data!$S:$S,Data!$A:$A,$B27,Data!$C:$C,T$1)=0,"",SUMIFS(Data!$S:$S,Data!$A:$A,$B27,Data!$C:$C,T$1))</f>
        <v>3.25</v>
      </c>
      <c r="U27" s="39">
        <f>IF(SUMIFS(Data!X:X,Data!A:A,'#ligaSYR'!B27)&gt;12,5,IF(SUMIFS(Data!X:X,Data!A:A,'#ligaSYR'!B27)&gt;9,3, IF(SUMIFS(Data!X:X,Data!A:A,'#ligaSYR'!B27)&gt;4,1,0)))</f>
        <v>3</v>
      </c>
      <c r="V27" s="39">
        <f t="shared" si="0"/>
        <v>37.893809523809523</v>
      </c>
      <c r="W27" s="39">
        <f>SUMIFS(Data!D:D,Data!A:A,'#ligaSYR'!B27)</f>
        <v>122.15</v>
      </c>
      <c r="X27" s="40" t="str">
        <f>IF(VLOOKUP(B27,Participanti!A:D,4,0)=0," ","New")</f>
        <v xml:space="preserve"> </v>
      </c>
      <c r="Y27" s="99">
        <f t="shared" si="1"/>
        <v>1.9235119047619047</v>
      </c>
      <c r="Z27" s="212">
        <f t="shared" si="2"/>
        <v>13</v>
      </c>
      <c r="AA27" s="212">
        <v>2</v>
      </c>
    </row>
    <row r="28" spans="1:27" ht="13.8" x14ac:dyDescent="0.3">
      <c r="A28" s="151">
        <v>27</v>
      </c>
      <c r="B28" s="38" t="s">
        <v>241</v>
      </c>
      <c r="C28" s="39">
        <f>IF(SUMIFS(Data!$S:$S,Data!$A:$A,$B28,Data!$C:$C,C$1)=0,"",SUMIFS(Data!$S:$S,Data!$A:$A,$B28,Data!$C:$C,C$1))</f>
        <v>2.2285714285714286</v>
      </c>
      <c r="D28" s="39">
        <f>IF(SUMIFS(Data!$S:$S,Data!$A:$A,$B28,Data!$C:$C,D$1)=0,"",SUMIFS(Data!$S:$S,Data!$A:$A,$B28,Data!$C:$C,D$1))</f>
        <v>3.8339285714285714</v>
      </c>
      <c r="E28" s="39">
        <f>IF(SUMIFS(Data!$S:$S,Data!$A:$A,$B28,Data!$C:$C,E$1)=0,"",SUMIFS(Data!$S:$S,Data!$A:$A,$B28,Data!$C:$C,E$1))</f>
        <v>4.75</v>
      </c>
      <c r="F28" s="39">
        <f>IF(SUMIFS(Data!$S:$S,Data!$A:$A,$B28,Data!$C:$C,F$1)=0,"",SUMIFS(Data!$S:$S,Data!$A:$A,$B28,Data!$C:$C,F$1))</f>
        <v>3.7333333333333334</v>
      </c>
      <c r="G28" s="39">
        <f>IF(SUMIFS(Data!$S:$S,Data!$A:$A,$B28,Data!$C:$C,G$1)=0,"",SUMIFS(Data!$S:$S,Data!$A:$A,$B28,Data!$C:$C,G$1))</f>
        <v>2.5375000000000001</v>
      </c>
      <c r="H28" s="39">
        <f>IF(SUMIFS(Data!$S:$S,Data!$A:$A,$B28,Data!$C:$C,H$1)=0,"",SUMIFS(Data!$S:$S,Data!$A:$A,$B28,Data!$C:$C,H$1))</f>
        <v>0.625</v>
      </c>
      <c r="I28" s="39" t="str">
        <f>IF(SUMIFS(Data!$S:$S,Data!$A:$A,$B28,Data!$C:$C,I$1)=0,"",SUMIFS(Data!$S:$S,Data!$A:$A,$B28,Data!$C:$C,I$1))</f>
        <v/>
      </c>
      <c r="J28" s="39">
        <f>IF(SUMIFS(Data!$S:$S,Data!$A:$A,$B28,Data!$C:$C,J$1)=0,"",SUMIFS(Data!$S:$S,Data!$A:$A,$B28,Data!$C:$C,J$1))</f>
        <v>2.8607142857142858</v>
      </c>
      <c r="K28" s="39" t="str">
        <f>IF(SUMIFS(Data!$S:$S,Data!$A:$A,$B28,Data!$C:$C,K$1)=0,"",SUMIFS(Data!$S:$S,Data!$A:$A,$B28,Data!$C:$C,K$1))</f>
        <v/>
      </c>
      <c r="L28" s="39">
        <f>IF(SUMIFS(Data!$S:$S,Data!$A:$A,$B28,Data!$C:$C,L$1)=0,"",SUMIFS(Data!$S:$S,Data!$A:$A,$B28,Data!$C:$C,L$1))</f>
        <v>2.9375</v>
      </c>
      <c r="M28" s="39">
        <f>IF(SUMIFS(Data!$S:$S,Data!$A:$A,$B28,Data!$C:$C,M$1)=0,"",SUMIFS(Data!$S:$S,Data!$A:$A,$B28,Data!$C:$C,M$1))</f>
        <v>2.5416666666666665</v>
      </c>
      <c r="N28" s="39">
        <f>IF(SUMIFS(Data!$S:$S,Data!$A:$A,$B28,Data!$C:$C,N$1)=0,"",SUMIFS(Data!$S:$S,Data!$A:$A,$B28,Data!$C:$C,N$1))</f>
        <v>0.75</v>
      </c>
      <c r="O28" s="39">
        <f>IF(SUMIFS(Data!$S:$S,Data!$A:$A,$B28,Data!$C:$C,O$1)=0,"",SUMIFS(Data!$S:$S,Data!$A:$A,$B28,Data!$C:$C,O$1))</f>
        <v>4.25</v>
      </c>
      <c r="P28" s="39">
        <f>IF(SUMIFS(Data!$S:$S,Data!$A:$A,$B28,Data!$C:$C,P$1)=0,"",SUMIFS(Data!$S:$S,Data!$A:$A,$B28,Data!$C:$C,P$1))</f>
        <v>2.8875000000000002</v>
      </c>
      <c r="Q28" s="39" t="str">
        <f>IF(SUMIFS(Data!$S:$S,Data!$A:$A,$B28,Data!$C:$C,Q$1)=0,"",SUMIFS(Data!$S:$S,Data!$A:$A,$B28,Data!$C:$C,Q$1))</f>
        <v/>
      </c>
      <c r="R28" s="39" t="str">
        <f>IF(SUMIFS(Data!$S:$S,Data!$A:$A,$B28,Data!$C:$C,R$1)=0,"",SUMIFS(Data!$S:$S,Data!$A:$A,$B28,Data!$C:$C,R$1))</f>
        <v/>
      </c>
      <c r="S28" s="39" t="str">
        <f>IF(SUMIFS(Data!$S:$S,Data!$A:$A,$B28,Data!$C:$C,S$1)=0,"",SUMIFS(Data!$S:$S,Data!$A:$A,$B28,Data!$C:$C,S$1))</f>
        <v/>
      </c>
      <c r="T28" s="39">
        <f>IF(SUMIFS(Data!$S:$S,Data!$A:$A,$B28,Data!$C:$C,T$1)=0,"",SUMIFS(Data!$S:$S,Data!$A:$A,$B28,Data!$C:$C,T$1))</f>
        <v>0.8125</v>
      </c>
      <c r="U28" s="39">
        <f>IF(SUMIFS(Data!X:X,Data!A:A,'#ligaSYR'!B28)&gt;12,5,IF(SUMIFS(Data!X:X,Data!A:A,'#ligaSYR'!B28)&gt;9,3, IF(SUMIFS(Data!X:X,Data!A:A,'#ligaSYR'!B28)&gt;4,1,0)))</f>
        <v>3</v>
      </c>
      <c r="V28" s="39">
        <f t="shared" si="0"/>
        <v>37.74821428571429</v>
      </c>
      <c r="W28" s="39">
        <f>SUMIFS(Data!D:D,Data!A:A,'#ligaSYR'!B28)</f>
        <v>133.35999999999999</v>
      </c>
      <c r="X28" s="40" t="str">
        <f>IF(VLOOKUP(B28,Participanti!A:D,4,0)=0," ","New")</f>
        <v>New</v>
      </c>
      <c r="Y28" s="99">
        <f t="shared" si="1"/>
        <v>2.8607142857142858</v>
      </c>
      <c r="Z28" s="212">
        <f t="shared" si="2"/>
        <v>10</v>
      </c>
      <c r="AA28" s="212">
        <v>1</v>
      </c>
    </row>
    <row r="29" spans="1:27" ht="13.8" x14ac:dyDescent="0.3">
      <c r="A29" s="151">
        <v>28</v>
      </c>
      <c r="B29" s="38" t="s">
        <v>52</v>
      </c>
      <c r="C29" s="39" t="str">
        <f>IF(SUMIFS(Data!$S:$S,Data!$A:$A,$B29,Data!$C:$C,C$1)=0,"",SUMIFS(Data!$S:$S,Data!$A:$A,$B29,Data!$C:$C,C$1))</f>
        <v/>
      </c>
      <c r="D29" s="39">
        <f>IF(SUMIFS(Data!$S:$S,Data!$A:$A,$B29,Data!$C:$C,D$1)=0,"",SUMIFS(Data!$S:$S,Data!$A:$A,$B29,Data!$C:$C,D$1))</f>
        <v>4.125</v>
      </c>
      <c r="E29" s="39">
        <f>IF(SUMIFS(Data!$S:$S,Data!$A:$A,$B29,Data!$C:$C,E$1)=0,"",SUMIFS(Data!$S:$S,Data!$A:$A,$B29,Data!$C:$C,E$1))</f>
        <v>4.1636666666666668</v>
      </c>
      <c r="F29" s="39" t="str">
        <f>IF(SUMIFS(Data!$S:$S,Data!$A:$A,$B29,Data!$C:$C,F$1)=0,"",SUMIFS(Data!$S:$S,Data!$A:$A,$B29,Data!$C:$C,F$1))</f>
        <v/>
      </c>
      <c r="G29" s="39" t="str">
        <f>IF(SUMIFS(Data!$S:$S,Data!$A:$A,$B29,Data!$C:$C,G$1)=0,"",SUMIFS(Data!$S:$S,Data!$A:$A,$B29,Data!$C:$C,G$1))</f>
        <v/>
      </c>
      <c r="H29" s="39">
        <f>IF(SUMIFS(Data!$S:$S,Data!$A:$A,$B29,Data!$C:$C,H$1)=0,"",SUMIFS(Data!$S:$S,Data!$A:$A,$B29,Data!$C:$C,H$1))</f>
        <v>2.0625</v>
      </c>
      <c r="I29" s="39">
        <f>IF(SUMIFS(Data!$S:$S,Data!$A:$A,$B29,Data!$C:$C,I$1)=0,"",SUMIFS(Data!$S:$S,Data!$A:$A,$B29,Data!$C:$C,I$1))</f>
        <v>2.105952380952381</v>
      </c>
      <c r="J29" s="39">
        <f>IF(SUMIFS(Data!$S:$S,Data!$A:$A,$B29,Data!$C:$C,J$1)=0,"",SUMIFS(Data!$S:$S,Data!$A:$A,$B29,Data!$C:$C,J$1))</f>
        <v>4.4776904761904763</v>
      </c>
      <c r="K29" s="39">
        <f>IF(SUMIFS(Data!$S:$S,Data!$A:$A,$B29,Data!$C:$C,K$1)=0,"",SUMIFS(Data!$S:$S,Data!$A:$A,$B29,Data!$C:$C,K$1))</f>
        <v>1.7446428571428572</v>
      </c>
      <c r="L29" s="39">
        <f>IF(SUMIFS(Data!$S:$S,Data!$A:$A,$B29,Data!$C:$C,L$1)=0,"",SUMIFS(Data!$S:$S,Data!$A:$A,$B29,Data!$C:$C,L$1))</f>
        <v>3.9743095238095232</v>
      </c>
      <c r="M29" s="39">
        <f>IF(SUMIFS(Data!$S:$S,Data!$A:$A,$B29,Data!$C:$C,M$1)=0,"",SUMIFS(Data!$S:$S,Data!$A:$A,$B29,Data!$C:$C,M$1))</f>
        <v>2.230952380952381</v>
      </c>
      <c r="N29" s="39">
        <f>IF(SUMIFS(Data!$S:$S,Data!$A:$A,$B29,Data!$C:$C,N$1)=0,"",SUMIFS(Data!$S:$S,Data!$A:$A,$B29,Data!$C:$C,N$1))</f>
        <v>1.0625</v>
      </c>
      <c r="O29" s="39">
        <f>IF(SUMIFS(Data!$S:$S,Data!$A:$A,$B29,Data!$C:$C,O$1)=0,"",SUMIFS(Data!$S:$S,Data!$A:$A,$B29,Data!$C:$C,O$1))</f>
        <v>2.5589285714285714</v>
      </c>
      <c r="P29" s="39">
        <f>IF(SUMIFS(Data!$S:$S,Data!$A:$A,$B29,Data!$C:$C,P$1)=0,"",SUMIFS(Data!$S:$S,Data!$A:$A,$B29,Data!$C:$C,P$1))</f>
        <v>2.0309523809523808</v>
      </c>
      <c r="Q29" s="39" t="str">
        <f>IF(SUMIFS(Data!$S:$S,Data!$A:$A,$B29,Data!$C:$C,Q$1)=0,"",SUMIFS(Data!$S:$S,Data!$A:$A,$B29,Data!$C:$C,Q$1))</f>
        <v/>
      </c>
      <c r="R29" s="39" t="str">
        <f>IF(SUMIFS(Data!$S:$S,Data!$A:$A,$B29,Data!$C:$C,R$1)=0,"",SUMIFS(Data!$S:$S,Data!$A:$A,$B29,Data!$C:$C,R$1))</f>
        <v/>
      </c>
      <c r="S29" s="39" t="str">
        <f>IF(SUMIFS(Data!$S:$S,Data!$A:$A,$B29,Data!$C:$C,S$1)=0,"",SUMIFS(Data!$S:$S,Data!$A:$A,$B29,Data!$C:$C,S$1))</f>
        <v/>
      </c>
      <c r="T29" s="39">
        <f>IF(SUMIFS(Data!$S:$S,Data!$A:$A,$B29,Data!$C:$C,T$1)=0,"",SUMIFS(Data!$S:$S,Data!$A:$A,$B29,Data!$C:$C,T$1))</f>
        <v>1.6875</v>
      </c>
      <c r="U29" s="39">
        <f>IF(SUMIFS(Data!X:X,Data!A:A,'#ligaSYR'!B29)&gt;12,5,IF(SUMIFS(Data!X:X,Data!A:A,'#ligaSYR'!B29)&gt;9,3, IF(SUMIFS(Data!X:X,Data!A:A,'#ligaSYR'!B29)&gt;4,1,0)))</f>
        <v>1</v>
      </c>
      <c r="V29" s="39">
        <f t="shared" si="0"/>
        <v>33.22459523809524</v>
      </c>
      <c r="W29" s="39">
        <f>SUMIFS(Data!D:D,Data!A:A,'#ligaSYR'!B29)</f>
        <v>142.10000000000002</v>
      </c>
      <c r="X29" s="40" t="str">
        <f>IF(VLOOKUP(B29,Participanti!A:D,4,0)=0," ","New")</f>
        <v xml:space="preserve"> </v>
      </c>
      <c r="Y29" s="99">
        <f t="shared" si="1"/>
        <v>2.168452380952381</v>
      </c>
      <c r="Z29" s="212">
        <f t="shared" si="2"/>
        <v>9</v>
      </c>
      <c r="AA29" s="212"/>
    </row>
    <row r="30" spans="1:27" ht="13.8" x14ac:dyDescent="0.3">
      <c r="A30" s="151">
        <v>29</v>
      </c>
      <c r="B30" s="38" t="s">
        <v>65</v>
      </c>
      <c r="C30" s="39">
        <f>IF(SUMIFS(Data!$S:$S,Data!$A:$A,$B30,Data!$C:$C,C$1)=0,"",SUMIFS(Data!$S:$S,Data!$A:$A,$B30,Data!$C:$C,C$1))</f>
        <v>2.1696428571428572</v>
      </c>
      <c r="D30" s="39" t="str">
        <f>IF(SUMIFS(Data!$S:$S,Data!$A:$A,$B30,Data!$C:$C,D$1)=0,"",SUMIFS(Data!$S:$S,Data!$A:$A,$B30,Data!$C:$C,D$1))</f>
        <v/>
      </c>
      <c r="E30" s="39">
        <f>IF(SUMIFS(Data!$S:$S,Data!$A:$A,$B30,Data!$C:$C,E$1)=0,"",SUMIFS(Data!$S:$S,Data!$A:$A,$B30,Data!$C:$C,E$1))</f>
        <v>7.0986666666666665</v>
      </c>
      <c r="F30" s="39">
        <f>IF(SUMIFS(Data!$S:$S,Data!$A:$A,$B30,Data!$C:$C,F$1)=0,"",SUMIFS(Data!$S:$S,Data!$A:$A,$B30,Data!$C:$C,F$1))</f>
        <v>3.0428571428571427</v>
      </c>
      <c r="G30" s="39">
        <f>IF(SUMIFS(Data!$S:$S,Data!$A:$A,$B30,Data!$C:$C,G$1)=0,"",SUMIFS(Data!$S:$S,Data!$A:$A,$B30,Data!$C:$C,G$1))</f>
        <v>1.5</v>
      </c>
      <c r="H30" s="39">
        <f>IF(SUMIFS(Data!$S:$S,Data!$A:$A,$B30,Data!$C:$C,H$1)=0,"",SUMIFS(Data!$S:$S,Data!$A:$A,$B30,Data!$C:$C,H$1))</f>
        <v>3.5</v>
      </c>
      <c r="I30" s="39" t="str">
        <f>IF(SUMIFS(Data!$S:$S,Data!$A:$A,$B30,Data!$C:$C,I$1)=0,"",SUMIFS(Data!$S:$S,Data!$A:$A,$B30,Data!$C:$C,I$1))</f>
        <v/>
      </c>
      <c r="J30" s="39" t="str">
        <f>IF(SUMIFS(Data!$S:$S,Data!$A:$A,$B30,Data!$C:$C,J$1)=0,"",SUMIFS(Data!$S:$S,Data!$A:$A,$B30,Data!$C:$C,J$1))</f>
        <v/>
      </c>
      <c r="K30" s="39" t="str">
        <f>IF(SUMIFS(Data!$S:$S,Data!$A:$A,$B30,Data!$C:$C,K$1)=0,"",SUMIFS(Data!$S:$S,Data!$A:$A,$B30,Data!$C:$C,K$1))</f>
        <v/>
      </c>
      <c r="L30" s="39" t="str">
        <f>IF(SUMIFS(Data!$S:$S,Data!$A:$A,$B30,Data!$C:$C,L$1)=0,"",SUMIFS(Data!$S:$S,Data!$A:$A,$B30,Data!$C:$C,L$1))</f>
        <v/>
      </c>
      <c r="M30" s="39" t="str">
        <f>IF(SUMIFS(Data!$S:$S,Data!$A:$A,$B30,Data!$C:$C,M$1)=0,"",SUMIFS(Data!$S:$S,Data!$A:$A,$B30,Data!$C:$C,M$1))</f>
        <v/>
      </c>
      <c r="N30" s="39" t="str">
        <f>IF(SUMIFS(Data!$S:$S,Data!$A:$A,$B30,Data!$C:$C,N$1)=0,"",SUMIFS(Data!$S:$S,Data!$A:$A,$B30,Data!$C:$C,N$1))</f>
        <v/>
      </c>
      <c r="O30" s="39" t="str">
        <f>IF(SUMIFS(Data!$S:$S,Data!$A:$A,$B30,Data!$C:$C,O$1)=0,"",SUMIFS(Data!$S:$S,Data!$A:$A,$B30,Data!$C:$C,O$1))</f>
        <v/>
      </c>
      <c r="P30" s="39" t="str">
        <f>IF(SUMIFS(Data!$S:$S,Data!$A:$A,$B30,Data!$C:$C,P$1)=0,"",SUMIFS(Data!$S:$S,Data!$A:$A,$B30,Data!$C:$C,P$1))</f>
        <v/>
      </c>
      <c r="Q30" s="39">
        <f>IF(SUMIFS(Data!$S:$S,Data!$A:$A,$B30,Data!$C:$C,Q$1)=0,"",SUMIFS(Data!$S:$S,Data!$A:$A,$B30,Data!$C:$C,Q$1))</f>
        <v>5.2359999999999998</v>
      </c>
      <c r="R30" s="39">
        <f>IF(SUMIFS(Data!$S:$S,Data!$A:$A,$B30,Data!$C:$C,R$1)=0,"",SUMIFS(Data!$S:$S,Data!$A:$A,$B30,Data!$C:$C,R$1))</f>
        <v>3.0571428571428569</v>
      </c>
      <c r="S30" s="39">
        <f>IF(SUMIFS(Data!$S:$S,Data!$A:$A,$B30,Data!$C:$C,S$1)=0,"",SUMIFS(Data!$S:$S,Data!$A:$A,$B30,Data!$C:$C,S$1))</f>
        <v>2.8344761904761904</v>
      </c>
      <c r="T30" s="39">
        <f>IF(SUMIFS(Data!$S:$S,Data!$A:$A,$B30,Data!$C:$C,T$1)=0,"",SUMIFS(Data!$S:$S,Data!$A:$A,$B30,Data!$C:$C,T$1))</f>
        <v>4.25</v>
      </c>
      <c r="U30" s="39">
        <f>IF(SUMIFS(Data!X:X,Data!A:A,'#ligaSYR'!B30)&gt;12,5,IF(SUMIFS(Data!X:X,Data!A:A,'#ligaSYR'!B30)&gt;9,3, IF(SUMIFS(Data!X:X,Data!A:A,'#ligaSYR'!B30)&gt;4,1,0)))</f>
        <v>0</v>
      </c>
      <c r="V30" s="39">
        <f t="shared" si="0"/>
        <v>32.688785714285714</v>
      </c>
      <c r="W30" s="39">
        <f>SUMIFS(Data!D:D,Data!A:A,'#ligaSYR'!B30)</f>
        <v>124.92999999999999</v>
      </c>
      <c r="X30" s="40" t="str">
        <f>IF(VLOOKUP(B30,Participanti!A:D,4,0)=0," ","New")</f>
        <v xml:space="preserve"> </v>
      </c>
      <c r="Y30" s="99">
        <f t="shared" si="1"/>
        <v>3.0571428571428569</v>
      </c>
      <c r="Z30" s="212">
        <f t="shared" si="2"/>
        <v>7</v>
      </c>
      <c r="AA30" s="212"/>
    </row>
    <row r="31" spans="1:27" ht="13.8" x14ac:dyDescent="0.3">
      <c r="A31" s="151">
        <v>30</v>
      </c>
      <c r="B31" s="38" t="s">
        <v>55</v>
      </c>
      <c r="C31" s="39">
        <f>IF(SUMIFS(Data!$S:$S,Data!$A:$A,$B31,Data!$C:$C,C$1)=0,"",SUMIFS(Data!$S:$S,Data!$A:$A,$B31,Data!$C:$C,C$1))</f>
        <v>4.6333333333333329</v>
      </c>
      <c r="D31" s="39" t="str">
        <f>IF(SUMIFS(Data!$S:$S,Data!$A:$A,$B31,Data!$C:$C,D$1)=0,"",SUMIFS(Data!$S:$S,Data!$A:$A,$B31,Data!$C:$C,D$1))</f>
        <v/>
      </c>
      <c r="E31" s="39">
        <f>IF(SUMIFS(Data!$S:$S,Data!$A:$A,$B31,Data!$C:$C,E$1)=0,"",SUMIFS(Data!$S:$S,Data!$A:$A,$B31,Data!$C:$C,E$1))</f>
        <v>4.6252619047619055</v>
      </c>
      <c r="F31" s="39">
        <f>IF(SUMIFS(Data!$S:$S,Data!$A:$A,$B31,Data!$C:$C,F$1)=0,"",SUMIFS(Data!$S:$S,Data!$A:$A,$B31,Data!$C:$C,F$1))</f>
        <v>2</v>
      </c>
      <c r="G31" s="39">
        <f>IF(SUMIFS(Data!$S:$S,Data!$A:$A,$B31,Data!$C:$C,G$1)=0,"",SUMIFS(Data!$S:$S,Data!$A:$A,$B31,Data!$C:$C,G$1))</f>
        <v>4.0586666666666664</v>
      </c>
      <c r="H31" s="39">
        <f>IF(SUMIFS(Data!$S:$S,Data!$A:$A,$B31,Data!$C:$C,H$1)=0,"",SUMIFS(Data!$S:$S,Data!$A:$A,$B31,Data!$C:$C,H$1))</f>
        <v>2.0625</v>
      </c>
      <c r="I31" s="39">
        <f>IF(SUMIFS(Data!$S:$S,Data!$A:$A,$B31,Data!$C:$C,I$1)=0,"",SUMIFS(Data!$S:$S,Data!$A:$A,$B31,Data!$C:$C,I$1))</f>
        <v>2.0499999999999998</v>
      </c>
      <c r="J31" s="39">
        <f>IF(SUMIFS(Data!$S:$S,Data!$A:$A,$B31,Data!$C:$C,J$1)=0,"",SUMIFS(Data!$S:$S,Data!$A:$A,$B31,Data!$C:$C,J$1))</f>
        <v>4.05</v>
      </c>
      <c r="K31" s="39">
        <f>IF(SUMIFS(Data!$S:$S,Data!$A:$A,$B31,Data!$C:$C,K$1)=0,"",SUMIFS(Data!$S:$S,Data!$A:$A,$B31,Data!$C:$C,K$1))</f>
        <v>2.5659999999999998</v>
      </c>
      <c r="L31" s="39">
        <f>IF(SUMIFS(Data!$S:$S,Data!$A:$A,$B31,Data!$C:$C,L$1)=0,"",SUMIFS(Data!$S:$S,Data!$A:$A,$B31,Data!$C:$C,L$1))</f>
        <v>2.094642857142857</v>
      </c>
      <c r="M31" s="39" t="str">
        <f>IF(SUMIFS(Data!$S:$S,Data!$A:$A,$B31,Data!$C:$C,M$1)=0,"",SUMIFS(Data!$S:$S,Data!$A:$A,$B31,Data!$C:$C,M$1))</f>
        <v/>
      </c>
      <c r="N31" s="39">
        <f>IF(SUMIFS(Data!$S:$S,Data!$A:$A,$B31,Data!$C:$C,N$1)=0,"",SUMIFS(Data!$S:$S,Data!$A:$A,$B31,Data!$C:$C,N$1))</f>
        <v>0.3125</v>
      </c>
      <c r="O31" s="39" t="str">
        <f>IF(SUMIFS(Data!$S:$S,Data!$A:$A,$B31,Data!$C:$C,O$1)=0,"",SUMIFS(Data!$S:$S,Data!$A:$A,$B31,Data!$C:$C,O$1))</f>
        <v/>
      </c>
      <c r="P31" s="39" t="str">
        <f>IF(SUMIFS(Data!$S:$S,Data!$A:$A,$B31,Data!$C:$C,P$1)=0,"",SUMIFS(Data!$S:$S,Data!$A:$A,$B31,Data!$C:$C,P$1))</f>
        <v/>
      </c>
      <c r="Q31" s="39" t="str">
        <f>IF(SUMIFS(Data!$S:$S,Data!$A:$A,$B31,Data!$C:$C,Q$1)=0,"",SUMIFS(Data!$S:$S,Data!$A:$A,$B31,Data!$C:$C,Q$1))</f>
        <v/>
      </c>
      <c r="R31" s="39" t="str">
        <f>IF(SUMIFS(Data!$S:$S,Data!$A:$A,$B31,Data!$C:$C,R$1)=0,"",SUMIFS(Data!$S:$S,Data!$A:$A,$B31,Data!$C:$C,R$1))</f>
        <v/>
      </c>
      <c r="S31" s="39" t="str">
        <f>IF(SUMIFS(Data!$S:$S,Data!$A:$A,$B31,Data!$C:$C,S$1)=0,"",SUMIFS(Data!$S:$S,Data!$A:$A,$B31,Data!$C:$C,S$1))</f>
        <v/>
      </c>
      <c r="T31" s="39" t="str">
        <f>IF(SUMIFS(Data!$S:$S,Data!$A:$A,$B31,Data!$C:$C,T$1)=0,"",SUMIFS(Data!$S:$S,Data!$A:$A,$B31,Data!$C:$C,T$1))</f>
        <v/>
      </c>
      <c r="U31" s="39">
        <f>IF(SUMIFS(Data!X:X,Data!A:A,'#ligaSYR'!B31)&gt;12,5,IF(SUMIFS(Data!X:X,Data!A:A,'#ligaSYR'!B31)&gt;9,3, IF(SUMIFS(Data!X:X,Data!A:A,'#ligaSYR'!B31)&gt;4,1,0)))</f>
        <v>1</v>
      </c>
      <c r="V31" s="39">
        <f t="shared" si="0"/>
        <v>29.452904761904765</v>
      </c>
      <c r="W31" s="39">
        <f>SUMIFS(Data!D:D,Data!A:A,'#ligaSYR'!B31)</f>
        <v>169.59</v>
      </c>
      <c r="X31" s="40" t="str">
        <f>IF(VLOOKUP(B31,Participanti!A:D,4,0)=0," ","New")</f>
        <v xml:space="preserve"> </v>
      </c>
      <c r="Y31" s="99">
        <f t="shared" si="1"/>
        <v>2.3303214285714287</v>
      </c>
      <c r="Z31" s="212">
        <f t="shared" si="2"/>
        <v>8</v>
      </c>
      <c r="AA31" s="212"/>
    </row>
    <row r="32" spans="1:27" ht="13.8" x14ac:dyDescent="0.3">
      <c r="A32" s="151">
        <v>31</v>
      </c>
      <c r="B32" s="38" t="s">
        <v>60</v>
      </c>
      <c r="C32" s="39" t="str">
        <f>IF(SUMIFS(Data!$S:$S,Data!$A:$A,$B32,Data!$C:$C,C$1)=0,"",SUMIFS(Data!$S:$S,Data!$A:$A,$B32,Data!$C:$C,C$1))</f>
        <v/>
      </c>
      <c r="D32" s="39">
        <f>IF(SUMIFS(Data!$S:$S,Data!$A:$A,$B32,Data!$C:$C,D$1)=0,"",SUMIFS(Data!$S:$S,Data!$A:$A,$B32,Data!$C:$C,D$1))</f>
        <v>1.3470238095238094</v>
      </c>
      <c r="E32" s="39">
        <f>IF(SUMIFS(Data!$S:$S,Data!$A:$A,$B32,Data!$C:$C,E$1)=0,"",SUMIFS(Data!$S:$S,Data!$A:$A,$B32,Data!$C:$C,E$1))</f>
        <v>2.0410714285714286</v>
      </c>
      <c r="F32" s="39">
        <f>IF(SUMIFS(Data!$S:$S,Data!$A:$A,$B32,Data!$C:$C,F$1)=0,"",SUMIFS(Data!$S:$S,Data!$A:$A,$B32,Data!$C:$C,F$1))</f>
        <v>1.3470238095238094</v>
      </c>
      <c r="G32" s="39">
        <f>IF(SUMIFS(Data!$S:$S,Data!$A:$A,$B32,Data!$C:$C,G$1)=0,"",SUMIFS(Data!$S:$S,Data!$A:$A,$B32,Data!$C:$C,G$1))</f>
        <v>2.0392857142857141</v>
      </c>
      <c r="H32" s="39">
        <f>IF(SUMIFS(Data!$S:$S,Data!$A:$A,$B32,Data!$C:$C,H$1)=0,"",SUMIFS(Data!$S:$S,Data!$A:$A,$B32,Data!$C:$C,H$1))</f>
        <v>1.75</v>
      </c>
      <c r="I32" s="39">
        <f>IF(SUMIFS(Data!$S:$S,Data!$A:$A,$B32,Data!$C:$C,I$1)=0,"",SUMIFS(Data!$S:$S,Data!$A:$A,$B32,Data!$C:$C,I$1))</f>
        <v>1.3476190476190475</v>
      </c>
      <c r="J32" s="39">
        <f>IF(SUMIFS(Data!$S:$S,Data!$A:$A,$B32,Data!$C:$C,J$1)=0,"",SUMIFS(Data!$S:$S,Data!$A:$A,$B32,Data!$C:$C,J$1))</f>
        <v>2.0410714285714286</v>
      </c>
      <c r="K32" s="39">
        <f>IF(SUMIFS(Data!$S:$S,Data!$A:$A,$B32,Data!$C:$C,K$1)=0,"",SUMIFS(Data!$S:$S,Data!$A:$A,$B32,Data!$C:$C,K$1))</f>
        <v>1.35</v>
      </c>
      <c r="L32" s="39" t="str">
        <f>IF(SUMIFS(Data!$S:$S,Data!$A:$A,$B32,Data!$C:$C,L$1)=0,"",SUMIFS(Data!$S:$S,Data!$A:$A,$B32,Data!$C:$C,L$1))</f>
        <v/>
      </c>
      <c r="M32" s="39" t="str">
        <f>IF(SUMIFS(Data!$S:$S,Data!$A:$A,$B32,Data!$C:$C,M$1)=0,"",SUMIFS(Data!$S:$S,Data!$A:$A,$B32,Data!$C:$C,M$1))</f>
        <v/>
      </c>
      <c r="N32" s="39">
        <f>IF(SUMIFS(Data!$S:$S,Data!$A:$A,$B32,Data!$C:$C,N$1)=0,"",SUMIFS(Data!$S:$S,Data!$A:$A,$B32,Data!$C:$C,N$1))</f>
        <v>1.75</v>
      </c>
      <c r="O32" s="39" t="str">
        <f>IF(SUMIFS(Data!$S:$S,Data!$A:$A,$B32,Data!$C:$C,O$1)=0,"",SUMIFS(Data!$S:$S,Data!$A:$A,$B32,Data!$C:$C,O$1))</f>
        <v/>
      </c>
      <c r="P32" s="39" t="str">
        <f>IF(SUMIFS(Data!$S:$S,Data!$A:$A,$B32,Data!$C:$C,P$1)=0,"",SUMIFS(Data!$S:$S,Data!$A:$A,$B32,Data!$C:$C,P$1))</f>
        <v/>
      </c>
      <c r="Q32" s="39" t="str">
        <f>IF(SUMIFS(Data!$S:$S,Data!$A:$A,$B32,Data!$C:$C,Q$1)=0,"",SUMIFS(Data!$S:$S,Data!$A:$A,$B32,Data!$C:$C,Q$1))</f>
        <v/>
      </c>
      <c r="R32" s="39">
        <f>IF(SUMIFS(Data!$S:$S,Data!$A:$A,$B32,Data!$C:$C,R$1)=0,"",SUMIFS(Data!$S:$S,Data!$A:$A,$B32,Data!$C:$C,R$1))</f>
        <v>1.3494047619047618</v>
      </c>
      <c r="S32" s="39">
        <f>IF(SUMIFS(Data!$S:$S,Data!$A:$A,$B32,Data!$C:$C,S$1)=0,"",SUMIFS(Data!$S:$S,Data!$A:$A,$B32,Data!$C:$C,S$1))</f>
        <v>1.6988095238095238</v>
      </c>
      <c r="T32" s="39">
        <f>IF(SUMIFS(Data!$S:$S,Data!$A:$A,$B32,Data!$C:$C,T$1)=0,"",SUMIFS(Data!$S:$S,Data!$A:$A,$B32,Data!$C:$C,T$1))</f>
        <v>2.375</v>
      </c>
      <c r="U32" s="39">
        <f>IF(SUMIFS(Data!X:X,Data!A:A,'#ligaSYR'!B32)&gt;12,5,IF(SUMIFS(Data!X:X,Data!A:A,'#ligaSYR'!B32)&gt;9,3, IF(SUMIFS(Data!X:X,Data!A:A,'#ligaSYR'!B32)&gt;4,1,0)))</f>
        <v>1</v>
      </c>
      <c r="V32" s="39">
        <f t="shared" si="0"/>
        <v>21.436309523809523</v>
      </c>
      <c r="W32" s="39">
        <f>SUMIFS(Data!D:D,Data!A:A,'#ligaSYR'!B32)</f>
        <v>90.4</v>
      </c>
      <c r="X32" s="40" t="str">
        <f>IF(VLOOKUP(B32,Participanti!A:D,4,0)=0," ","New")</f>
        <v xml:space="preserve"> </v>
      </c>
      <c r="Y32" s="99">
        <f t="shared" si="1"/>
        <v>1.7244047619047618</v>
      </c>
      <c r="Z32" s="212">
        <f t="shared" si="2"/>
        <v>9</v>
      </c>
      <c r="AA32" s="212"/>
    </row>
    <row r="33" spans="1:27" ht="13.8" x14ac:dyDescent="0.3">
      <c r="A33" s="151">
        <v>32</v>
      </c>
      <c r="B33" s="38" t="s">
        <v>5</v>
      </c>
      <c r="C33" s="39">
        <f>IF(SUMIFS(Data!$S:$S,Data!$A:$A,$B33,Data!$C:$C,C$1)=0,"",SUMIFS(Data!$S:$S,Data!$A:$A,$B33,Data!$C:$C,C$1))</f>
        <v>4.8406666666666665</v>
      </c>
      <c r="D33" s="39">
        <f>IF(SUMIFS(Data!$S:$S,Data!$A:$A,$B33,Data!$C:$C,D$1)=0,"",SUMIFS(Data!$S:$S,Data!$A:$A,$B33,Data!$C:$C,D$1))</f>
        <v>4.5318750000000003</v>
      </c>
      <c r="E33" s="39">
        <f>IF(SUMIFS(Data!$S:$S,Data!$A:$A,$B33,Data!$C:$C,E$1)=0,"",SUMIFS(Data!$S:$S,Data!$A:$A,$B33,Data!$C:$C,E$1))</f>
        <v>3.4406249999999998</v>
      </c>
      <c r="F33" s="39">
        <f>IF(SUMIFS(Data!$S:$S,Data!$A:$A,$B33,Data!$C:$C,F$1)=0,"",SUMIFS(Data!$S:$S,Data!$A:$A,$B33,Data!$C:$C,F$1))</f>
        <v>1.5</v>
      </c>
      <c r="G33" s="39" t="str">
        <f>IF(SUMIFS(Data!$S:$S,Data!$A:$A,$B33,Data!$C:$C,G$1)=0,"",SUMIFS(Data!$S:$S,Data!$A:$A,$B33,Data!$C:$C,G$1))</f>
        <v/>
      </c>
      <c r="H33" s="39">
        <f>IF(SUMIFS(Data!$S:$S,Data!$A:$A,$B33,Data!$C:$C,H$1)=0,"",SUMIFS(Data!$S:$S,Data!$A:$A,$B33,Data!$C:$C,H$1))</f>
        <v>3.625</v>
      </c>
      <c r="I33" s="39" t="str">
        <f>IF(SUMIFS(Data!$S:$S,Data!$A:$A,$B33,Data!$C:$C,I$1)=0,"",SUMIFS(Data!$S:$S,Data!$A:$A,$B33,Data!$C:$C,I$1))</f>
        <v/>
      </c>
      <c r="J33" s="39" t="str">
        <f>IF(SUMIFS(Data!$S:$S,Data!$A:$A,$B33,Data!$C:$C,J$1)=0,"",SUMIFS(Data!$S:$S,Data!$A:$A,$B33,Data!$C:$C,J$1))</f>
        <v/>
      </c>
      <c r="K33" s="39" t="str">
        <f>IF(SUMIFS(Data!$S:$S,Data!$A:$A,$B33,Data!$C:$C,K$1)=0,"",SUMIFS(Data!$S:$S,Data!$A:$A,$B33,Data!$C:$C,K$1))</f>
        <v/>
      </c>
      <c r="L33" s="39" t="str">
        <f>IF(SUMIFS(Data!$S:$S,Data!$A:$A,$B33,Data!$C:$C,L$1)=0,"",SUMIFS(Data!$S:$S,Data!$A:$A,$B33,Data!$C:$C,L$1))</f>
        <v/>
      </c>
      <c r="M33" s="39" t="str">
        <f>IF(SUMIFS(Data!$S:$S,Data!$A:$A,$B33,Data!$C:$C,M$1)=0,"",SUMIFS(Data!$S:$S,Data!$A:$A,$B33,Data!$C:$C,M$1))</f>
        <v/>
      </c>
      <c r="N33" s="39" t="str">
        <f>IF(SUMIFS(Data!$S:$S,Data!$A:$A,$B33,Data!$C:$C,N$1)=0,"",SUMIFS(Data!$S:$S,Data!$A:$A,$B33,Data!$C:$C,N$1))</f>
        <v/>
      </c>
      <c r="O33" s="39" t="str">
        <f>IF(SUMIFS(Data!$S:$S,Data!$A:$A,$B33,Data!$C:$C,O$1)=0,"",SUMIFS(Data!$S:$S,Data!$A:$A,$B33,Data!$C:$C,O$1))</f>
        <v/>
      </c>
      <c r="P33" s="39" t="str">
        <f>IF(SUMIFS(Data!$S:$S,Data!$A:$A,$B33,Data!$C:$C,P$1)=0,"",SUMIFS(Data!$S:$S,Data!$A:$A,$B33,Data!$C:$C,P$1))</f>
        <v/>
      </c>
      <c r="Q33" s="39" t="str">
        <f>IF(SUMIFS(Data!$S:$S,Data!$A:$A,$B33,Data!$C:$C,Q$1)=0,"",SUMIFS(Data!$S:$S,Data!$A:$A,$B33,Data!$C:$C,Q$1))</f>
        <v/>
      </c>
      <c r="R33" s="39" t="str">
        <f>IF(SUMIFS(Data!$S:$S,Data!$A:$A,$B33,Data!$C:$C,R$1)=0,"",SUMIFS(Data!$S:$S,Data!$A:$A,$B33,Data!$C:$C,R$1))</f>
        <v/>
      </c>
      <c r="S33" s="39" t="str">
        <f>IF(SUMIFS(Data!$S:$S,Data!$A:$A,$B33,Data!$C:$C,S$1)=0,"",SUMIFS(Data!$S:$S,Data!$A:$A,$B33,Data!$C:$C,S$1))</f>
        <v/>
      </c>
      <c r="T33" s="39" t="str">
        <f>IF(SUMIFS(Data!$S:$S,Data!$A:$A,$B33,Data!$C:$C,T$1)=0,"",SUMIFS(Data!$S:$S,Data!$A:$A,$B33,Data!$C:$C,T$1))</f>
        <v/>
      </c>
      <c r="U33" s="39">
        <f>IF(SUMIFS(Data!X:X,Data!A:A,'#ligaSYR'!B33)&gt;12,5,IF(SUMIFS(Data!X:X,Data!A:A,'#ligaSYR'!B33)&gt;9,3, IF(SUMIFS(Data!X:X,Data!A:A,'#ligaSYR'!B33)&gt;4,1,0)))</f>
        <v>0</v>
      </c>
      <c r="V33" s="39">
        <f t="shared" si="0"/>
        <v>17.938166666666667</v>
      </c>
      <c r="W33" s="39">
        <f>SUMIFS(Data!D:D,Data!A:A,'#ligaSYR'!B33)</f>
        <v>42.209999999999994</v>
      </c>
      <c r="X33" s="40" t="str">
        <f>IF(VLOOKUP(B33,Participanti!A:D,4,0)=0," ","New")</f>
        <v xml:space="preserve"> </v>
      </c>
      <c r="Y33" s="99">
        <f t="shared" si="1"/>
        <v>3.625</v>
      </c>
      <c r="Z33" s="212">
        <f t="shared" si="2"/>
        <v>4</v>
      </c>
      <c r="AA33" s="212"/>
    </row>
    <row r="34" spans="1:27" ht="13.8" x14ac:dyDescent="0.3">
      <c r="A34" s="151">
        <v>33</v>
      </c>
      <c r="B34" s="38" t="s">
        <v>100</v>
      </c>
      <c r="C34" s="39">
        <f>IF(SUMIFS(Data!$S:$S,Data!$A:$A,$B34,Data!$C:$C,C$1)=0,"",SUMIFS(Data!$S:$S,Data!$A:$A,$B34,Data!$C:$C,C$1))</f>
        <v>2.5249999999999999</v>
      </c>
      <c r="D34" s="39" t="str">
        <f>IF(SUMIFS(Data!$S:$S,Data!$A:$A,$B34,Data!$C:$C,D$1)=0,"",SUMIFS(Data!$S:$S,Data!$A:$A,$B34,Data!$C:$C,D$1))</f>
        <v/>
      </c>
      <c r="E34" s="39">
        <f>IF(SUMIFS(Data!$S:$S,Data!$A:$A,$B34,Data!$C:$C,E$1)=0,"",SUMIFS(Data!$S:$S,Data!$A:$A,$B34,Data!$C:$C,E$1))</f>
        <v>2.5596666666666668</v>
      </c>
      <c r="F34" s="39">
        <f>IF(SUMIFS(Data!$S:$S,Data!$A:$A,$B34,Data!$C:$C,F$1)=0,"",SUMIFS(Data!$S:$S,Data!$A:$A,$B34,Data!$C:$C,F$1))</f>
        <v>1.6018750000000002</v>
      </c>
      <c r="G34" s="39">
        <f>IF(SUMIFS(Data!$S:$S,Data!$A:$A,$B34,Data!$C:$C,G$1)=0,"",SUMIFS(Data!$S:$S,Data!$A:$A,$B34,Data!$C:$C,G$1))</f>
        <v>1.4725000000000001</v>
      </c>
      <c r="H34" s="39">
        <f>IF(SUMIFS(Data!$S:$S,Data!$A:$A,$B34,Data!$C:$C,H$1)=0,"",SUMIFS(Data!$S:$S,Data!$A:$A,$B34,Data!$C:$C,H$1))</f>
        <v>0.3125</v>
      </c>
      <c r="I34" s="39">
        <f>IF(SUMIFS(Data!$S:$S,Data!$A:$A,$B34,Data!$C:$C,I$1)=0,"",SUMIFS(Data!$S:$S,Data!$A:$A,$B34,Data!$C:$C,I$1))</f>
        <v>0.78562500000000002</v>
      </c>
      <c r="J34" s="39">
        <f>IF(SUMIFS(Data!$S:$S,Data!$A:$A,$B34,Data!$C:$C,J$1)=0,"",SUMIFS(Data!$S:$S,Data!$A:$A,$B34,Data!$C:$C,J$1))</f>
        <v>2.526875</v>
      </c>
      <c r="K34" s="39">
        <f>IF(SUMIFS(Data!$S:$S,Data!$A:$A,$B34,Data!$C:$C,K$1)=0,"",SUMIFS(Data!$S:$S,Data!$A:$A,$B34,Data!$C:$C,K$1))</f>
        <v>0.79812499999999997</v>
      </c>
      <c r="L34" s="39">
        <f>IF(SUMIFS(Data!$S:$S,Data!$A:$A,$B34,Data!$C:$C,L$1)=0,"",SUMIFS(Data!$S:$S,Data!$A:$A,$B34,Data!$C:$C,L$1))</f>
        <v>1.9</v>
      </c>
      <c r="M34" s="39">
        <f>IF(SUMIFS(Data!$S:$S,Data!$A:$A,$B34,Data!$C:$C,M$1)=0,"",SUMIFS(Data!$S:$S,Data!$A:$A,$B34,Data!$C:$C,M$1))</f>
        <v>0.8131250000000001</v>
      </c>
      <c r="N34" s="39">
        <f>IF(SUMIFS(Data!$S:$S,Data!$A:$A,$B34,Data!$C:$C,N$1)=0,"",SUMIFS(Data!$S:$S,Data!$A:$A,$B34,Data!$C:$C,N$1))</f>
        <v>0.125</v>
      </c>
      <c r="O34" s="39" t="str">
        <f>IF(SUMIFS(Data!$S:$S,Data!$A:$A,$B34,Data!$C:$C,O$1)=0,"",SUMIFS(Data!$S:$S,Data!$A:$A,$B34,Data!$C:$C,O$1))</f>
        <v/>
      </c>
      <c r="P34" s="39" t="str">
        <f>IF(SUMIFS(Data!$S:$S,Data!$A:$A,$B34,Data!$C:$C,P$1)=0,"",SUMIFS(Data!$S:$S,Data!$A:$A,$B34,Data!$C:$C,P$1))</f>
        <v/>
      </c>
      <c r="Q34" s="39" t="str">
        <f>IF(SUMIFS(Data!$S:$S,Data!$A:$A,$B34,Data!$C:$C,Q$1)=0,"",SUMIFS(Data!$S:$S,Data!$A:$A,$B34,Data!$C:$C,Q$1))</f>
        <v/>
      </c>
      <c r="R34" s="39" t="str">
        <f>IF(SUMIFS(Data!$S:$S,Data!$A:$A,$B34,Data!$C:$C,R$1)=0,"",SUMIFS(Data!$S:$S,Data!$A:$A,$B34,Data!$C:$C,R$1))</f>
        <v/>
      </c>
      <c r="S34" s="39" t="str">
        <f>IF(SUMIFS(Data!$S:$S,Data!$A:$A,$B34,Data!$C:$C,S$1)=0,"",SUMIFS(Data!$S:$S,Data!$A:$A,$B34,Data!$C:$C,S$1))</f>
        <v/>
      </c>
      <c r="T34" s="39" t="str">
        <f>IF(SUMIFS(Data!$S:$S,Data!$A:$A,$B34,Data!$C:$C,T$1)=0,"",SUMIFS(Data!$S:$S,Data!$A:$A,$B34,Data!$C:$C,T$1))</f>
        <v/>
      </c>
      <c r="U34" s="39">
        <f>IF(SUMIFS(Data!X:X,Data!A:A,'#ligaSYR'!B34)&gt;12,5,IF(SUMIFS(Data!X:X,Data!A:A,'#ligaSYR'!B34)&gt;9,3, IF(SUMIFS(Data!X:X,Data!A:A,'#ligaSYR'!B34)&gt;4,1,0)))</f>
        <v>0</v>
      </c>
      <c r="V34" s="39">
        <f t="shared" si="0"/>
        <v>15.420291666666667</v>
      </c>
      <c r="W34" s="39">
        <f>SUMIFS(Data!D:D,Data!A:A,'#ligaSYR'!B34)</f>
        <v>70.11</v>
      </c>
      <c r="X34" s="40" t="str">
        <f>IF(VLOOKUP(B34,Participanti!A:D,4,0)=0," ","New")</f>
        <v xml:space="preserve"> </v>
      </c>
      <c r="Y34" s="99">
        <f t="shared" si="1"/>
        <v>1.4725000000000001</v>
      </c>
      <c r="Z34" s="212">
        <f t="shared" si="2"/>
        <v>9</v>
      </c>
      <c r="AA34" s="212"/>
    </row>
    <row r="35" spans="1:27" ht="13.8" x14ac:dyDescent="0.3">
      <c r="A35" s="151">
        <v>34</v>
      </c>
      <c r="B35" s="38" t="s">
        <v>127</v>
      </c>
      <c r="C35" s="39" t="str">
        <f>IF(SUMIFS(Data!$S:$S,Data!$A:$A,$B35,Data!$C:$C,C$1)=0,"",SUMIFS(Data!$S:$S,Data!$A:$A,$B35,Data!$C:$C,C$1))</f>
        <v/>
      </c>
      <c r="D35" s="39">
        <f>IF(SUMIFS(Data!$S:$S,Data!$A:$A,$B35,Data!$C:$C,D$1)=0,"",SUMIFS(Data!$S:$S,Data!$A:$A,$B35,Data!$C:$C,D$1))</f>
        <v>4.5017857142857149</v>
      </c>
      <c r="E35" s="39">
        <f>IF(SUMIFS(Data!$S:$S,Data!$A:$A,$B35,Data!$C:$C,E$1)=0,"",SUMIFS(Data!$S:$S,Data!$A:$A,$B35,Data!$C:$C,E$1))</f>
        <v>4.3049761904761903</v>
      </c>
      <c r="F35" s="39">
        <f>IF(SUMIFS(Data!$S:$S,Data!$A:$A,$B35,Data!$C:$C,F$1)=0,"",SUMIFS(Data!$S:$S,Data!$A:$A,$B35,Data!$C:$C,F$1))</f>
        <v>3.3660714285714288</v>
      </c>
      <c r="G35" s="39" t="str">
        <f>IF(SUMIFS(Data!$S:$S,Data!$A:$A,$B35,Data!$C:$C,G$1)=0,"",SUMIFS(Data!$S:$S,Data!$A:$A,$B35,Data!$C:$C,G$1))</f>
        <v/>
      </c>
      <c r="H35" s="39">
        <f>IF(SUMIFS(Data!$S:$S,Data!$A:$A,$B35,Data!$C:$C,H$1)=0,"",SUMIFS(Data!$S:$S,Data!$A:$A,$B35,Data!$C:$C,H$1))</f>
        <v>2.3125</v>
      </c>
      <c r="I35" s="39" t="str">
        <f>IF(SUMIFS(Data!$S:$S,Data!$A:$A,$B35,Data!$C:$C,I$1)=0,"",SUMIFS(Data!$S:$S,Data!$A:$A,$B35,Data!$C:$C,I$1))</f>
        <v/>
      </c>
      <c r="J35" s="39" t="str">
        <f>IF(SUMIFS(Data!$S:$S,Data!$A:$A,$B35,Data!$C:$C,J$1)=0,"",SUMIFS(Data!$S:$S,Data!$A:$A,$B35,Data!$C:$C,J$1))</f>
        <v/>
      </c>
      <c r="K35" s="39" t="str">
        <f>IF(SUMIFS(Data!$S:$S,Data!$A:$A,$B35,Data!$C:$C,K$1)=0,"",SUMIFS(Data!$S:$S,Data!$A:$A,$B35,Data!$C:$C,K$1))</f>
        <v/>
      </c>
      <c r="L35" s="39" t="str">
        <f>IF(SUMIFS(Data!$S:$S,Data!$A:$A,$B35,Data!$C:$C,L$1)=0,"",SUMIFS(Data!$S:$S,Data!$A:$A,$B35,Data!$C:$C,L$1))</f>
        <v/>
      </c>
      <c r="M35" s="39" t="str">
        <f>IF(SUMIFS(Data!$S:$S,Data!$A:$A,$B35,Data!$C:$C,M$1)=0,"",SUMIFS(Data!$S:$S,Data!$A:$A,$B35,Data!$C:$C,M$1))</f>
        <v/>
      </c>
      <c r="N35" s="39" t="str">
        <f>IF(SUMIFS(Data!$S:$S,Data!$A:$A,$B35,Data!$C:$C,N$1)=0,"",SUMIFS(Data!$S:$S,Data!$A:$A,$B35,Data!$C:$C,N$1))</f>
        <v/>
      </c>
      <c r="O35" s="39" t="str">
        <f>IF(SUMIFS(Data!$S:$S,Data!$A:$A,$B35,Data!$C:$C,O$1)=0,"",SUMIFS(Data!$S:$S,Data!$A:$A,$B35,Data!$C:$C,O$1))</f>
        <v/>
      </c>
      <c r="P35" s="39" t="str">
        <f>IF(SUMIFS(Data!$S:$S,Data!$A:$A,$B35,Data!$C:$C,P$1)=0,"",SUMIFS(Data!$S:$S,Data!$A:$A,$B35,Data!$C:$C,P$1))</f>
        <v/>
      </c>
      <c r="Q35" s="39" t="str">
        <f>IF(SUMIFS(Data!$S:$S,Data!$A:$A,$B35,Data!$C:$C,Q$1)=0,"",SUMIFS(Data!$S:$S,Data!$A:$A,$B35,Data!$C:$C,Q$1))</f>
        <v/>
      </c>
      <c r="R35" s="39" t="str">
        <f>IF(SUMIFS(Data!$S:$S,Data!$A:$A,$B35,Data!$C:$C,R$1)=0,"",SUMIFS(Data!$S:$S,Data!$A:$A,$B35,Data!$C:$C,R$1))</f>
        <v/>
      </c>
      <c r="S35" s="39" t="str">
        <f>IF(SUMIFS(Data!$S:$S,Data!$A:$A,$B35,Data!$C:$C,S$1)=0,"",SUMIFS(Data!$S:$S,Data!$A:$A,$B35,Data!$C:$C,S$1))</f>
        <v/>
      </c>
      <c r="T35" s="39" t="str">
        <f>IF(SUMIFS(Data!$S:$S,Data!$A:$A,$B35,Data!$C:$C,T$1)=0,"",SUMIFS(Data!$S:$S,Data!$A:$A,$B35,Data!$C:$C,T$1))</f>
        <v/>
      </c>
      <c r="U35" s="39">
        <f>IF(SUMIFS(Data!X:X,Data!A:A,'#ligaSYR'!B35)&gt;12,5,IF(SUMIFS(Data!X:X,Data!A:A,'#ligaSYR'!B35)&gt;9,3, IF(SUMIFS(Data!X:X,Data!A:A,'#ligaSYR'!B35)&gt;4,1,0)))</f>
        <v>0</v>
      </c>
      <c r="V35" s="39">
        <f t="shared" si="0"/>
        <v>14.485333333333335</v>
      </c>
      <c r="W35" s="39">
        <f>SUMIFS(Data!D:D,Data!A:A,'#ligaSYR'!B35)</f>
        <v>35.270000000000003</v>
      </c>
      <c r="X35" s="40" t="str">
        <f>IF(VLOOKUP(B35,Participanti!A:D,4,0)=0," ","New")</f>
        <v xml:space="preserve"> </v>
      </c>
      <c r="Y35" s="99">
        <f t="shared" si="1"/>
        <v>3.8355238095238096</v>
      </c>
      <c r="Z35" s="212">
        <f t="shared" si="2"/>
        <v>3</v>
      </c>
      <c r="AA35" s="212"/>
    </row>
    <row r="36" spans="1:27" ht="13.8" x14ac:dyDescent="0.3">
      <c r="A36" s="151">
        <v>35</v>
      </c>
      <c r="B36" s="38" t="s">
        <v>43</v>
      </c>
      <c r="C36" s="39" t="str">
        <f>IF(SUMIFS(Data!$S:$S,Data!$A:$A,$B36,Data!$C:$C,C$1)=0,"",SUMIFS(Data!$S:$S,Data!$A:$A,$B36,Data!$C:$C,C$1))</f>
        <v/>
      </c>
      <c r="D36" s="39" t="str">
        <f>IF(SUMIFS(Data!$S:$S,Data!$A:$A,$B36,Data!$C:$C,D$1)=0,"",SUMIFS(Data!$S:$S,Data!$A:$A,$B36,Data!$C:$C,D$1))</f>
        <v/>
      </c>
      <c r="E36" s="39">
        <f>IF(SUMIFS(Data!$S:$S,Data!$A:$A,$B36,Data!$C:$C,E$1)=0,"",SUMIFS(Data!$S:$S,Data!$A:$A,$B36,Data!$C:$C,E$1))</f>
        <v>2.676190476190476</v>
      </c>
      <c r="F36" s="39">
        <f>IF(SUMIFS(Data!$S:$S,Data!$A:$A,$B36,Data!$C:$C,F$1)=0,"",SUMIFS(Data!$S:$S,Data!$A:$A,$B36,Data!$C:$C,F$1))</f>
        <v>3.0488095238095236</v>
      </c>
      <c r="G36" s="39">
        <f>IF(SUMIFS(Data!$S:$S,Data!$A:$A,$B36,Data!$C:$C,G$1)=0,"",SUMIFS(Data!$S:$S,Data!$A:$A,$B36,Data!$C:$C,G$1))</f>
        <v>2.1464285714285714</v>
      </c>
      <c r="H36" s="39">
        <f>IF(SUMIFS(Data!$S:$S,Data!$A:$A,$B36,Data!$C:$C,H$1)=0,"",SUMIFS(Data!$S:$S,Data!$A:$A,$B36,Data!$C:$C,H$1))</f>
        <v>2.25</v>
      </c>
      <c r="I36" s="39" t="str">
        <f>IF(SUMIFS(Data!$S:$S,Data!$A:$A,$B36,Data!$C:$C,I$1)=0,"",SUMIFS(Data!$S:$S,Data!$A:$A,$B36,Data!$C:$C,I$1))</f>
        <v/>
      </c>
      <c r="J36" s="39" t="str">
        <f>IF(SUMIFS(Data!$S:$S,Data!$A:$A,$B36,Data!$C:$C,J$1)=0,"",SUMIFS(Data!$S:$S,Data!$A:$A,$B36,Data!$C:$C,J$1))</f>
        <v/>
      </c>
      <c r="K36" s="39" t="str">
        <f>IF(SUMIFS(Data!$S:$S,Data!$A:$A,$B36,Data!$C:$C,K$1)=0,"",SUMIFS(Data!$S:$S,Data!$A:$A,$B36,Data!$C:$C,K$1))</f>
        <v/>
      </c>
      <c r="L36" s="39" t="str">
        <f>IF(SUMIFS(Data!$S:$S,Data!$A:$A,$B36,Data!$C:$C,L$1)=0,"",SUMIFS(Data!$S:$S,Data!$A:$A,$B36,Data!$C:$C,L$1))</f>
        <v/>
      </c>
      <c r="M36" s="39" t="str">
        <f>IF(SUMIFS(Data!$S:$S,Data!$A:$A,$B36,Data!$C:$C,M$1)=0,"",SUMIFS(Data!$S:$S,Data!$A:$A,$B36,Data!$C:$C,M$1))</f>
        <v/>
      </c>
      <c r="N36" s="39" t="str">
        <f>IF(SUMIFS(Data!$S:$S,Data!$A:$A,$B36,Data!$C:$C,N$1)=0,"",SUMIFS(Data!$S:$S,Data!$A:$A,$B36,Data!$C:$C,N$1))</f>
        <v/>
      </c>
      <c r="O36" s="39" t="str">
        <f>IF(SUMIFS(Data!$S:$S,Data!$A:$A,$B36,Data!$C:$C,O$1)=0,"",SUMIFS(Data!$S:$S,Data!$A:$A,$B36,Data!$C:$C,O$1))</f>
        <v/>
      </c>
      <c r="P36" s="39" t="str">
        <f>IF(SUMIFS(Data!$S:$S,Data!$A:$A,$B36,Data!$C:$C,P$1)=0,"",SUMIFS(Data!$S:$S,Data!$A:$A,$B36,Data!$C:$C,P$1))</f>
        <v/>
      </c>
      <c r="Q36" s="39" t="str">
        <f>IF(SUMIFS(Data!$S:$S,Data!$A:$A,$B36,Data!$C:$C,Q$1)=0,"",SUMIFS(Data!$S:$S,Data!$A:$A,$B36,Data!$C:$C,Q$1))</f>
        <v/>
      </c>
      <c r="R36" s="39" t="str">
        <f>IF(SUMIFS(Data!$S:$S,Data!$A:$A,$B36,Data!$C:$C,R$1)=0,"",SUMIFS(Data!$S:$S,Data!$A:$A,$B36,Data!$C:$C,R$1))</f>
        <v/>
      </c>
      <c r="S36" s="39" t="str">
        <f>IF(SUMIFS(Data!$S:$S,Data!$A:$A,$B36,Data!$C:$C,S$1)=0,"",SUMIFS(Data!$S:$S,Data!$A:$A,$B36,Data!$C:$C,S$1))</f>
        <v/>
      </c>
      <c r="T36" s="39" t="str">
        <f>IF(SUMIFS(Data!$S:$S,Data!$A:$A,$B36,Data!$C:$C,T$1)=0,"",SUMIFS(Data!$S:$S,Data!$A:$A,$B36,Data!$C:$C,T$1))</f>
        <v/>
      </c>
      <c r="U36" s="39">
        <f>IF(SUMIFS(Data!X:X,Data!A:A,'#ligaSYR'!B36)&gt;12,5,IF(SUMIFS(Data!X:X,Data!A:A,'#ligaSYR'!B36)&gt;9,3, IF(SUMIFS(Data!X:X,Data!A:A,'#ligaSYR'!B36)&gt;4,1,0)))</f>
        <v>0</v>
      </c>
      <c r="V36" s="39">
        <f t="shared" si="0"/>
        <v>10.12142857142857</v>
      </c>
      <c r="W36" s="39">
        <f>SUMIFS(Data!D:D,Data!A:A,'#ligaSYR'!B36)</f>
        <v>21.400000000000002</v>
      </c>
      <c r="X36" s="40" t="str">
        <f>IF(VLOOKUP(B36,Participanti!A:D,4,0)=0," ","New")</f>
        <v xml:space="preserve"> </v>
      </c>
      <c r="Y36" s="99">
        <f t="shared" si="1"/>
        <v>2.4630952380952378</v>
      </c>
      <c r="Z36" s="212">
        <f t="shared" si="2"/>
        <v>3</v>
      </c>
      <c r="AA36" s="212"/>
    </row>
    <row r="37" spans="1:27" ht="13.8" x14ac:dyDescent="0.3">
      <c r="A37" s="151">
        <v>36</v>
      </c>
      <c r="B37" s="38" t="s">
        <v>350</v>
      </c>
      <c r="C37" s="39" t="str">
        <f>IF(SUMIFS(Data!$S:$S,Data!$A:$A,$B37,Data!$C:$C,C$1)=0,"",SUMIFS(Data!$S:$S,Data!$A:$A,$B37,Data!$C:$C,C$1))</f>
        <v/>
      </c>
      <c r="D37" s="39" t="str">
        <f>IF(SUMIFS(Data!$S:$S,Data!$A:$A,$B37,Data!$C:$C,D$1)=0,"",SUMIFS(Data!$S:$S,Data!$A:$A,$B37,Data!$C:$C,D$1))</f>
        <v/>
      </c>
      <c r="E37" s="39" t="str">
        <f>IF(SUMIFS(Data!$S:$S,Data!$A:$A,$B37,Data!$C:$C,E$1)=0,"",SUMIFS(Data!$S:$S,Data!$A:$A,$B37,Data!$C:$C,E$1))</f>
        <v/>
      </c>
      <c r="F37" s="39" t="str">
        <f>IF(SUMIFS(Data!$S:$S,Data!$A:$A,$B37,Data!$C:$C,F$1)=0,"",SUMIFS(Data!$S:$S,Data!$A:$A,$B37,Data!$C:$C,F$1))</f>
        <v/>
      </c>
      <c r="G37" s="39" t="str">
        <f>IF(SUMIFS(Data!$S:$S,Data!$A:$A,$B37,Data!$C:$C,G$1)=0,"",SUMIFS(Data!$S:$S,Data!$A:$A,$B37,Data!$C:$C,G$1))</f>
        <v/>
      </c>
      <c r="H37" s="39" t="str">
        <f>IF(SUMIFS(Data!$S:$S,Data!$A:$A,$B37,Data!$C:$C,H$1)=0,"",SUMIFS(Data!$S:$S,Data!$A:$A,$B37,Data!$C:$C,H$1))</f>
        <v/>
      </c>
      <c r="I37" s="39" t="str">
        <f>IF(SUMIFS(Data!$S:$S,Data!$A:$A,$B37,Data!$C:$C,I$1)=0,"",SUMIFS(Data!$S:$S,Data!$A:$A,$B37,Data!$C:$C,I$1))</f>
        <v/>
      </c>
      <c r="J37" s="39" t="str">
        <f>IF(SUMIFS(Data!$S:$S,Data!$A:$A,$B37,Data!$C:$C,J$1)=0,"",SUMIFS(Data!$S:$S,Data!$A:$A,$B37,Data!$C:$C,J$1))</f>
        <v/>
      </c>
      <c r="K37" s="39" t="str">
        <f>IF(SUMIFS(Data!$S:$S,Data!$A:$A,$B37,Data!$C:$C,K$1)=0,"",SUMIFS(Data!$S:$S,Data!$A:$A,$B37,Data!$C:$C,K$1))</f>
        <v/>
      </c>
      <c r="L37" s="39" t="str">
        <f>IF(SUMIFS(Data!$S:$S,Data!$A:$A,$B37,Data!$C:$C,L$1)=0,"",SUMIFS(Data!$S:$S,Data!$A:$A,$B37,Data!$C:$C,L$1))</f>
        <v/>
      </c>
      <c r="M37" s="39" t="str">
        <f>IF(SUMIFS(Data!$S:$S,Data!$A:$A,$B37,Data!$C:$C,M$1)=0,"",SUMIFS(Data!$S:$S,Data!$A:$A,$B37,Data!$C:$C,M$1))</f>
        <v/>
      </c>
      <c r="N37" s="39" t="str">
        <f>IF(SUMIFS(Data!$S:$S,Data!$A:$A,$B37,Data!$C:$C,N$1)=0,"",SUMIFS(Data!$S:$S,Data!$A:$A,$B37,Data!$C:$C,N$1))</f>
        <v/>
      </c>
      <c r="O37" s="39" t="str">
        <f>IF(SUMIFS(Data!$S:$S,Data!$A:$A,$B37,Data!$C:$C,O$1)=0,"",SUMIFS(Data!$S:$S,Data!$A:$A,$B37,Data!$C:$C,O$1))</f>
        <v/>
      </c>
      <c r="P37" s="39" t="str">
        <f>IF(SUMIFS(Data!$S:$S,Data!$A:$A,$B37,Data!$C:$C,P$1)=0,"",SUMIFS(Data!$S:$S,Data!$A:$A,$B37,Data!$C:$C,P$1))</f>
        <v/>
      </c>
      <c r="Q37" s="39" t="str">
        <f>IF(SUMIFS(Data!$S:$S,Data!$A:$A,$B37,Data!$C:$C,Q$1)=0,"",SUMIFS(Data!$S:$S,Data!$A:$A,$B37,Data!$C:$C,Q$1))</f>
        <v/>
      </c>
      <c r="R37" s="39">
        <f>IF(SUMIFS(Data!$S:$S,Data!$A:$A,$B37,Data!$C:$C,R$1)=0,"",SUMIFS(Data!$S:$S,Data!$A:$A,$B37,Data!$C:$C,R$1))</f>
        <v>3.0012499999999998</v>
      </c>
      <c r="S37" s="39" t="str">
        <f>IF(SUMIFS(Data!$S:$S,Data!$A:$A,$B37,Data!$C:$C,S$1)=0,"",SUMIFS(Data!$S:$S,Data!$A:$A,$B37,Data!$C:$C,S$1))</f>
        <v/>
      </c>
      <c r="T37" s="39">
        <f>IF(SUMIFS(Data!$S:$S,Data!$A:$A,$B37,Data!$C:$C,T$1)=0,"",SUMIFS(Data!$S:$S,Data!$A:$A,$B37,Data!$C:$C,T$1))</f>
        <v>3.25</v>
      </c>
      <c r="U37" s="39">
        <f>IF(SUMIFS(Data!X:X,Data!A:A,'#ligaSYR'!B37)&gt;12,5,IF(SUMIFS(Data!X:X,Data!A:A,'#ligaSYR'!B37)&gt;9,3, IF(SUMIFS(Data!X:X,Data!A:A,'#ligaSYR'!B37)&gt;4,1,0)))</f>
        <v>0</v>
      </c>
      <c r="V37" s="39">
        <f t="shared" si="0"/>
        <v>6.2512499999999998</v>
      </c>
      <c r="W37" s="39">
        <f>SUMIFS(Data!D:D,Data!A:A,'#ligaSYR'!B37)</f>
        <v>6.02</v>
      </c>
      <c r="X37" s="40" t="str">
        <f>IF(VLOOKUP(B37,Participanti!A:D,4,0)=0," ","New")</f>
        <v>New</v>
      </c>
      <c r="Y37" s="99">
        <f t="shared" si="1"/>
        <v>3.1256249999999999</v>
      </c>
      <c r="Z37" s="212">
        <f t="shared" si="2"/>
        <v>1</v>
      </c>
      <c r="AA37" s="212"/>
    </row>
    <row r="38" spans="1:27" ht="13.8" x14ac:dyDescent="0.3">
      <c r="A38" s="151">
        <v>37</v>
      </c>
      <c r="B38" s="38" t="s">
        <v>101</v>
      </c>
      <c r="C38" s="39" t="str">
        <f>IF(SUMIFS(Data!$S:$S,Data!$A:$A,$B38,Data!$C:$C,C$1)=0,"",SUMIFS(Data!$S:$S,Data!$A:$A,$B38,Data!$C:$C,C$1))</f>
        <v/>
      </c>
      <c r="D38" s="39" t="str">
        <f>IF(SUMIFS(Data!$S:$S,Data!$A:$A,$B38,Data!$C:$C,D$1)=0,"",SUMIFS(Data!$S:$S,Data!$A:$A,$B38,Data!$C:$C,D$1))</f>
        <v/>
      </c>
      <c r="E38" s="39" t="str">
        <f>IF(SUMIFS(Data!$S:$S,Data!$A:$A,$B38,Data!$C:$C,E$1)=0,"",SUMIFS(Data!$S:$S,Data!$A:$A,$B38,Data!$C:$C,E$1))</f>
        <v/>
      </c>
      <c r="F38" s="39" t="str">
        <f>IF(SUMIFS(Data!$S:$S,Data!$A:$A,$B38,Data!$C:$C,F$1)=0,"",SUMIFS(Data!$S:$S,Data!$A:$A,$B38,Data!$C:$C,F$1))</f>
        <v/>
      </c>
      <c r="G38" s="39" t="str">
        <f>IF(SUMIFS(Data!$S:$S,Data!$A:$A,$B38,Data!$C:$C,G$1)=0,"",SUMIFS(Data!$S:$S,Data!$A:$A,$B38,Data!$C:$C,G$1))</f>
        <v/>
      </c>
      <c r="H38" s="39" t="str">
        <f>IF(SUMIFS(Data!$S:$S,Data!$A:$A,$B38,Data!$C:$C,H$1)=0,"",SUMIFS(Data!$S:$S,Data!$A:$A,$B38,Data!$C:$C,H$1))</f>
        <v/>
      </c>
      <c r="I38" s="39" t="str">
        <f>IF(SUMIFS(Data!$S:$S,Data!$A:$A,$B38,Data!$C:$C,I$1)=0,"",SUMIFS(Data!$S:$S,Data!$A:$A,$B38,Data!$C:$C,I$1))</f>
        <v/>
      </c>
      <c r="J38" s="39" t="str">
        <f>IF(SUMIFS(Data!$S:$S,Data!$A:$A,$B38,Data!$C:$C,J$1)=0,"",SUMIFS(Data!$S:$S,Data!$A:$A,$B38,Data!$C:$C,J$1))</f>
        <v/>
      </c>
      <c r="K38" s="39">
        <f>IF(SUMIFS(Data!$S:$S,Data!$A:$A,$B38,Data!$C:$C,K$1)=0,"",SUMIFS(Data!$S:$S,Data!$A:$A,$B38,Data!$C:$C,K$1))</f>
        <v>3.4169999999999998</v>
      </c>
      <c r="L38" s="39" t="str">
        <f>IF(SUMIFS(Data!$S:$S,Data!$A:$A,$B38,Data!$C:$C,L$1)=0,"",SUMIFS(Data!$S:$S,Data!$A:$A,$B38,Data!$C:$C,L$1))</f>
        <v/>
      </c>
      <c r="M38" s="39" t="str">
        <f>IF(SUMIFS(Data!$S:$S,Data!$A:$A,$B38,Data!$C:$C,M$1)=0,"",SUMIFS(Data!$S:$S,Data!$A:$A,$B38,Data!$C:$C,M$1))</f>
        <v/>
      </c>
      <c r="N38" s="39">
        <f>IF(SUMIFS(Data!$S:$S,Data!$A:$A,$B38,Data!$C:$C,N$1)=0,"",SUMIFS(Data!$S:$S,Data!$A:$A,$B38,Data!$C:$C,N$1))</f>
        <v>2</v>
      </c>
      <c r="O38" s="39" t="str">
        <f>IF(SUMIFS(Data!$S:$S,Data!$A:$A,$B38,Data!$C:$C,O$1)=0,"",SUMIFS(Data!$S:$S,Data!$A:$A,$B38,Data!$C:$C,O$1))</f>
        <v/>
      </c>
      <c r="P38" s="39" t="str">
        <f>IF(SUMIFS(Data!$S:$S,Data!$A:$A,$B38,Data!$C:$C,P$1)=0,"",SUMIFS(Data!$S:$S,Data!$A:$A,$B38,Data!$C:$C,P$1))</f>
        <v/>
      </c>
      <c r="Q38" s="39" t="str">
        <f>IF(SUMIFS(Data!$S:$S,Data!$A:$A,$B38,Data!$C:$C,Q$1)=0,"",SUMIFS(Data!$S:$S,Data!$A:$A,$B38,Data!$C:$C,Q$1))</f>
        <v/>
      </c>
      <c r="R38" s="39" t="str">
        <f>IF(SUMIFS(Data!$S:$S,Data!$A:$A,$B38,Data!$C:$C,R$1)=0,"",SUMIFS(Data!$S:$S,Data!$A:$A,$B38,Data!$C:$C,R$1))</f>
        <v/>
      </c>
      <c r="S38" s="39" t="str">
        <f>IF(SUMIFS(Data!$S:$S,Data!$A:$A,$B38,Data!$C:$C,S$1)=0,"",SUMIFS(Data!$S:$S,Data!$A:$A,$B38,Data!$C:$C,S$1))</f>
        <v/>
      </c>
      <c r="T38" s="39" t="str">
        <f>IF(SUMIFS(Data!$S:$S,Data!$A:$A,$B38,Data!$C:$C,T$1)=0,"",SUMIFS(Data!$S:$S,Data!$A:$A,$B38,Data!$C:$C,T$1))</f>
        <v/>
      </c>
      <c r="U38" s="39">
        <f>IF(SUMIFS(Data!X:X,Data!A:A,'#ligaSYR'!B38)&gt;12,5,IF(SUMIFS(Data!X:X,Data!A:A,'#ligaSYR'!B38)&gt;9,3, IF(SUMIFS(Data!X:X,Data!A:A,'#ligaSYR'!B38)&gt;4,1,0)))</f>
        <v>0</v>
      </c>
      <c r="V38" s="39">
        <f t="shared" si="0"/>
        <v>5.4169999999999998</v>
      </c>
      <c r="W38" s="39">
        <f>SUMIFS(Data!D:D,Data!A:A,'#ligaSYR'!B38)</f>
        <v>42.3</v>
      </c>
      <c r="X38" s="40" t="str">
        <f>IF(VLOOKUP(B38,Participanti!A:D,4,0)=0," ","New")</f>
        <v xml:space="preserve"> </v>
      </c>
      <c r="Y38" s="99">
        <f t="shared" si="1"/>
        <v>2.7084999999999999</v>
      </c>
      <c r="Z38" s="212">
        <f t="shared" si="2"/>
        <v>1</v>
      </c>
      <c r="AA38" s="212"/>
    </row>
    <row r="39" spans="1:27" ht="13.8" x14ac:dyDescent="0.3">
      <c r="A39" s="151">
        <v>38</v>
      </c>
      <c r="B39" s="38" t="s">
        <v>314</v>
      </c>
      <c r="C39" s="39" t="str">
        <f>IF(SUMIFS(Data!$S:$S,Data!$A:$A,$B39,Data!$C:$C,C$1)=0,"",SUMIFS(Data!$S:$S,Data!$A:$A,$B39,Data!$C:$C,C$1))</f>
        <v/>
      </c>
      <c r="D39" s="39" t="str">
        <f>IF(SUMIFS(Data!$S:$S,Data!$A:$A,$B39,Data!$C:$C,D$1)=0,"",SUMIFS(Data!$S:$S,Data!$A:$A,$B39,Data!$C:$C,D$1))</f>
        <v/>
      </c>
      <c r="E39" s="39" t="str">
        <f>IF(SUMIFS(Data!$S:$S,Data!$A:$A,$B39,Data!$C:$C,E$1)=0,"",SUMIFS(Data!$S:$S,Data!$A:$A,$B39,Data!$C:$C,E$1))</f>
        <v/>
      </c>
      <c r="F39" s="39" t="str">
        <f>IF(SUMIFS(Data!$S:$S,Data!$A:$A,$B39,Data!$C:$C,F$1)=0,"",SUMIFS(Data!$S:$S,Data!$A:$A,$B39,Data!$C:$C,F$1))</f>
        <v/>
      </c>
      <c r="G39" s="39" t="str">
        <f>IF(SUMIFS(Data!$S:$S,Data!$A:$A,$B39,Data!$C:$C,G$1)=0,"",SUMIFS(Data!$S:$S,Data!$A:$A,$B39,Data!$C:$C,G$1))</f>
        <v/>
      </c>
      <c r="H39" s="39" t="str">
        <f>IF(SUMIFS(Data!$S:$S,Data!$A:$A,$B39,Data!$C:$C,H$1)=0,"",SUMIFS(Data!$S:$S,Data!$A:$A,$B39,Data!$C:$C,H$1))</f>
        <v/>
      </c>
      <c r="I39" s="39" t="str">
        <f>IF(SUMIFS(Data!$S:$S,Data!$A:$A,$B39,Data!$C:$C,I$1)=0,"",SUMIFS(Data!$S:$S,Data!$A:$A,$B39,Data!$C:$C,I$1))</f>
        <v/>
      </c>
      <c r="J39" s="39" t="str">
        <f>IF(SUMIFS(Data!$S:$S,Data!$A:$A,$B39,Data!$C:$C,J$1)=0,"",SUMIFS(Data!$S:$S,Data!$A:$A,$B39,Data!$C:$C,J$1))</f>
        <v/>
      </c>
      <c r="K39" s="39" t="str">
        <f>IF(SUMIFS(Data!$S:$S,Data!$A:$A,$B39,Data!$C:$C,K$1)=0,"",SUMIFS(Data!$S:$S,Data!$A:$A,$B39,Data!$C:$C,K$1))</f>
        <v/>
      </c>
      <c r="L39" s="39" t="str">
        <f>IF(SUMIFS(Data!$S:$S,Data!$A:$A,$B39,Data!$C:$C,L$1)=0,"",SUMIFS(Data!$S:$S,Data!$A:$A,$B39,Data!$C:$C,L$1))</f>
        <v/>
      </c>
      <c r="M39" s="39" t="str">
        <f>IF(SUMIFS(Data!$S:$S,Data!$A:$A,$B39,Data!$C:$C,M$1)=0,"",SUMIFS(Data!$S:$S,Data!$A:$A,$B39,Data!$C:$C,M$1))</f>
        <v/>
      </c>
      <c r="N39" s="39" t="str">
        <f>IF(SUMIFS(Data!$S:$S,Data!$A:$A,$B39,Data!$C:$C,N$1)=0,"",SUMIFS(Data!$S:$S,Data!$A:$A,$B39,Data!$C:$C,N$1))</f>
        <v/>
      </c>
      <c r="O39" s="39" t="str">
        <f>IF(SUMIFS(Data!$S:$S,Data!$A:$A,$B39,Data!$C:$C,O$1)=0,"",SUMIFS(Data!$S:$S,Data!$A:$A,$B39,Data!$C:$C,O$1))</f>
        <v/>
      </c>
      <c r="P39" s="39">
        <f>IF(SUMIFS(Data!$S:$S,Data!$A:$A,$B39,Data!$C:$C,P$1)=0,"",SUMIFS(Data!$S:$S,Data!$A:$A,$B39,Data!$C:$C,P$1))</f>
        <v>3.6130952380952381</v>
      </c>
      <c r="Q39" s="39" t="str">
        <f>IF(SUMIFS(Data!$S:$S,Data!$A:$A,$B39,Data!$C:$C,Q$1)=0,"",SUMIFS(Data!$S:$S,Data!$A:$A,$B39,Data!$C:$C,Q$1))</f>
        <v/>
      </c>
      <c r="R39" s="39" t="str">
        <f>IF(SUMIFS(Data!$S:$S,Data!$A:$A,$B39,Data!$C:$C,R$1)=0,"",SUMIFS(Data!$S:$S,Data!$A:$A,$B39,Data!$C:$C,R$1))</f>
        <v/>
      </c>
      <c r="S39" s="39" t="str">
        <f>IF(SUMIFS(Data!$S:$S,Data!$A:$A,$B39,Data!$C:$C,S$1)=0,"",SUMIFS(Data!$S:$S,Data!$A:$A,$B39,Data!$C:$C,S$1))</f>
        <v/>
      </c>
      <c r="T39" s="39">
        <f>IF(SUMIFS(Data!$S:$S,Data!$A:$A,$B39,Data!$C:$C,T$1)=0,"",SUMIFS(Data!$S:$S,Data!$A:$A,$B39,Data!$C:$C,T$1))</f>
        <v>1.375</v>
      </c>
      <c r="U39" s="39">
        <f>IF(SUMIFS(Data!X:X,Data!A:A,'#ligaSYR'!B39)&gt;12,5,IF(SUMIFS(Data!X:X,Data!A:A,'#ligaSYR'!B39)&gt;9,3, IF(SUMIFS(Data!X:X,Data!A:A,'#ligaSYR'!B39)&gt;4,1,0)))</f>
        <v>0</v>
      </c>
      <c r="V39" s="39">
        <f t="shared" si="0"/>
        <v>4.9880952380952381</v>
      </c>
      <c r="W39" s="39">
        <f>SUMIFS(Data!D:D,Data!A:A,'#ligaSYR'!B39)</f>
        <v>4</v>
      </c>
      <c r="X39" s="40" t="str">
        <f>IF(VLOOKUP(B39,Participanti!A:D,4,0)=0," ","New")</f>
        <v>New</v>
      </c>
      <c r="Y39" s="99">
        <f t="shared" si="1"/>
        <v>2.4940476190476191</v>
      </c>
      <c r="Z39" s="212">
        <f t="shared" si="2"/>
        <v>1</v>
      </c>
      <c r="AA39" s="212"/>
    </row>
    <row r="40" spans="1:27" ht="13.8" x14ac:dyDescent="0.3">
      <c r="A40" s="151">
        <v>39</v>
      </c>
      <c r="B40" s="38"/>
      <c r="C40" s="39" t="str">
        <f>IF(SUMIFS(Data!$S:$S,Data!$A:$A,$B40,Data!$C:$C,C$1)=0,"",SUMIFS(Data!$S:$S,Data!$A:$A,$B40,Data!$C:$C,C$1))</f>
        <v/>
      </c>
      <c r="D40" s="39" t="str">
        <f>IF(SUMIFS(Data!$S:$S,Data!$A:$A,$B40,Data!$C:$C,D$1)=0,"",SUMIFS(Data!$S:$S,Data!$A:$A,$B40,Data!$C:$C,D$1))</f>
        <v/>
      </c>
      <c r="E40" s="39" t="str">
        <f>IF(SUMIFS(Data!$S:$S,Data!$A:$A,$B40,Data!$C:$C,E$1)=0,"",SUMIFS(Data!$S:$S,Data!$A:$A,$B40,Data!$C:$C,E$1))</f>
        <v/>
      </c>
      <c r="F40" s="39" t="str">
        <f>IF(SUMIFS(Data!$S:$S,Data!$A:$A,$B40,Data!$C:$C,F$1)=0,"",SUMIFS(Data!$S:$S,Data!$A:$A,$B40,Data!$C:$C,F$1))</f>
        <v/>
      </c>
      <c r="G40" s="39" t="str">
        <f>IF(SUMIFS(Data!$S:$S,Data!$A:$A,$B40,Data!$C:$C,G$1)=0,"",SUMIFS(Data!$S:$S,Data!$A:$A,$B40,Data!$C:$C,G$1))</f>
        <v/>
      </c>
      <c r="H40" s="39" t="str">
        <f>IF(SUMIFS(Data!$S:$S,Data!$A:$A,$B40,Data!$C:$C,H$1)=0,"",SUMIFS(Data!$S:$S,Data!$A:$A,$B40,Data!$C:$C,H$1))</f>
        <v/>
      </c>
      <c r="I40" s="39" t="str">
        <f>IF(SUMIFS(Data!$S:$S,Data!$A:$A,$B40,Data!$C:$C,I$1)=0,"",SUMIFS(Data!$S:$S,Data!$A:$A,$B40,Data!$C:$C,I$1))</f>
        <v/>
      </c>
      <c r="J40" s="39" t="str">
        <f>IF(SUMIFS(Data!$S:$S,Data!$A:$A,$B40,Data!$C:$C,J$1)=0,"",SUMIFS(Data!$S:$S,Data!$A:$A,$B40,Data!$C:$C,J$1))</f>
        <v/>
      </c>
      <c r="K40" s="39" t="str">
        <f>IF(SUMIFS(Data!$S:$S,Data!$A:$A,$B40,Data!$C:$C,K$1)=0,"",SUMIFS(Data!$S:$S,Data!$A:$A,$B40,Data!$C:$C,K$1))</f>
        <v/>
      </c>
      <c r="L40" s="39" t="str">
        <f>IF(SUMIFS(Data!$S:$S,Data!$A:$A,$B40,Data!$C:$C,L$1)=0,"",SUMIFS(Data!$S:$S,Data!$A:$A,$B40,Data!$C:$C,L$1))</f>
        <v/>
      </c>
      <c r="M40" s="39" t="str">
        <f>IF(SUMIFS(Data!$S:$S,Data!$A:$A,$B40,Data!$C:$C,M$1)=0,"",SUMIFS(Data!$S:$S,Data!$A:$A,$B40,Data!$C:$C,M$1))</f>
        <v/>
      </c>
      <c r="N40" s="39" t="str">
        <f>IF(SUMIFS(Data!$S:$S,Data!$A:$A,$B40,Data!$C:$C,N$1)=0,"",SUMIFS(Data!$S:$S,Data!$A:$A,$B40,Data!$C:$C,N$1))</f>
        <v/>
      </c>
      <c r="O40" s="39" t="str">
        <f>IF(SUMIFS(Data!$S:$S,Data!$A:$A,$B40,Data!$C:$C,O$1)=0,"",SUMIFS(Data!$S:$S,Data!$A:$A,$B40,Data!$C:$C,O$1))</f>
        <v/>
      </c>
      <c r="P40" s="39" t="str">
        <f>IF(SUMIFS(Data!$S:$S,Data!$A:$A,$B40,Data!$C:$C,P$1)=0,"",SUMIFS(Data!$S:$S,Data!$A:$A,$B40,Data!$C:$C,P$1))</f>
        <v/>
      </c>
      <c r="Q40" s="39" t="str">
        <f>IF(SUMIFS(Data!$S:$S,Data!$A:$A,$B40,Data!$C:$C,Q$1)=0,"",SUMIFS(Data!$S:$S,Data!$A:$A,$B40,Data!$C:$C,Q$1))</f>
        <v/>
      </c>
      <c r="R40" s="39" t="str">
        <f>IF(SUMIFS(Data!$S:$S,Data!$A:$A,$B40,Data!$C:$C,R$1)=0,"",SUMIFS(Data!$S:$S,Data!$A:$A,$B40,Data!$C:$C,R$1))</f>
        <v/>
      </c>
      <c r="S40" s="39" t="str">
        <f>IF(SUMIFS(Data!$S:$S,Data!$A:$A,$B40,Data!$C:$C,S$1)=0,"",SUMIFS(Data!$S:$S,Data!$A:$A,$B40,Data!$C:$C,S$1))</f>
        <v/>
      </c>
      <c r="T40" s="39" t="str">
        <f>IF(SUMIFS(Data!$S:$S,Data!$A:$A,$B40,Data!$C:$C,T$1)=0,"",SUMIFS(Data!$S:$S,Data!$A:$A,$B40,Data!$C:$C,T$1))</f>
        <v/>
      </c>
      <c r="U40" s="39"/>
      <c r="V40" s="39"/>
      <c r="W40" s="39"/>
      <c r="Z40" s="212">
        <f t="shared" si="2"/>
        <v>0</v>
      </c>
      <c r="AA40" s="212"/>
    </row>
    <row r="41" spans="1:27" ht="13.8" x14ac:dyDescent="0.3">
      <c r="A41" s="151">
        <v>40</v>
      </c>
      <c r="B41" s="38"/>
      <c r="C41" s="39" t="str">
        <f>IF(SUMIFS(Data!$S:$S,Data!$A:$A,$B41,Data!$C:$C,C$1)=0,"",SUMIFS(Data!$S:$S,Data!$A:$A,$B41,Data!$C:$C,C$1))</f>
        <v/>
      </c>
      <c r="D41" s="39" t="str">
        <f>IF(SUMIFS(Data!$S:$S,Data!$A:$A,$B41,Data!$C:$C,D$1)=0,"",SUMIFS(Data!$S:$S,Data!$A:$A,$B41,Data!$C:$C,D$1))</f>
        <v/>
      </c>
      <c r="E41" s="39" t="str">
        <f>IF(SUMIFS(Data!$S:$S,Data!$A:$A,$B41,Data!$C:$C,E$1)=0,"",SUMIFS(Data!$S:$S,Data!$A:$A,$B41,Data!$C:$C,E$1))</f>
        <v/>
      </c>
      <c r="F41" s="39" t="str">
        <f>IF(SUMIFS(Data!$S:$S,Data!$A:$A,$B41,Data!$C:$C,F$1)=0,"",SUMIFS(Data!$S:$S,Data!$A:$A,$B41,Data!$C:$C,F$1))</f>
        <v/>
      </c>
      <c r="G41" s="39" t="str">
        <f>IF(SUMIFS(Data!$S:$S,Data!$A:$A,$B41,Data!$C:$C,G$1)=0,"",SUMIFS(Data!$S:$S,Data!$A:$A,$B41,Data!$C:$C,G$1))</f>
        <v/>
      </c>
      <c r="H41" s="39" t="str">
        <f>IF(SUMIFS(Data!$S:$S,Data!$A:$A,$B41,Data!$C:$C,H$1)=0,"",SUMIFS(Data!$S:$S,Data!$A:$A,$B41,Data!$C:$C,H$1))</f>
        <v/>
      </c>
      <c r="I41" s="39" t="str">
        <f>IF(SUMIFS(Data!$S:$S,Data!$A:$A,$B41,Data!$C:$C,I$1)=0,"",SUMIFS(Data!$S:$S,Data!$A:$A,$B41,Data!$C:$C,I$1))</f>
        <v/>
      </c>
      <c r="J41" s="39" t="str">
        <f>IF(SUMIFS(Data!$S:$S,Data!$A:$A,$B41,Data!$C:$C,J$1)=0,"",SUMIFS(Data!$S:$S,Data!$A:$A,$B41,Data!$C:$C,J$1))</f>
        <v/>
      </c>
      <c r="K41" s="39" t="str">
        <f>IF(SUMIFS(Data!$S:$S,Data!$A:$A,$B41,Data!$C:$C,K$1)=0,"",SUMIFS(Data!$S:$S,Data!$A:$A,$B41,Data!$C:$C,K$1))</f>
        <v/>
      </c>
      <c r="L41" s="39" t="str">
        <f>IF(SUMIFS(Data!$S:$S,Data!$A:$A,$B41,Data!$C:$C,L$1)=0,"",SUMIFS(Data!$S:$S,Data!$A:$A,$B41,Data!$C:$C,L$1))</f>
        <v/>
      </c>
      <c r="M41" s="39" t="str">
        <f>IF(SUMIFS(Data!$S:$S,Data!$A:$A,$B41,Data!$C:$C,M$1)=0,"",SUMIFS(Data!$S:$S,Data!$A:$A,$B41,Data!$C:$C,M$1))</f>
        <v/>
      </c>
      <c r="N41" s="39" t="str">
        <f>IF(SUMIFS(Data!$S:$S,Data!$A:$A,$B41,Data!$C:$C,N$1)=0,"",SUMIFS(Data!$S:$S,Data!$A:$A,$B41,Data!$C:$C,N$1))</f>
        <v/>
      </c>
      <c r="O41" s="39" t="str">
        <f>IF(SUMIFS(Data!$S:$S,Data!$A:$A,$B41,Data!$C:$C,O$1)=0,"",SUMIFS(Data!$S:$S,Data!$A:$A,$B41,Data!$C:$C,O$1))</f>
        <v/>
      </c>
      <c r="P41" s="39" t="str">
        <f>IF(SUMIFS(Data!$S:$S,Data!$A:$A,$B41,Data!$C:$C,P$1)=0,"",SUMIFS(Data!$S:$S,Data!$A:$A,$B41,Data!$C:$C,P$1))</f>
        <v/>
      </c>
      <c r="Q41" s="39" t="str">
        <f>IF(SUMIFS(Data!$S:$S,Data!$A:$A,$B41,Data!$C:$C,Q$1)=0,"",SUMIFS(Data!$S:$S,Data!$A:$A,$B41,Data!$C:$C,Q$1))</f>
        <v/>
      </c>
      <c r="R41" s="39" t="str">
        <f>IF(SUMIFS(Data!$S:$S,Data!$A:$A,$B41,Data!$C:$C,R$1)=0,"",SUMIFS(Data!$S:$S,Data!$A:$A,$B41,Data!$C:$C,R$1))</f>
        <v/>
      </c>
      <c r="S41" s="39" t="str">
        <f>IF(SUMIFS(Data!$S:$S,Data!$A:$A,$B41,Data!$C:$C,S$1)=0,"",SUMIFS(Data!$S:$S,Data!$A:$A,$B41,Data!$C:$C,S$1))</f>
        <v/>
      </c>
      <c r="T41" s="39" t="str">
        <f>IF(SUMIFS(Data!$S:$S,Data!$A:$A,$B41,Data!$C:$C,T$1)=0,"",SUMIFS(Data!$S:$S,Data!$A:$A,$B41,Data!$C:$C,T$1))</f>
        <v/>
      </c>
      <c r="U41" s="39"/>
      <c r="V41" s="39"/>
      <c r="W41" s="39"/>
      <c r="Z41" s="212">
        <f t="shared" si="2"/>
        <v>0</v>
      </c>
      <c r="AA41" s="212"/>
    </row>
    <row r="42" spans="1:27" ht="13.8" x14ac:dyDescent="0.3">
      <c r="A42" s="151">
        <v>41</v>
      </c>
      <c r="B42" s="38"/>
      <c r="C42" s="39" t="str">
        <f>IF(SUMIFS(Data!$S:$S,Data!$A:$A,$B42,Data!$C:$C,C$1)=0,"",SUMIFS(Data!$S:$S,Data!$A:$A,$B42,Data!$C:$C,C$1))</f>
        <v/>
      </c>
      <c r="D42" s="39" t="str">
        <f>IF(SUMIFS(Data!$S:$S,Data!$A:$A,$B42,Data!$C:$C,D$1)=0,"",SUMIFS(Data!$S:$S,Data!$A:$A,$B42,Data!$C:$C,D$1))</f>
        <v/>
      </c>
      <c r="E42" s="39" t="str">
        <f>IF(SUMIFS(Data!$S:$S,Data!$A:$A,$B42,Data!$C:$C,E$1)=0,"",SUMIFS(Data!$S:$S,Data!$A:$A,$B42,Data!$C:$C,E$1))</f>
        <v/>
      </c>
      <c r="F42" s="39" t="str">
        <f>IF(SUMIFS(Data!$S:$S,Data!$A:$A,$B42,Data!$C:$C,F$1)=0,"",SUMIFS(Data!$S:$S,Data!$A:$A,$B42,Data!$C:$C,F$1))</f>
        <v/>
      </c>
      <c r="G42" s="39" t="str">
        <f>IF(SUMIFS(Data!$S:$S,Data!$A:$A,$B42,Data!$C:$C,G$1)=0,"",SUMIFS(Data!$S:$S,Data!$A:$A,$B42,Data!$C:$C,G$1))</f>
        <v/>
      </c>
      <c r="H42" s="39" t="str">
        <f>IF(SUMIFS(Data!$S:$S,Data!$A:$A,$B42,Data!$C:$C,H$1)=0,"",SUMIFS(Data!$S:$S,Data!$A:$A,$B42,Data!$C:$C,H$1))</f>
        <v/>
      </c>
      <c r="I42" s="39" t="str">
        <f>IF(SUMIFS(Data!$S:$S,Data!$A:$A,$B42,Data!$C:$C,I$1)=0,"",SUMIFS(Data!$S:$S,Data!$A:$A,$B42,Data!$C:$C,I$1))</f>
        <v/>
      </c>
      <c r="J42" s="39" t="str">
        <f>IF(SUMIFS(Data!$S:$S,Data!$A:$A,$B42,Data!$C:$C,J$1)=0,"",SUMIFS(Data!$S:$S,Data!$A:$A,$B42,Data!$C:$C,J$1))</f>
        <v/>
      </c>
      <c r="K42" s="39" t="str">
        <f>IF(SUMIFS(Data!$S:$S,Data!$A:$A,$B42,Data!$C:$C,K$1)=0,"",SUMIFS(Data!$S:$S,Data!$A:$A,$B42,Data!$C:$C,K$1))</f>
        <v/>
      </c>
      <c r="L42" s="39" t="str">
        <f>IF(SUMIFS(Data!$S:$S,Data!$A:$A,$B42,Data!$C:$C,L$1)=0,"",SUMIFS(Data!$S:$S,Data!$A:$A,$B42,Data!$C:$C,L$1))</f>
        <v/>
      </c>
      <c r="M42" s="39" t="str">
        <f>IF(SUMIFS(Data!$S:$S,Data!$A:$A,$B42,Data!$C:$C,M$1)=0,"",SUMIFS(Data!$S:$S,Data!$A:$A,$B42,Data!$C:$C,M$1))</f>
        <v/>
      </c>
      <c r="N42" s="39" t="str">
        <f>IF(SUMIFS(Data!$S:$S,Data!$A:$A,$B42,Data!$C:$C,N$1)=0,"",SUMIFS(Data!$S:$S,Data!$A:$A,$B42,Data!$C:$C,N$1))</f>
        <v/>
      </c>
      <c r="O42" s="39" t="str">
        <f>IF(SUMIFS(Data!$S:$S,Data!$A:$A,$B42,Data!$C:$C,O$1)=0,"",SUMIFS(Data!$S:$S,Data!$A:$A,$B42,Data!$C:$C,O$1))</f>
        <v/>
      </c>
      <c r="P42" s="39" t="str">
        <f>IF(SUMIFS(Data!$S:$S,Data!$A:$A,$B42,Data!$C:$C,P$1)=0,"",SUMIFS(Data!$S:$S,Data!$A:$A,$B42,Data!$C:$C,P$1))</f>
        <v/>
      </c>
      <c r="Q42" s="39" t="str">
        <f>IF(SUMIFS(Data!$S:$S,Data!$A:$A,$B42,Data!$C:$C,Q$1)=0,"",SUMIFS(Data!$S:$S,Data!$A:$A,$B42,Data!$C:$C,Q$1))</f>
        <v/>
      </c>
      <c r="R42" s="39" t="str">
        <f>IF(SUMIFS(Data!$S:$S,Data!$A:$A,$B42,Data!$C:$C,R$1)=0,"",SUMIFS(Data!$S:$S,Data!$A:$A,$B42,Data!$C:$C,R$1))</f>
        <v/>
      </c>
      <c r="S42" s="39" t="str">
        <f>IF(SUMIFS(Data!$S:$S,Data!$A:$A,$B42,Data!$C:$C,S$1)=0,"",SUMIFS(Data!$S:$S,Data!$A:$A,$B42,Data!$C:$C,S$1))</f>
        <v/>
      </c>
      <c r="T42" s="39" t="str">
        <f>IF(SUMIFS(Data!$S:$S,Data!$A:$A,$B42,Data!$C:$C,T$1)=0,"",SUMIFS(Data!$S:$S,Data!$A:$A,$B42,Data!$C:$C,T$1))</f>
        <v/>
      </c>
      <c r="U42" s="39"/>
      <c r="V42" s="39"/>
      <c r="W42" s="39"/>
      <c r="Z42" s="212">
        <f t="shared" si="2"/>
        <v>0</v>
      </c>
      <c r="AA42" s="212"/>
    </row>
    <row r="43" spans="1:27" ht="13.8" x14ac:dyDescent="0.3">
      <c r="A43" s="151">
        <v>42</v>
      </c>
      <c r="B43" s="38"/>
      <c r="C43" s="39" t="str">
        <f>IF(SUMIFS(Data!$S:$S,Data!$A:$A,$B43,Data!$C:$C,C$1)=0,"",SUMIFS(Data!$S:$S,Data!$A:$A,$B43,Data!$C:$C,C$1))</f>
        <v/>
      </c>
      <c r="D43" s="39" t="str">
        <f>IF(SUMIFS(Data!$S:$S,Data!$A:$A,$B43,Data!$C:$C,D$1)=0,"",SUMIFS(Data!$S:$S,Data!$A:$A,$B43,Data!$C:$C,D$1))</f>
        <v/>
      </c>
      <c r="E43" s="39" t="str">
        <f>IF(SUMIFS(Data!$S:$S,Data!$A:$A,$B43,Data!$C:$C,E$1)=0,"",SUMIFS(Data!$S:$S,Data!$A:$A,$B43,Data!$C:$C,E$1))</f>
        <v/>
      </c>
      <c r="F43" s="39" t="str">
        <f>IF(SUMIFS(Data!$S:$S,Data!$A:$A,$B43,Data!$C:$C,F$1)=0,"",SUMIFS(Data!$S:$S,Data!$A:$A,$B43,Data!$C:$C,F$1))</f>
        <v/>
      </c>
      <c r="G43" s="39" t="str">
        <f>IF(SUMIFS(Data!$S:$S,Data!$A:$A,$B43,Data!$C:$C,G$1)=0,"",SUMIFS(Data!$S:$S,Data!$A:$A,$B43,Data!$C:$C,G$1))</f>
        <v/>
      </c>
      <c r="H43" s="39" t="str">
        <f>IF(SUMIFS(Data!$S:$S,Data!$A:$A,$B43,Data!$C:$C,H$1)=0,"",SUMIFS(Data!$S:$S,Data!$A:$A,$B43,Data!$C:$C,H$1))</f>
        <v/>
      </c>
      <c r="I43" s="39" t="str">
        <f>IF(SUMIFS(Data!$S:$S,Data!$A:$A,$B43,Data!$C:$C,I$1)=0,"",SUMIFS(Data!$S:$S,Data!$A:$A,$B43,Data!$C:$C,I$1))</f>
        <v/>
      </c>
      <c r="J43" s="39" t="str">
        <f>IF(SUMIFS(Data!$S:$S,Data!$A:$A,$B43,Data!$C:$C,J$1)=0,"",SUMIFS(Data!$S:$S,Data!$A:$A,$B43,Data!$C:$C,J$1))</f>
        <v/>
      </c>
      <c r="K43" s="39" t="str">
        <f>IF(SUMIFS(Data!$S:$S,Data!$A:$A,$B43,Data!$C:$C,K$1)=0,"",SUMIFS(Data!$S:$S,Data!$A:$A,$B43,Data!$C:$C,K$1))</f>
        <v/>
      </c>
      <c r="L43" s="39" t="str">
        <f>IF(SUMIFS(Data!$S:$S,Data!$A:$A,$B43,Data!$C:$C,L$1)=0,"",SUMIFS(Data!$S:$S,Data!$A:$A,$B43,Data!$C:$C,L$1))</f>
        <v/>
      </c>
      <c r="M43" s="39" t="str">
        <f>IF(SUMIFS(Data!$S:$S,Data!$A:$A,$B43,Data!$C:$C,M$1)=0,"",SUMIFS(Data!$S:$S,Data!$A:$A,$B43,Data!$C:$C,M$1))</f>
        <v/>
      </c>
      <c r="N43" s="39" t="str">
        <f>IF(SUMIFS(Data!$S:$S,Data!$A:$A,$B43,Data!$C:$C,N$1)=0,"",SUMIFS(Data!$S:$S,Data!$A:$A,$B43,Data!$C:$C,N$1))</f>
        <v/>
      </c>
      <c r="O43" s="39" t="str">
        <f>IF(SUMIFS(Data!$S:$S,Data!$A:$A,$B43,Data!$C:$C,O$1)=0,"",SUMIFS(Data!$S:$S,Data!$A:$A,$B43,Data!$C:$C,O$1))</f>
        <v/>
      </c>
      <c r="P43" s="39" t="str">
        <f>IF(SUMIFS(Data!$S:$S,Data!$A:$A,$B43,Data!$C:$C,P$1)=0,"",SUMIFS(Data!$S:$S,Data!$A:$A,$B43,Data!$C:$C,P$1))</f>
        <v/>
      </c>
      <c r="Q43" s="39" t="str">
        <f>IF(SUMIFS(Data!$S:$S,Data!$A:$A,$B43,Data!$C:$C,Q$1)=0,"",SUMIFS(Data!$S:$S,Data!$A:$A,$B43,Data!$C:$C,Q$1))</f>
        <v/>
      </c>
      <c r="R43" s="39" t="str">
        <f>IF(SUMIFS(Data!$S:$S,Data!$A:$A,$B43,Data!$C:$C,R$1)=0,"",SUMIFS(Data!$S:$S,Data!$A:$A,$B43,Data!$C:$C,R$1))</f>
        <v/>
      </c>
      <c r="S43" s="39" t="str">
        <f>IF(SUMIFS(Data!$S:$S,Data!$A:$A,$B43,Data!$C:$C,S$1)=0,"",SUMIFS(Data!$S:$S,Data!$A:$A,$B43,Data!$C:$C,S$1))</f>
        <v/>
      </c>
      <c r="T43" s="39" t="str">
        <f>IF(SUMIFS(Data!$S:$S,Data!$A:$A,$B43,Data!$C:$C,T$1)=0,"",SUMIFS(Data!$S:$S,Data!$A:$A,$B43,Data!$C:$C,T$1))</f>
        <v/>
      </c>
      <c r="U43" s="39"/>
      <c r="V43" s="39"/>
      <c r="W43" s="39"/>
      <c r="Z43" s="212">
        <f t="shared" si="2"/>
        <v>0</v>
      </c>
      <c r="AA43" s="212"/>
    </row>
  </sheetData>
  <autoFilter ref="A1:X43"/>
  <sortState ref="B2:Y39">
    <sortCondition descending="1" ref="V2:V39"/>
    <sortCondition descending="1" ref="W2:W39"/>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13"/>
  <sheetViews>
    <sheetView workbookViewId="0">
      <selection activeCell="U17" sqref="U17"/>
    </sheetView>
  </sheetViews>
  <sheetFormatPr defaultColWidth="9.109375" defaultRowHeight="12" x14ac:dyDescent="0.25"/>
  <cols>
    <col min="1" max="1" width="7.88671875" style="154" bestFit="1" customWidth="1"/>
    <col min="2" max="2" width="18.6640625" style="23" bestFit="1" customWidth="1"/>
    <col min="3" max="5" width="6.33203125" style="23" bestFit="1" customWidth="1"/>
    <col min="6" max="20" width="5.77734375" style="23" customWidth="1"/>
    <col min="21" max="21" width="13.21875" style="23" bestFit="1" customWidth="1"/>
    <col min="22" max="22" width="10.21875" style="23" customWidth="1"/>
    <col min="23" max="23" width="13" style="23" bestFit="1" customWidth="1"/>
    <col min="24" max="16384" width="9.109375" style="23"/>
  </cols>
  <sheetData>
    <row r="1" spans="1:24" ht="13.8" x14ac:dyDescent="0.3">
      <c r="A1" s="153" t="s">
        <v>69</v>
      </c>
      <c r="B1" s="42" t="s">
        <v>32</v>
      </c>
      <c r="C1" s="45">
        <v>1</v>
      </c>
      <c r="D1" s="45">
        <v>2</v>
      </c>
      <c r="E1" s="45">
        <v>3</v>
      </c>
      <c r="F1" s="45">
        <v>4</v>
      </c>
      <c r="G1" s="45">
        <v>5</v>
      </c>
      <c r="H1" s="81" t="s">
        <v>145</v>
      </c>
      <c r="I1" s="45">
        <v>6</v>
      </c>
      <c r="J1" s="45">
        <v>7</v>
      </c>
      <c r="K1" s="45">
        <v>8</v>
      </c>
      <c r="L1" s="45">
        <v>9</v>
      </c>
      <c r="M1" s="45">
        <v>10</v>
      </c>
      <c r="N1" s="81" t="s">
        <v>146</v>
      </c>
      <c r="O1" s="45">
        <v>11</v>
      </c>
      <c r="P1" s="45">
        <v>12</v>
      </c>
      <c r="Q1" s="45">
        <v>13</v>
      </c>
      <c r="R1" s="45">
        <v>14</v>
      </c>
      <c r="S1" s="45">
        <v>15</v>
      </c>
      <c r="T1" s="81" t="s">
        <v>147</v>
      </c>
      <c r="U1" s="101" t="s">
        <v>85</v>
      </c>
      <c r="V1" s="42" t="s">
        <v>71</v>
      </c>
      <c r="W1" s="42" t="s">
        <v>70</v>
      </c>
    </row>
    <row r="2" spans="1:24" ht="13.8" x14ac:dyDescent="0.3">
      <c r="A2" s="151">
        <v>1</v>
      </c>
      <c r="B2" s="38" t="s">
        <v>152</v>
      </c>
      <c r="C2" s="39">
        <f>IF(SUMIFS(Data!$S:$S,Data!$A:$A,$B2,Data!$C:$C,C$1)=0,"",SUMIFS(Data!$S:$S,Data!$A:$A,$B2,Data!$C:$C,C$1))</f>
        <v>4.4375</v>
      </c>
      <c r="D2" s="39">
        <f>IF(SUMIFS(Data!$S:$S,Data!$A:$A,$B2,Data!$C:$C,D$1)=0,"",SUMIFS(Data!$S:$S,Data!$A:$A,$B2,Data!$C:$C,D$1))</f>
        <v>4.7906666666666666</v>
      </c>
      <c r="E2" s="39">
        <f>IF(SUMIFS(Data!$S:$S,Data!$A:$A,$B2,Data!$C:$C,E$1)=0,"",SUMIFS(Data!$S:$S,Data!$A:$A,$B2,Data!$C:$C,E$1))</f>
        <v>7.057500000000001</v>
      </c>
      <c r="F2" s="39">
        <f>IF(SUMIFS(Data!$S:$S,Data!$A:$A,$B2,Data!$C:$C,F$1)=0,"",SUMIFS(Data!$S:$S,Data!$A:$A,$B2,Data!$C:$C,F$1))</f>
        <v>4.8086666666666664</v>
      </c>
      <c r="G2" s="39">
        <f>IF(SUMIFS(Data!$S:$S,Data!$A:$A,$B2,Data!$C:$C,G$1)=0,"",SUMIFS(Data!$S:$S,Data!$A:$A,$B2,Data!$C:$C,G$1))</f>
        <v>4.625</v>
      </c>
      <c r="H2" s="39">
        <f>IF(SUMIFS(Data!$S:$S,Data!$A:$A,$B2,Data!$C:$C,H$1)=0,"",SUMIFS(Data!$S:$S,Data!$A:$A,$B2,Data!$C:$C,H$1))</f>
        <v>2.5</v>
      </c>
      <c r="I2" s="39">
        <f>IF(SUMIFS(Data!$S:$S,Data!$A:$A,$B2,Data!$C:$C,I$1)=0,"",SUMIFS(Data!$S:$S,Data!$A:$A,$B2,Data!$C:$C,I$1))</f>
        <v>4.862333333333333</v>
      </c>
      <c r="J2" s="39">
        <f>IF(SUMIFS(Data!$S:$S,Data!$A:$A,$B2,Data!$C:$C,J$1)=0,"",SUMIFS(Data!$S:$S,Data!$A:$A,$B2,Data!$C:$C,J$1))</f>
        <v>10.658125</v>
      </c>
      <c r="K2" s="39">
        <f>IF(SUMIFS(Data!$S:$S,Data!$A:$A,$B2,Data!$C:$C,K$1)=0,"",SUMIFS(Data!$S:$S,Data!$A:$A,$B2,Data!$C:$C,K$1))</f>
        <v>4.05375</v>
      </c>
      <c r="L2" s="39">
        <f>IF(SUMIFS(Data!$S:$S,Data!$A:$A,$B2,Data!$C:$C,L$1)=0,"",SUMIFS(Data!$S:$S,Data!$A:$A,$B2,Data!$C:$C,L$1))</f>
        <v>5.426333333333333</v>
      </c>
      <c r="M2" s="39">
        <f>IF(SUMIFS(Data!$S:$S,Data!$A:$A,$B2,Data!$C:$C,M$1)=0,"",SUMIFS(Data!$S:$S,Data!$A:$A,$B2,Data!$C:$C,M$1))</f>
        <v>10.639291666666667</v>
      </c>
      <c r="N2" s="39">
        <f>IF(SUMIFS(Data!$S:$S,Data!$A:$A,$B2,Data!$C:$C,N$1)=0,"",SUMIFS(Data!$S:$S,Data!$A:$A,$B2,Data!$C:$C,N$1))</f>
        <v>2.125</v>
      </c>
      <c r="O2" s="39">
        <f>IF(SUMIFS(Data!$S:$S,Data!$A:$A,$B2,Data!$C:$C,O$1)=0,"",SUMIFS(Data!$S:$S,Data!$A:$A,$B2,Data!$C:$C,O$1))</f>
        <v>3.7687499999999998</v>
      </c>
      <c r="P2" s="39">
        <f>IF(SUMIFS(Data!$S:$S,Data!$A:$A,$B2,Data!$C:$C,P$1)=0,"",SUMIFS(Data!$S:$S,Data!$A:$A,$B2,Data!$C:$C,P$1))</f>
        <v>4.8733333333333331</v>
      </c>
      <c r="Q2" s="39">
        <f>IF(SUMIFS(Data!$S:$S,Data!$A:$A,$B2,Data!$C:$C,Q$1)=0,"",SUMIFS(Data!$S:$S,Data!$A:$A,$B2,Data!$C:$C,Q$1))</f>
        <v>3.4760416666666667</v>
      </c>
      <c r="R2" s="39">
        <f>IF(SUMIFS(Data!$S:$S,Data!$A:$A,$B2,Data!$C:$C,R$1)=0,"",SUMIFS(Data!$S:$S,Data!$A:$A,$B2,Data!$C:$C,R$1))</f>
        <v>6.1581250000000001</v>
      </c>
      <c r="S2" s="39">
        <f>IF(SUMIFS(Data!$S:$S,Data!$A:$A,$B2,Data!$C:$C,S$1)=0,"",SUMIFS(Data!$S:$S,Data!$A:$A,$B2,Data!$C:$C,S$1))</f>
        <v>3.8639999999999999</v>
      </c>
      <c r="T2" s="39">
        <f>IF(SUMIFS(Data!$S:$S,Data!$A:$A,$B2,Data!$C:$C,T$1)=0,"",SUMIFS(Data!$S:$S,Data!$A:$A,$B2,Data!$C:$C,T$1))</f>
        <v>4.125</v>
      </c>
      <c r="U2" s="39">
        <f>IF(SUMIFS(Data!X:X,Data!A:A,B2)&gt;12,5,IF(SUMIFS(Data!X:X,Data!A:A,B2)&gt;9,3, IF(SUMIFS(Data!X:X,Data!A:A,B2)&gt;4,1,0)))</f>
        <v>5</v>
      </c>
      <c r="V2" s="39">
        <f>SUM(C2:U2)</f>
        <v>97.249416666666662</v>
      </c>
      <c r="W2" s="39">
        <f>SUMIFS(Data!D:D,Data!A:A,B2)</f>
        <v>210.6</v>
      </c>
    </row>
    <row r="3" spans="1:24" ht="13.8" x14ac:dyDescent="0.3">
      <c r="A3" s="151">
        <v>2</v>
      </c>
      <c r="B3" s="38" t="s">
        <v>211</v>
      </c>
      <c r="C3" s="39">
        <f>IF(SUMIFS(Data!$S:$S,Data!$A:$A,$B3,Data!$C:$C,C$1)=0,"",SUMIFS(Data!$S:$S,Data!$A:$A,$B3,Data!$C:$C,C$1))</f>
        <v>2.917416666666667</v>
      </c>
      <c r="D3" s="39">
        <f>IF(SUMIFS(Data!$S:$S,Data!$A:$A,$B3,Data!$C:$C,D$1)=0,"",SUMIFS(Data!$S:$S,Data!$A:$A,$B3,Data!$C:$C,D$1))</f>
        <v>6.5626666666666669</v>
      </c>
      <c r="E3" s="39">
        <f>IF(SUMIFS(Data!$S:$S,Data!$A:$A,$B3,Data!$C:$C,E$1)=0,"",SUMIFS(Data!$S:$S,Data!$A:$A,$B3,Data!$C:$C,E$1))</f>
        <v>3.2952499999999998</v>
      </c>
      <c r="F3" s="39">
        <f>IF(SUMIFS(Data!$S:$S,Data!$A:$A,$B3,Data!$C:$C,F$1)=0,"",SUMIFS(Data!$S:$S,Data!$A:$A,$B3,Data!$C:$C,F$1))</f>
        <v>6.120333333333333</v>
      </c>
      <c r="G3" s="39">
        <f>IF(SUMIFS(Data!$S:$S,Data!$A:$A,$B3,Data!$C:$C,G$1)=0,"",SUMIFS(Data!$S:$S,Data!$A:$A,$B3,Data!$C:$C,G$1))</f>
        <v>5.4381249999999994</v>
      </c>
      <c r="H3" s="39">
        <f>IF(SUMIFS(Data!$S:$S,Data!$A:$A,$B3,Data!$C:$C,H$1)=0,"",SUMIFS(Data!$S:$S,Data!$A:$A,$B3,Data!$C:$C,H$1))</f>
        <v>2.25</v>
      </c>
      <c r="I3" s="39">
        <f>IF(SUMIFS(Data!$S:$S,Data!$A:$A,$B3,Data!$C:$C,I$1)=0,"",SUMIFS(Data!$S:$S,Data!$A:$A,$B3,Data!$C:$C,I$1))</f>
        <v>4.8933333333333335</v>
      </c>
      <c r="J3" s="39">
        <f>IF(SUMIFS(Data!$S:$S,Data!$A:$A,$B3,Data!$C:$C,J$1)=0,"",SUMIFS(Data!$S:$S,Data!$A:$A,$B3,Data!$C:$C,J$1))</f>
        <v>7.601583333333334</v>
      </c>
      <c r="K3" s="39">
        <f>IF(SUMIFS(Data!$S:$S,Data!$A:$A,$B3,Data!$C:$C,K$1)=0,"",SUMIFS(Data!$S:$S,Data!$A:$A,$B3,Data!$C:$C,K$1))</f>
        <v>4.3886666666666665</v>
      </c>
      <c r="L3" s="39">
        <f>IF(SUMIFS(Data!$S:$S,Data!$A:$A,$B3,Data!$C:$C,L$1)=0,"",SUMIFS(Data!$S:$S,Data!$A:$A,$B3,Data!$C:$C,L$1))</f>
        <v>4.4506250000000005</v>
      </c>
      <c r="M3" s="39">
        <f>IF(SUMIFS(Data!$S:$S,Data!$A:$A,$B3,Data!$C:$C,M$1)=0,"",SUMIFS(Data!$S:$S,Data!$A:$A,$B3,Data!$C:$C,M$1))</f>
        <v>3.4914166666666664</v>
      </c>
      <c r="N3" s="39">
        <f>IF(SUMIFS(Data!$S:$S,Data!$A:$A,$B3,Data!$C:$C,N$1)=0,"",SUMIFS(Data!$S:$S,Data!$A:$A,$B3,Data!$C:$C,N$1))</f>
        <v>3.625</v>
      </c>
      <c r="O3" s="39">
        <f>IF(SUMIFS(Data!$S:$S,Data!$A:$A,$B3,Data!$C:$C,O$1)=0,"",SUMIFS(Data!$S:$S,Data!$A:$A,$B3,Data!$C:$C,O$1))</f>
        <v>4.6983333333333333</v>
      </c>
      <c r="P3" s="39">
        <f>IF(SUMIFS(Data!$S:$S,Data!$A:$A,$B3,Data!$C:$C,P$1)=0,"",SUMIFS(Data!$S:$S,Data!$A:$A,$B3,Data!$C:$C,P$1))</f>
        <v>4.1230416666666665</v>
      </c>
      <c r="Q3" s="39">
        <f>IF(SUMIFS(Data!$S:$S,Data!$A:$A,$B3,Data!$C:$C,Q$1)=0,"",SUMIFS(Data!$S:$S,Data!$A:$A,$B3,Data!$C:$C,Q$1))</f>
        <v>3.5631249999999999</v>
      </c>
      <c r="R3" s="39">
        <f>IF(SUMIFS(Data!$S:$S,Data!$A:$A,$B3,Data!$C:$C,R$1)=0,"",SUMIFS(Data!$S:$S,Data!$A:$A,$B3,Data!$C:$C,R$1))</f>
        <v>3.5762499999999999</v>
      </c>
      <c r="S3" s="39">
        <f>IF(SUMIFS(Data!$S:$S,Data!$A:$A,$B3,Data!$C:$C,S$1)=0,"",SUMIFS(Data!$S:$S,Data!$A:$A,$B3,Data!$C:$C,S$1))</f>
        <v>3.6839999999999997</v>
      </c>
      <c r="T3" s="39">
        <f>IF(SUMIFS(Data!$S:$S,Data!$A:$A,$B3,Data!$C:$C,T$1)=0,"",SUMIFS(Data!$S:$S,Data!$A:$A,$B3,Data!$C:$C,T$1))</f>
        <v>1.625</v>
      </c>
      <c r="U3" s="39">
        <f>IF(SUMIFS(Data!X:X,Data!A:A,B3)&gt;12,5,IF(SUMIFS(Data!X:X,Data!A:A,B3)&gt;9,3, IF(SUMIFS(Data!X:X,Data!A:A,B3)&gt;4,1,0)))</f>
        <v>5</v>
      </c>
      <c r="V3" s="39">
        <f t="shared" ref="V3:V11" si="0">SUM(C3:U3)</f>
        <v>81.30416666666666</v>
      </c>
      <c r="W3" s="39">
        <f>SUMIFS(Data!D:D,Data!A:A,B3)</f>
        <v>233.39999999999998</v>
      </c>
    </row>
    <row r="4" spans="1:24" ht="13.8" x14ac:dyDescent="0.3">
      <c r="A4" s="151">
        <v>3</v>
      </c>
      <c r="B4" s="38" t="s">
        <v>153</v>
      </c>
      <c r="C4" s="39">
        <f>IF(SUMIFS(Data!$S:$S,Data!$A:$A,$B4,Data!$C:$C,C$1)=0,"",SUMIFS(Data!$S:$S,Data!$A:$A,$B4,Data!$C:$C,C$1))</f>
        <v>2.7506249999999999</v>
      </c>
      <c r="D4" s="39">
        <f>IF(SUMIFS(Data!$S:$S,Data!$A:$A,$B4,Data!$C:$C,D$1)=0,"",SUMIFS(Data!$S:$S,Data!$A:$A,$B4,Data!$C:$C,D$1))</f>
        <v>3.0006249999999999</v>
      </c>
      <c r="E4" s="39">
        <f>IF(SUMIFS(Data!$S:$S,Data!$A:$A,$B4,Data!$C:$C,E$1)=0,"",SUMIFS(Data!$S:$S,Data!$A:$A,$B4,Data!$C:$C,E$1))</f>
        <v>3.0018750000000001</v>
      </c>
      <c r="F4" s="39">
        <f>IF(SUMIFS(Data!$S:$S,Data!$A:$A,$B4,Data!$C:$C,F$1)=0,"",SUMIFS(Data!$S:$S,Data!$A:$A,$B4,Data!$C:$C,F$1))</f>
        <v>3.9710000000000001</v>
      </c>
      <c r="G4" s="39">
        <f>IF(SUMIFS(Data!$S:$S,Data!$A:$A,$B4,Data!$C:$C,G$1)=0,"",SUMIFS(Data!$S:$S,Data!$A:$A,$B4,Data!$C:$C,G$1))</f>
        <v>3.1256249999999999</v>
      </c>
      <c r="H4" s="39">
        <f>IF(SUMIFS(Data!$S:$S,Data!$A:$A,$B4,Data!$C:$C,H$1)=0,"",SUMIFS(Data!$S:$S,Data!$A:$A,$B4,Data!$C:$C,H$1))</f>
        <v>2</v>
      </c>
      <c r="I4" s="39">
        <f>IF(SUMIFS(Data!$S:$S,Data!$A:$A,$B4,Data!$C:$C,I$1)=0,"",SUMIFS(Data!$S:$S,Data!$A:$A,$B4,Data!$C:$C,I$1))</f>
        <v>0.47733333333333328</v>
      </c>
      <c r="J4" s="39">
        <f>IF(SUMIFS(Data!$S:$S,Data!$A:$A,$B4,Data!$C:$C,J$1)=0,"",SUMIFS(Data!$S:$S,Data!$A:$A,$B4,Data!$C:$C,J$1))</f>
        <v>3.0631249999999999</v>
      </c>
      <c r="K4" s="39">
        <f>IF(SUMIFS(Data!$S:$S,Data!$A:$A,$B4,Data!$C:$C,K$1)=0,"",SUMIFS(Data!$S:$S,Data!$A:$A,$B4,Data!$C:$C,K$1))</f>
        <v>12.188750000000001</v>
      </c>
      <c r="L4" s="39">
        <f>IF(SUMIFS(Data!$S:$S,Data!$A:$A,$B4,Data!$C:$C,L$1)=0,"",SUMIFS(Data!$S:$S,Data!$A:$A,$B4,Data!$C:$C,L$1))</f>
        <v>1.9787083333333335</v>
      </c>
      <c r="M4" s="39">
        <f>IF(SUMIFS(Data!$S:$S,Data!$A:$A,$B4,Data!$C:$C,M$1)=0,"",SUMIFS(Data!$S:$S,Data!$A:$A,$B4,Data!$C:$C,M$1))</f>
        <v>3.4901666666666666</v>
      </c>
      <c r="N4" s="39">
        <f>IF(SUMIFS(Data!$S:$S,Data!$A:$A,$B4,Data!$C:$C,N$1)=0,"",SUMIFS(Data!$S:$S,Data!$A:$A,$B4,Data!$C:$C,N$1))</f>
        <v>2.6875</v>
      </c>
      <c r="O4" s="39" t="str">
        <f>IF(SUMIFS(Data!$S:$S,Data!$A:$A,$B4,Data!$C:$C,O$1)=0,"",SUMIFS(Data!$S:$S,Data!$A:$A,$B4,Data!$C:$C,O$1))</f>
        <v/>
      </c>
      <c r="P4" s="39">
        <f>IF(SUMIFS(Data!$S:$S,Data!$A:$A,$B4,Data!$C:$C,P$1)=0,"",SUMIFS(Data!$S:$S,Data!$A:$A,$B4,Data!$C:$C,P$1))</f>
        <v>1.6893750000000001</v>
      </c>
      <c r="Q4" s="39">
        <f>IF(SUMIFS(Data!$S:$S,Data!$A:$A,$B4,Data!$C:$C,Q$1)=0,"",SUMIFS(Data!$S:$S,Data!$A:$A,$B4,Data!$C:$C,Q$1))</f>
        <v>2.8617083333333335</v>
      </c>
      <c r="R4" s="39">
        <f>IF(SUMIFS(Data!$S:$S,Data!$A:$A,$B4,Data!$C:$C,R$1)=0,"",SUMIFS(Data!$S:$S,Data!$A:$A,$B4,Data!$C:$C,R$1))</f>
        <v>2.7905416666666669</v>
      </c>
      <c r="S4" s="39">
        <f>IF(SUMIFS(Data!$S:$S,Data!$A:$A,$B4,Data!$C:$C,S$1)=0,"",SUMIFS(Data!$S:$S,Data!$A:$A,$B4,Data!$C:$C,S$1))</f>
        <v>3.0012499999999998</v>
      </c>
      <c r="T4" s="39">
        <f>IF(SUMIFS(Data!$S:$S,Data!$A:$A,$B4,Data!$C:$C,T$1)=0,"",SUMIFS(Data!$S:$S,Data!$A:$A,$B4,Data!$C:$C,T$1))</f>
        <v>2.875</v>
      </c>
      <c r="U4" s="39">
        <f>IF(SUMIFS(Data!X:X,Data!A:A,B4)&gt;12,5,IF(SUMIFS(Data!X:X,Data!A:A,B4)&gt;9,3, IF(SUMIFS(Data!X:X,Data!A:A,B4)&gt;4,1,0)))</f>
        <v>5</v>
      </c>
      <c r="V4" s="39">
        <f t="shared" si="0"/>
        <v>59.953208333333329</v>
      </c>
      <c r="W4" s="39">
        <f>SUMIFS(Data!D:D,Data!A:A,B4)</f>
        <v>127.12000000000002</v>
      </c>
    </row>
    <row r="5" spans="1:24" ht="13.8" x14ac:dyDescent="0.3">
      <c r="A5" s="151">
        <v>4</v>
      </c>
      <c r="B5" s="38" t="s">
        <v>103</v>
      </c>
      <c r="C5" s="39">
        <f>IF(SUMIFS(Data!$S:$S,Data!$A:$A,$B5,Data!$C:$C,C$1)=0,"",SUMIFS(Data!$S:$S,Data!$A:$A,$B5,Data!$C:$C,C$1))</f>
        <v>1.51</v>
      </c>
      <c r="D5" s="39">
        <f>IF(SUMIFS(Data!$S:$S,Data!$A:$A,$B5,Data!$C:$C,D$1)=0,"",SUMIFS(Data!$S:$S,Data!$A:$A,$B5,Data!$C:$C,D$1))</f>
        <v>4.375</v>
      </c>
      <c r="E5" s="39">
        <f>IF(SUMIFS(Data!$S:$S,Data!$A:$A,$B5,Data!$C:$C,E$1)=0,"",SUMIFS(Data!$S:$S,Data!$A:$A,$B5,Data!$C:$C,E$1))</f>
        <v>2.6287500000000001</v>
      </c>
      <c r="F5" s="39">
        <f>IF(SUMIFS(Data!$S:$S,Data!$A:$A,$B5,Data!$C:$C,F$1)=0,"",SUMIFS(Data!$S:$S,Data!$A:$A,$B5,Data!$C:$C,F$1))</f>
        <v>1.441875</v>
      </c>
      <c r="G5" s="39">
        <f>IF(SUMIFS(Data!$S:$S,Data!$A:$A,$B5,Data!$C:$C,G$1)=0,"",SUMIFS(Data!$S:$S,Data!$A:$A,$B5,Data!$C:$C,G$1))</f>
        <v>2.8756249999999999</v>
      </c>
      <c r="H5" s="39">
        <f>IF(SUMIFS(Data!$S:$S,Data!$A:$A,$B5,Data!$C:$C,H$1)=0,"",SUMIFS(Data!$S:$S,Data!$A:$A,$B5,Data!$C:$C,H$1))</f>
        <v>1.8125</v>
      </c>
      <c r="I5" s="39">
        <f>IF(SUMIFS(Data!$S:$S,Data!$A:$A,$B5,Data!$C:$C,I$1)=0,"",SUMIFS(Data!$S:$S,Data!$A:$A,$B5,Data!$C:$C,I$1))</f>
        <v>3.3143750000000001</v>
      </c>
      <c r="J5" s="39">
        <f>IF(SUMIFS(Data!$S:$S,Data!$A:$A,$B5,Data!$C:$C,J$1)=0,"",SUMIFS(Data!$S:$S,Data!$A:$A,$B5,Data!$C:$C,J$1))</f>
        <v>3.1893750000000001</v>
      </c>
      <c r="K5" s="39" t="str">
        <f>IF(SUMIFS(Data!$S:$S,Data!$A:$A,$B5,Data!$C:$C,K$1)=0,"",SUMIFS(Data!$S:$S,Data!$A:$A,$B5,Data!$C:$C,K$1))</f>
        <v/>
      </c>
      <c r="L5" s="39">
        <f>IF(SUMIFS(Data!$S:$S,Data!$A:$A,$B5,Data!$C:$C,L$1)=0,"",SUMIFS(Data!$S:$S,Data!$A:$A,$B5,Data!$C:$C,L$1))</f>
        <v>1.5</v>
      </c>
      <c r="M5" s="39">
        <f>IF(SUMIFS(Data!$S:$S,Data!$A:$A,$B5,Data!$C:$C,M$1)=0,"",SUMIFS(Data!$S:$S,Data!$A:$A,$B5,Data!$C:$C,M$1))</f>
        <v>3.1881249999999999</v>
      </c>
      <c r="N5" s="39">
        <f>IF(SUMIFS(Data!$S:$S,Data!$A:$A,$B5,Data!$C:$C,N$1)=0,"",SUMIFS(Data!$S:$S,Data!$A:$A,$B5,Data!$C:$C,N$1))</f>
        <v>1.5625</v>
      </c>
      <c r="O5" s="39">
        <f>IF(SUMIFS(Data!$S:$S,Data!$A:$A,$B5,Data!$C:$C,O$1)=0,"",SUMIFS(Data!$S:$S,Data!$A:$A,$B5,Data!$C:$C,O$1))</f>
        <v>2.8131249999999999</v>
      </c>
      <c r="P5" s="39">
        <f>IF(SUMIFS(Data!$S:$S,Data!$A:$A,$B5,Data!$C:$C,P$1)=0,"",SUMIFS(Data!$S:$S,Data!$A:$A,$B5,Data!$C:$C,P$1))</f>
        <v>3.4873750000000001</v>
      </c>
      <c r="Q5" s="39">
        <f>IF(SUMIFS(Data!$S:$S,Data!$A:$A,$B5,Data!$C:$C,Q$1)=0,"",SUMIFS(Data!$S:$S,Data!$A:$A,$B5,Data!$C:$C,Q$1))</f>
        <v>2.8131249999999999</v>
      </c>
      <c r="R5" s="39">
        <f>IF(SUMIFS(Data!$S:$S,Data!$A:$A,$B5,Data!$C:$C,R$1)=0,"",SUMIFS(Data!$S:$S,Data!$A:$A,$B5,Data!$C:$C,R$1))</f>
        <v>2.2506249999999999</v>
      </c>
      <c r="S5" s="39">
        <f>IF(SUMIFS(Data!$S:$S,Data!$A:$A,$B5,Data!$C:$C,S$1)=0,"",SUMIFS(Data!$S:$S,Data!$A:$A,$B5,Data!$C:$C,S$1))</f>
        <v>2.5225</v>
      </c>
      <c r="T5" s="39">
        <f>IF(SUMIFS(Data!$S:$S,Data!$A:$A,$B5,Data!$C:$C,T$1)=0,"",SUMIFS(Data!$S:$S,Data!$A:$A,$B5,Data!$C:$C,T$1))</f>
        <v>2.375</v>
      </c>
      <c r="U5" s="39">
        <f>IF(SUMIFS(Data!X:X,Data!A:A,B5)&gt;12,5,IF(SUMIFS(Data!X:X,Data!A:A,B5)&gt;9,3, IF(SUMIFS(Data!X:X,Data!A:A,B5)&gt;4,1,0)))</f>
        <v>5</v>
      </c>
      <c r="V5" s="39">
        <f t="shared" si="0"/>
        <v>48.659875</v>
      </c>
      <c r="W5" s="39">
        <f>SUMIFS(Data!D:D,Data!A:A,B5)</f>
        <v>125.08000000000004</v>
      </c>
      <c r="X5" s="46"/>
    </row>
    <row r="6" spans="1:24" ht="13.8" x14ac:dyDescent="0.3">
      <c r="A6" s="151">
        <v>5</v>
      </c>
      <c r="B6" s="38" t="s">
        <v>196</v>
      </c>
      <c r="C6" s="39">
        <f>IF(SUMIFS(Data!$S:$S,Data!$A:$A,$B6,Data!$C:$C,C$1)=0,"",SUMIFS(Data!$S:$S,Data!$A:$A,$B6,Data!$C:$C,C$1))</f>
        <v>3.7856666666666667</v>
      </c>
      <c r="D6" s="39">
        <f>IF(SUMIFS(Data!$S:$S,Data!$A:$A,$B6,Data!$C:$C,D$1)=0,"",SUMIFS(Data!$S:$S,Data!$A:$A,$B6,Data!$C:$C,D$1))</f>
        <v>1.7318750000000001</v>
      </c>
      <c r="E6" s="39">
        <f>IF(SUMIFS(Data!$S:$S,Data!$A:$A,$B6,Data!$C:$C,E$1)=0,"",SUMIFS(Data!$S:$S,Data!$A:$A,$B6,Data!$C:$C,E$1))</f>
        <v>3.6311249999999995</v>
      </c>
      <c r="F6" s="39">
        <f>IF(SUMIFS(Data!$S:$S,Data!$A:$A,$B6,Data!$C:$C,F$1)=0,"",SUMIFS(Data!$S:$S,Data!$A:$A,$B6,Data!$C:$C,F$1))</f>
        <v>1.8131250000000001</v>
      </c>
      <c r="G6" s="39">
        <f>IF(SUMIFS(Data!$S:$S,Data!$A:$A,$B6,Data!$C:$C,G$1)=0,"",SUMIFS(Data!$S:$S,Data!$A:$A,$B6,Data!$C:$C,G$1))</f>
        <v>1.765625</v>
      </c>
      <c r="H6" s="39">
        <f>IF(SUMIFS(Data!$S:$S,Data!$A:$A,$B6,Data!$C:$C,H$1)=0,"",SUMIFS(Data!$S:$S,Data!$A:$A,$B6,Data!$C:$C,H$1))</f>
        <v>4.0625</v>
      </c>
      <c r="I6" s="39">
        <f>IF(SUMIFS(Data!$S:$S,Data!$A:$A,$B6,Data!$C:$C,I$1)=0,"",SUMIFS(Data!$S:$S,Data!$A:$A,$B6,Data!$C:$C,I$1))</f>
        <v>4.3466666666666667</v>
      </c>
      <c r="J6" s="39" t="str">
        <f>IF(SUMIFS(Data!$S:$S,Data!$A:$A,$B6,Data!$C:$C,J$1)=0,"",SUMIFS(Data!$S:$S,Data!$A:$A,$B6,Data!$C:$C,J$1))</f>
        <v/>
      </c>
      <c r="K6" s="39">
        <f>IF(SUMIFS(Data!$S:$S,Data!$A:$A,$B6,Data!$C:$C,K$1)=0,"",SUMIFS(Data!$S:$S,Data!$A:$A,$B6,Data!$C:$C,K$1))</f>
        <v>2.879375</v>
      </c>
      <c r="L6" s="39">
        <f>IF(SUMIFS(Data!$S:$S,Data!$A:$A,$B6,Data!$C:$C,L$1)=0,"",SUMIFS(Data!$S:$S,Data!$A:$A,$B6,Data!$C:$C,L$1))</f>
        <v>1.6875</v>
      </c>
      <c r="M6" s="39" t="str">
        <f>IF(SUMIFS(Data!$S:$S,Data!$A:$A,$B6,Data!$C:$C,M$1)=0,"",SUMIFS(Data!$S:$S,Data!$A:$A,$B6,Data!$C:$C,M$1))</f>
        <v/>
      </c>
      <c r="N6" s="39">
        <f>IF(SUMIFS(Data!$S:$S,Data!$A:$A,$B6,Data!$C:$C,N$1)=0,"",SUMIFS(Data!$S:$S,Data!$A:$A,$B6,Data!$C:$C,N$1))</f>
        <v>3.5</v>
      </c>
      <c r="O6" s="39">
        <f>IF(SUMIFS(Data!$S:$S,Data!$A:$A,$B6,Data!$C:$C,O$1)=0,"",SUMIFS(Data!$S:$S,Data!$A:$A,$B6,Data!$C:$C,O$1))</f>
        <v>2.8768750000000001</v>
      </c>
      <c r="P6" s="39">
        <f>IF(SUMIFS(Data!$S:$S,Data!$A:$A,$B6,Data!$C:$C,P$1)=0,"",SUMIFS(Data!$S:$S,Data!$A:$A,$B6,Data!$C:$C,P$1))</f>
        <v>1.4781249999999999</v>
      </c>
      <c r="Q6" s="39">
        <f>IF(SUMIFS(Data!$S:$S,Data!$A:$A,$B6,Data!$C:$C,Q$1)=0,"",SUMIFS(Data!$S:$S,Data!$A:$A,$B6,Data!$C:$C,Q$1))</f>
        <v>3.1875</v>
      </c>
      <c r="R6" s="39">
        <f>IF(SUMIFS(Data!$S:$S,Data!$A:$A,$B6,Data!$C:$C,R$1)=0,"",SUMIFS(Data!$S:$S,Data!$A:$A,$B6,Data!$C:$C,R$1))</f>
        <v>1.75</v>
      </c>
      <c r="S6" s="39">
        <f>IF(SUMIFS(Data!$S:$S,Data!$A:$A,$B6,Data!$C:$C,S$1)=0,"",SUMIFS(Data!$S:$S,Data!$A:$A,$B6,Data!$C:$C,S$1))</f>
        <v>2.0499999999999998</v>
      </c>
      <c r="T6" s="39">
        <f>IF(SUMIFS(Data!$S:$S,Data!$A:$A,$B6,Data!$C:$C,T$1)=0,"",SUMIFS(Data!$S:$S,Data!$A:$A,$B6,Data!$C:$C,T$1))</f>
        <v>2.1875</v>
      </c>
      <c r="U6" s="39">
        <f>IF(SUMIFS(Data!X:X,Data!A:A,B6)&gt;12,5,IF(SUMIFS(Data!X:X,Data!A:A,B6)&gt;9,3, IF(SUMIFS(Data!X:X,Data!A:A,B6)&gt;4,1,0)))</f>
        <v>3</v>
      </c>
      <c r="V6" s="39">
        <f t="shared" si="0"/>
        <v>45.733458333333324</v>
      </c>
      <c r="W6" s="39">
        <f>SUMIFS(Data!D:D,Data!A:A,B6)</f>
        <v>166.25</v>
      </c>
    </row>
    <row r="7" spans="1:24" ht="13.8" x14ac:dyDescent="0.3">
      <c r="A7" s="151">
        <v>6</v>
      </c>
      <c r="B7" s="38" t="s">
        <v>202</v>
      </c>
      <c r="C7" s="39" t="str">
        <f>IF(SUMIFS(Data!$S:$S,Data!$A:$A,$B7,Data!$C:$C,C$1)=0,"",SUMIFS(Data!$S:$S,Data!$A:$A,$B7,Data!$C:$C,C$1))</f>
        <v/>
      </c>
      <c r="D7" s="39">
        <f>IF(SUMIFS(Data!$S:$S,Data!$A:$A,$B7,Data!$C:$C,D$1)=0,"",SUMIFS(Data!$S:$S,Data!$A:$A,$B7,Data!$C:$C,D$1))</f>
        <v>4</v>
      </c>
      <c r="E7" s="39">
        <f>IF(SUMIFS(Data!$S:$S,Data!$A:$A,$B7,Data!$C:$C,E$1)=0,"",SUMIFS(Data!$S:$S,Data!$A:$A,$B7,Data!$C:$C,E$1))</f>
        <v>1.5</v>
      </c>
      <c r="F7" s="39">
        <f>IF(SUMIFS(Data!$S:$S,Data!$A:$A,$B7,Data!$C:$C,F$1)=0,"",SUMIFS(Data!$S:$S,Data!$A:$A,$B7,Data!$C:$C,F$1))</f>
        <v>1.00125</v>
      </c>
      <c r="G7" s="39">
        <f>IF(SUMIFS(Data!$S:$S,Data!$A:$A,$B7,Data!$C:$C,G$1)=0,"",SUMIFS(Data!$S:$S,Data!$A:$A,$B7,Data!$C:$C,G$1))</f>
        <v>2.6331250000000002</v>
      </c>
      <c r="H7" s="39">
        <f>IF(SUMIFS(Data!$S:$S,Data!$A:$A,$B7,Data!$C:$C,H$1)=0,"",SUMIFS(Data!$S:$S,Data!$A:$A,$B7,Data!$C:$C,H$1))</f>
        <v>2.625</v>
      </c>
      <c r="I7" s="39">
        <f>IF(SUMIFS(Data!$S:$S,Data!$A:$A,$B7,Data!$C:$C,I$1)=0,"",SUMIFS(Data!$S:$S,Data!$A:$A,$B7,Data!$C:$C,I$1))</f>
        <v>1.5106250000000001</v>
      </c>
      <c r="J7" s="39">
        <f>IF(SUMIFS(Data!$S:$S,Data!$A:$A,$B7,Data!$C:$C,J$1)=0,"",SUMIFS(Data!$S:$S,Data!$A:$A,$B7,Data!$C:$C,J$1))</f>
        <v>2.1268750000000001</v>
      </c>
      <c r="K7" s="39">
        <f>IF(SUMIFS(Data!$S:$S,Data!$A:$A,$B7,Data!$C:$C,K$1)=0,"",SUMIFS(Data!$S:$S,Data!$A:$A,$B7,Data!$C:$C,K$1))</f>
        <v>1.278125</v>
      </c>
      <c r="L7" s="39">
        <f>IF(SUMIFS(Data!$S:$S,Data!$A:$A,$B7,Data!$C:$C,L$1)=0,"",SUMIFS(Data!$S:$S,Data!$A:$A,$B7,Data!$C:$C,L$1))</f>
        <v>4</v>
      </c>
      <c r="M7" s="39">
        <f>IF(SUMIFS(Data!$S:$S,Data!$A:$A,$B7,Data!$C:$C,M$1)=0,"",SUMIFS(Data!$S:$S,Data!$A:$A,$B7,Data!$C:$C,M$1))</f>
        <v>2.4375</v>
      </c>
      <c r="N7" s="39">
        <f>IF(SUMIFS(Data!$S:$S,Data!$A:$A,$B7,Data!$C:$C,N$1)=0,"",SUMIFS(Data!$S:$S,Data!$A:$A,$B7,Data!$C:$C,N$1))</f>
        <v>3.0625</v>
      </c>
      <c r="O7" s="39">
        <f>IF(SUMIFS(Data!$S:$S,Data!$A:$A,$B7,Data!$C:$C,O$1)=0,"",SUMIFS(Data!$S:$S,Data!$A:$A,$B7,Data!$C:$C,O$1))</f>
        <v>2.0318749999999999</v>
      </c>
      <c r="P7" s="39">
        <f>IF(SUMIFS(Data!$S:$S,Data!$A:$A,$B7,Data!$C:$C,P$1)=0,"",SUMIFS(Data!$S:$S,Data!$A:$A,$B7,Data!$C:$C,P$1))</f>
        <v>1.6945833333333336</v>
      </c>
      <c r="Q7" s="39">
        <f>IF(SUMIFS(Data!$S:$S,Data!$A:$A,$B7,Data!$C:$C,Q$1)=0,"",SUMIFS(Data!$S:$S,Data!$A:$A,$B7,Data!$C:$C,Q$1))</f>
        <v>1.4275</v>
      </c>
      <c r="R7" s="39">
        <f>IF(SUMIFS(Data!$S:$S,Data!$A:$A,$B7,Data!$C:$C,R$1)=0,"",SUMIFS(Data!$S:$S,Data!$A:$A,$B7,Data!$C:$C,R$1))</f>
        <v>1.2818749999999999</v>
      </c>
      <c r="S7" s="39">
        <f>IF(SUMIFS(Data!$S:$S,Data!$A:$A,$B7,Data!$C:$C,S$1)=0,"",SUMIFS(Data!$S:$S,Data!$A:$A,$B7,Data!$C:$C,S$1))</f>
        <v>3.25</v>
      </c>
      <c r="T7" s="39">
        <f>IF(SUMIFS(Data!$S:$S,Data!$A:$A,$B7,Data!$C:$C,T$1)=0,"",SUMIFS(Data!$S:$S,Data!$A:$A,$B7,Data!$C:$C,T$1))</f>
        <v>3.875</v>
      </c>
      <c r="U7" s="39">
        <f>IF(SUMIFS(Data!X:X,Data!A:A,B7)&gt;12,5,IF(SUMIFS(Data!X:X,Data!A:A,B7)&gt;9,3, IF(SUMIFS(Data!X:X,Data!A:A,B7)&gt;4,1,0)))</f>
        <v>5</v>
      </c>
      <c r="V7" s="39">
        <f t="shared" si="0"/>
        <v>44.735833333333332</v>
      </c>
      <c r="W7" s="39">
        <f>SUMIFS(Data!D:D,Data!A:A,B7)</f>
        <v>126.67</v>
      </c>
    </row>
    <row r="8" spans="1:24" ht="13.8" x14ac:dyDescent="0.3">
      <c r="A8" s="151">
        <v>7</v>
      </c>
      <c r="B8" s="38" t="s">
        <v>66</v>
      </c>
      <c r="C8" s="39">
        <f>IF(SUMIFS(Data!$S:$S,Data!$A:$A,$B8,Data!$C:$C,C$1)=0,"",SUMIFS(Data!$S:$S,Data!$A:$A,$B8,Data!$C:$C,C$1))</f>
        <v>1.881875</v>
      </c>
      <c r="D8" s="39">
        <f>IF(SUMIFS(Data!$S:$S,Data!$A:$A,$B8,Data!$C:$C,D$1)=0,"",SUMIFS(Data!$S:$S,Data!$A:$A,$B8,Data!$C:$C,D$1))</f>
        <v>1.9512499999999999</v>
      </c>
      <c r="E8" s="39">
        <f>IF(SUMIFS(Data!$S:$S,Data!$A:$A,$B8,Data!$C:$C,E$1)=0,"",SUMIFS(Data!$S:$S,Data!$A:$A,$B8,Data!$C:$C,E$1))</f>
        <v>2.2018750000000002</v>
      </c>
      <c r="F8" s="39">
        <f>IF(SUMIFS(Data!$S:$S,Data!$A:$A,$B8,Data!$C:$C,F$1)=0,"",SUMIFS(Data!$S:$S,Data!$A:$A,$B8,Data!$C:$C,F$1))</f>
        <v>1.9512499999999999</v>
      </c>
      <c r="G8" s="39">
        <f>IF(SUMIFS(Data!$S:$S,Data!$A:$A,$B8,Data!$C:$C,G$1)=0,"",SUMIFS(Data!$S:$S,Data!$A:$A,$B8,Data!$C:$C,G$1))</f>
        <v>2.4518750000000002</v>
      </c>
      <c r="H8" s="39">
        <f>IF(SUMIFS(Data!$S:$S,Data!$A:$A,$B8,Data!$C:$C,H$1)=0,"",SUMIFS(Data!$S:$S,Data!$A:$A,$B8,Data!$C:$C,H$1))</f>
        <v>3</v>
      </c>
      <c r="I8" s="39" t="str">
        <f>IF(SUMIFS(Data!$S:$S,Data!$A:$A,$B8,Data!$C:$C,I$1)=0,"",SUMIFS(Data!$S:$S,Data!$A:$A,$B8,Data!$C:$C,I$1))</f>
        <v/>
      </c>
      <c r="J8" s="39">
        <f>IF(SUMIFS(Data!$S:$S,Data!$A:$A,$B8,Data!$C:$C,J$1)=0,"",SUMIFS(Data!$S:$S,Data!$A:$A,$B8,Data!$C:$C,J$1))</f>
        <v>2.8250000000000002</v>
      </c>
      <c r="K8" s="39">
        <f>IF(SUMIFS(Data!$S:$S,Data!$A:$A,$B8,Data!$C:$C,K$1)=0,"",SUMIFS(Data!$S:$S,Data!$A:$A,$B8,Data!$C:$C,K$1))</f>
        <v>1.95</v>
      </c>
      <c r="L8" s="39">
        <f>IF(SUMIFS(Data!$S:$S,Data!$A:$A,$B8,Data!$C:$C,L$1)=0,"",SUMIFS(Data!$S:$S,Data!$A:$A,$B8,Data!$C:$C,L$1))</f>
        <v>2.4612499999999997</v>
      </c>
      <c r="M8" s="39">
        <f>IF(SUMIFS(Data!$S:$S,Data!$A:$A,$B8,Data!$C:$C,M$1)=0,"",SUMIFS(Data!$S:$S,Data!$A:$A,$B8,Data!$C:$C,M$1))</f>
        <v>1.9568749999999999</v>
      </c>
      <c r="N8" s="39">
        <f>IF(SUMIFS(Data!$S:$S,Data!$A:$A,$B8,Data!$C:$C,N$1)=0,"",SUMIFS(Data!$S:$S,Data!$A:$A,$B8,Data!$C:$C,N$1))</f>
        <v>2.625</v>
      </c>
      <c r="O8" s="39">
        <f>IF(SUMIFS(Data!$S:$S,Data!$A:$A,$B8,Data!$C:$C,O$1)=0,"",SUMIFS(Data!$S:$S,Data!$A:$A,$B8,Data!$C:$C,O$1))</f>
        <v>2.4743750000000002</v>
      </c>
      <c r="P8" s="39" t="str">
        <f>IF(SUMIFS(Data!$S:$S,Data!$A:$A,$B8,Data!$C:$C,P$1)=0,"",SUMIFS(Data!$S:$S,Data!$A:$A,$B8,Data!$C:$C,P$1))</f>
        <v/>
      </c>
      <c r="Q8" s="39">
        <f>IF(SUMIFS(Data!$S:$S,Data!$A:$A,$B8,Data!$C:$C,Q$1)=0,"",SUMIFS(Data!$S:$S,Data!$A:$A,$B8,Data!$C:$C,Q$1))</f>
        <v>2.4612499999999997</v>
      </c>
      <c r="R8" s="39">
        <f>IF(SUMIFS(Data!$S:$S,Data!$A:$A,$B8,Data!$C:$C,R$1)=0,"",SUMIFS(Data!$S:$S,Data!$A:$A,$B8,Data!$C:$C,R$1))</f>
        <v>1.96875</v>
      </c>
      <c r="S8" s="39">
        <f>IF(SUMIFS(Data!$S:$S,Data!$A:$A,$B8,Data!$C:$C,S$1)=0,"",SUMIFS(Data!$S:$S,Data!$A:$A,$B8,Data!$C:$C,S$1))</f>
        <v>2.4500000000000002</v>
      </c>
      <c r="T8" s="39">
        <f>IF(SUMIFS(Data!$S:$S,Data!$A:$A,$B8,Data!$C:$C,T$1)=0,"",SUMIFS(Data!$S:$S,Data!$A:$A,$B8,Data!$C:$C,T$1))</f>
        <v>2.1875</v>
      </c>
      <c r="U8" s="39">
        <f>IF(SUMIFS(Data!X:X,Data!A:A,B8)&gt;12,5,IF(SUMIFS(Data!X:X,Data!A:A,B8)&gt;9,3, IF(SUMIFS(Data!X:X,Data!A:A,B8)&gt;4,1,0)))</f>
        <v>3</v>
      </c>
      <c r="V8" s="39">
        <f t="shared" si="0"/>
        <v>39.798124999999999</v>
      </c>
      <c r="W8" s="39">
        <f>SUMIFS(Data!D:D,Data!A:A,B8)</f>
        <v>105.69</v>
      </c>
    </row>
    <row r="9" spans="1:24" ht="13.8" x14ac:dyDescent="0.3">
      <c r="A9" s="151">
        <v>8</v>
      </c>
      <c r="B9" s="38" t="s">
        <v>5</v>
      </c>
      <c r="C9" s="39">
        <f>IF(SUMIFS(Data!$S:$S,Data!$A:$A,$B9,Data!$C:$C,C$1)=0,"",SUMIFS(Data!$S:$S,Data!$A:$A,$B9,Data!$C:$C,C$1))</f>
        <v>4.8406666666666665</v>
      </c>
      <c r="D9" s="39">
        <f>IF(SUMIFS(Data!$S:$S,Data!$A:$A,$B9,Data!$C:$C,D$1)=0,"",SUMIFS(Data!$S:$S,Data!$A:$A,$B9,Data!$C:$C,D$1))</f>
        <v>4.5318750000000003</v>
      </c>
      <c r="E9" s="39">
        <f>IF(SUMIFS(Data!$S:$S,Data!$A:$A,$B9,Data!$C:$C,E$1)=0,"",SUMIFS(Data!$S:$S,Data!$A:$A,$B9,Data!$C:$C,E$1))</f>
        <v>3.4406249999999998</v>
      </c>
      <c r="F9" s="39">
        <f>IF(SUMIFS(Data!$S:$S,Data!$A:$A,$B9,Data!$C:$C,F$1)=0,"",SUMIFS(Data!$S:$S,Data!$A:$A,$B9,Data!$C:$C,F$1))</f>
        <v>1.5</v>
      </c>
      <c r="G9" s="39" t="str">
        <f>IF(SUMIFS(Data!$S:$S,Data!$A:$A,$B9,Data!$C:$C,G$1)=0,"",SUMIFS(Data!$S:$S,Data!$A:$A,$B9,Data!$C:$C,G$1))</f>
        <v/>
      </c>
      <c r="H9" s="39">
        <f>IF(SUMIFS(Data!$S:$S,Data!$A:$A,$B9,Data!$C:$C,H$1)=0,"",SUMIFS(Data!$S:$S,Data!$A:$A,$B9,Data!$C:$C,H$1))</f>
        <v>3.625</v>
      </c>
      <c r="I9" s="39" t="str">
        <f>IF(SUMIFS(Data!$S:$S,Data!$A:$A,$B9,Data!$C:$C,I$1)=0,"",SUMIFS(Data!$S:$S,Data!$A:$A,$B9,Data!$C:$C,I$1))</f>
        <v/>
      </c>
      <c r="J9" s="39" t="str">
        <f>IF(SUMIFS(Data!$S:$S,Data!$A:$A,$B9,Data!$C:$C,J$1)=0,"",SUMIFS(Data!$S:$S,Data!$A:$A,$B9,Data!$C:$C,J$1))</f>
        <v/>
      </c>
      <c r="K9" s="39" t="str">
        <f>IF(SUMIFS(Data!$S:$S,Data!$A:$A,$B9,Data!$C:$C,K$1)=0,"",SUMIFS(Data!$S:$S,Data!$A:$A,$B9,Data!$C:$C,K$1))</f>
        <v/>
      </c>
      <c r="L9" s="39" t="str">
        <f>IF(SUMIFS(Data!$S:$S,Data!$A:$A,$B9,Data!$C:$C,L$1)=0,"",SUMIFS(Data!$S:$S,Data!$A:$A,$B9,Data!$C:$C,L$1))</f>
        <v/>
      </c>
      <c r="M9" s="39" t="str">
        <f>IF(SUMIFS(Data!$S:$S,Data!$A:$A,$B9,Data!$C:$C,M$1)=0,"",SUMIFS(Data!$S:$S,Data!$A:$A,$B9,Data!$C:$C,M$1))</f>
        <v/>
      </c>
      <c r="N9" s="39" t="str">
        <f>IF(SUMIFS(Data!$S:$S,Data!$A:$A,$B9,Data!$C:$C,N$1)=0,"",SUMIFS(Data!$S:$S,Data!$A:$A,$B9,Data!$C:$C,N$1))</f>
        <v/>
      </c>
      <c r="O9" s="39" t="str">
        <f>IF(SUMIFS(Data!$S:$S,Data!$A:$A,$B9,Data!$C:$C,O$1)=0,"",SUMIFS(Data!$S:$S,Data!$A:$A,$B9,Data!$C:$C,O$1))</f>
        <v/>
      </c>
      <c r="P9" s="39" t="str">
        <f>IF(SUMIFS(Data!$S:$S,Data!$A:$A,$B9,Data!$C:$C,P$1)=0,"",SUMIFS(Data!$S:$S,Data!$A:$A,$B9,Data!$C:$C,P$1))</f>
        <v/>
      </c>
      <c r="Q9" s="39" t="str">
        <f>IF(SUMIFS(Data!$S:$S,Data!$A:$A,$B9,Data!$C:$C,Q$1)=0,"",SUMIFS(Data!$S:$S,Data!$A:$A,$B9,Data!$C:$C,Q$1))</f>
        <v/>
      </c>
      <c r="R9" s="39" t="str">
        <f>IF(SUMIFS(Data!$S:$S,Data!$A:$A,$B9,Data!$C:$C,R$1)=0,"",SUMIFS(Data!$S:$S,Data!$A:$A,$B9,Data!$C:$C,R$1))</f>
        <v/>
      </c>
      <c r="S9" s="39" t="str">
        <f>IF(SUMIFS(Data!$S:$S,Data!$A:$A,$B9,Data!$C:$C,S$1)=0,"",SUMIFS(Data!$S:$S,Data!$A:$A,$B9,Data!$C:$C,S$1))</f>
        <v/>
      </c>
      <c r="T9" s="39" t="str">
        <f>IF(SUMIFS(Data!$S:$S,Data!$A:$A,$B9,Data!$C:$C,T$1)=0,"",SUMIFS(Data!$S:$S,Data!$A:$A,$B9,Data!$C:$C,T$1))</f>
        <v/>
      </c>
      <c r="U9" s="39">
        <f>IF(SUMIFS(Data!X:X,Data!A:A,B9)&gt;12,5,IF(SUMIFS(Data!X:X,Data!A:A,B9)&gt;9,3, IF(SUMIFS(Data!X:X,Data!A:A,B9)&gt;4,1,0)))</f>
        <v>0</v>
      </c>
      <c r="V9" s="39">
        <f t="shared" si="0"/>
        <v>17.938166666666667</v>
      </c>
      <c r="W9" s="39">
        <f>SUMIFS(Data!D:D,Data!A:A,B9)</f>
        <v>42.209999999999994</v>
      </c>
    </row>
    <row r="10" spans="1:24" ht="13.8" x14ac:dyDescent="0.3">
      <c r="A10" s="151">
        <v>9</v>
      </c>
      <c r="B10" s="38" t="s">
        <v>100</v>
      </c>
      <c r="C10" s="39">
        <f>IF(SUMIFS(Data!$S:$S,Data!$A:$A,$B10,Data!$C:$C,C$1)=0,"",SUMIFS(Data!$S:$S,Data!$A:$A,$B10,Data!$C:$C,C$1))</f>
        <v>2.5249999999999999</v>
      </c>
      <c r="D10" s="39" t="str">
        <f>IF(SUMIFS(Data!$S:$S,Data!$A:$A,$B10,Data!$C:$C,D$1)=0,"",SUMIFS(Data!$S:$S,Data!$A:$A,$B10,Data!$C:$C,D$1))</f>
        <v/>
      </c>
      <c r="E10" s="39">
        <f>IF(SUMIFS(Data!$S:$S,Data!$A:$A,$B10,Data!$C:$C,E$1)=0,"",SUMIFS(Data!$S:$S,Data!$A:$A,$B10,Data!$C:$C,E$1))</f>
        <v>2.5596666666666668</v>
      </c>
      <c r="F10" s="39">
        <f>IF(SUMIFS(Data!$S:$S,Data!$A:$A,$B10,Data!$C:$C,F$1)=0,"",SUMIFS(Data!$S:$S,Data!$A:$A,$B10,Data!$C:$C,F$1))</f>
        <v>1.6018750000000002</v>
      </c>
      <c r="G10" s="39">
        <f>IF(SUMIFS(Data!$S:$S,Data!$A:$A,$B10,Data!$C:$C,G$1)=0,"",SUMIFS(Data!$S:$S,Data!$A:$A,$B10,Data!$C:$C,G$1))</f>
        <v>1.4725000000000001</v>
      </c>
      <c r="H10" s="39">
        <f>IF(SUMIFS(Data!$S:$S,Data!$A:$A,$B10,Data!$C:$C,H$1)=0,"",SUMIFS(Data!$S:$S,Data!$A:$A,$B10,Data!$C:$C,H$1))</f>
        <v>0.3125</v>
      </c>
      <c r="I10" s="39">
        <f>IF(SUMIFS(Data!$S:$S,Data!$A:$A,$B10,Data!$C:$C,I$1)=0,"",SUMIFS(Data!$S:$S,Data!$A:$A,$B10,Data!$C:$C,I$1))</f>
        <v>0.78562500000000002</v>
      </c>
      <c r="J10" s="39">
        <f>IF(SUMIFS(Data!$S:$S,Data!$A:$A,$B10,Data!$C:$C,J$1)=0,"",SUMIFS(Data!$S:$S,Data!$A:$A,$B10,Data!$C:$C,J$1))</f>
        <v>2.526875</v>
      </c>
      <c r="K10" s="39">
        <f>IF(SUMIFS(Data!$S:$S,Data!$A:$A,$B10,Data!$C:$C,K$1)=0,"",SUMIFS(Data!$S:$S,Data!$A:$A,$B10,Data!$C:$C,K$1))</f>
        <v>0.79812499999999997</v>
      </c>
      <c r="L10" s="39">
        <f>IF(SUMIFS(Data!$S:$S,Data!$A:$A,$B10,Data!$C:$C,L$1)=0,"",SUMIFS(Data!$S:$S,Data!$A:$A,$B10,Data!$C:$C,L$1))</f>
        <v>1.9</v>
      </c>
      <c r="M10" s="39">
        <f>IF(SUMIFS(Data!$S:$S,Data!$A:$A,$B10,Data!$C:$C,M$1)=0,"",SUMIFS(Data!$S:$S,Data!$A:$A,$B10,Data!$C:$C,M$1))</f>
        <v>0.8131250000000001</v>
      </c>
      <c r="N10" s="39">
        <f>IF(SUMIFS(Data!$S:$S,Data!$A:$A,$B10,Data!$C:$C,N$1)=0,"",SUMIFS(Data!$S:$S,Data!$A:$A,$B10,Data!$C:$C,N$1))</f>
        <v>0.125</v>
      </c>
      <c r="O10" s="39" t="str">
        <f>IF(SUMIFS(Data!$S:$S,Data!$A:$A,$B10,Data!$C:$C,O$1)=0,"",SUMIFS(Data!$S:$S,Data!$A:$A,$B10,Data!$C:$C,O$1))</f>
        <v/>
      </c>
      <c r="P10" s="39" t="str">
        <f>IF(SUMIFS(Data!$S:$S,Data!$A:$A,$B10,Data!$C:$C,P$1)=0,"",SUMIFS(Data!$S:$S,Data!$A:$A,$B10,Data!$C:$C,P$1))</f>
        <v/>
      </c>
      <c r="Q10" s="39" t="str">
        <f>IF(SUMIFS(Data!$S:$S,Data!$A:$A,$B10,Data!$C:$C,Q$1)=0,"",SUMIFS(Data!$S:$S,Data!$A:$A,$B10,Data!$C:$C,Q$1))</f>
        <v/>
      </c>
      <c r="R10" s="39" t="str">
        <f>IF(SUMIFS(Data!$S:$S,Data!$A:$A,$B10,Data!$C:$C,R$1)=0,"",SUMIFS(Data!$S:$S,Data!$A:$A,$B10,Data!$C:$C,R$1))</f>
        <v/>
      </c>
      <c r="S10" s="39" t="str">
        <f>IF(SUMIFS(Data!$S:$S,Data!$A:$A,$B10,Data!$C:$C,S$1)=0,"",SUMIFS(Data!$S:$S,Data!$A:$A,$B10,Data!$C:$C,S$1))</f>
        <v/>
      </c>
      <c r="T10" s="39" t="str">
        <f>IF(SUMIFS(Data!$S:$S,Data!$A:$A,$B10,Data!$C:$C,T$1)=0,"",SUMIFS(Data!$S:$S,Data!$A:$A,$B10,Data!$C:$C,T$1))</f>
        <v/>
      </c>
      <c r="U10" s="39">
        <f>IF(SUMIFS(Data!X:X,Data!A:A,B10)&gt;12,5,IF(SUMIFS(Data!X:X,Data!A:A,B10)&gt;9,3, IF(SUMIFS(Data!X:X,Data!A:A,B10)&gt;4,1,0)))</f>
        <v>0</v>
      </c>
      <c r="V10" s="39">
        <f t="shared" si="0"/>
        <v>15.420291666666667</v>
      </c>
      <c r="W10" s="39">
        <f>SUMIFS(Data!D:D,Data!A:A,B10)</f>
        <v>70.11</v>
      </c>
    </row>
    <row r="11" spans="1:24" ht="13.8" x14ac:dyDescent="0.3">
      <c r="A11" s="151">
        <v>10</v>
      </c>
      <c r="B11" s="38" t="s">
        <v>350</v>
      </c>
      <c r="C11" s="39" t="str">
        <f>IF(SUMIFS(Data!$S:$S,Data!$A:$A,$B11,Data!$C:$C,C$1)=0,"",SUMIFS(Data!$S:$S,Data!$A:$A,$B11,Data!$C:$C,C$1))</f>
        <v/>
      </c>
      <c r="D11" s="39" t="str">
        <f>IF(SUMIFS(Data!$S:$S,Data!$A:$A,$B11,Data!$C:$C,D$1)=0,"",SUMIFS(Data!$S:$S,Data!$A:$A,$B11,Data!$C:$C,D$1))</f>
        <v/>
      </c>
      <c r="E11" s="39" t="str">
        <f>IF(SUMIFS(Data!$S:$S,Data!$A:$A,$B11,Data!$C:$C,E$1)=0,"",SUMIFS(Data!$S:$S,Data!$A:$A,$B11,Data!$C:$C,E$1))</f>
        <v/>
      </c>
      <c r="F11" s="39" t="str">
        <f>IF(SUMIFS(Data!$S:$S,Data!$A:$A,$B11,Data!$C:$C,F$1)=0,"",SUMIFS(Data!$S:$S,Data!$A:$A,$B11,Data!$C:$C,F$1))</f>
        <v/>
      </c>
      <c r="G11" s="39" t="str">
        <f>IF(SUMIFS(Data!$S:$S,Data!$A:$A,$B11,Data!$C:$C,G$1)=0,"",SUMIFS(Data!$S:$S,Data!$A:$A,$B11,Data!$C:$C,G$1))</f>
        <v/>
      </c>
      <c r="H11" s="39" t="str">
        <f>IF(SUMIFS(Data!$S:$S,Data!$A:$A,$B11,Data!$C:$C,H$1)=0,"",SUMIFS(Data!$S:$S,Data!$A:$A,$B11,Data!$C:$C,H$1))</f>
        <v/>
      </c>
      <c r="I11" s="39" t="str">
        <f>IF(SUMIFS(Data!$S:$S,Data!$A:$A,$B11,Data!$C:$C,I$1)=0,"",SUMIFS(Data!$S:$S,Data!$A:$A,$B11,Data!$C:$C,I$1))</f>
        <v/>
      </c>
      <c r="J11" s="39" t="str">
        <f>IF(SUMIFS(Data!$S:$S,Data!$A:$A,$B11,Data!$C:$C,J$1)=0,"",SUMIFS(Data!$S:$S,Data!$A:$A,$B11,Data!$C:$C,J$1))</f>
        <v/>
      </c>
      <c r="K11" s="39" t="str">
        <f>IF(SUMIFS(Data!$S:$S,Data!$A:$A,$B11,Data!$C:$C,K$1)=0,"",SUMIFS(Data!$S:$S,Data!$A:$A,$B11,Data!$C:$C,K$1))</f>
        <v/>
      </c>
      <c r="L11" s="39" t="str">
        <f>IF(SUMIFS(Data!$S:$S,Data!$A:$A,$B11,Data!$C:$C,L$1)=0,"",SUMIFS(Data!$S:$S,Data!$A:$A,$B11,Data!$C:$C,L$1))</f>
        <v/>
      </c>
      <c r="M11" s="39" t="str">
        <f>IF(SUMIFS(Data!$S:$S,Data!$A:$A,$B11,Data!$C:$C,M$1)=0,"",SUMIFS(Data!$S:$S,Data!$A:$A,$B11,Data!$C:$C,M$1))</f>
        <v/>
      </c>
      <c r="N11" s="39" t="str">
        <f>IF(SUMIFS(Data!$S:$S,Data!$A:$A,$B11,Data!$C:$C,N$1)=0,"",SUMIFS(Data!$S:$S,Data!$A:$A,$B11,Data!$C:$C,N$1))</f>
        <v/>
      </c>
      <c r="O11" s="39" t="str">
        <f>IF(SUMIFS(Data!$S:$S,Data!$A:$A,$B11,Data!$C:$C,O$1)=0,"",SUMIFS(Data!$S:$S,Data!$A:$A,$B11,Data!$C:$C,O$1))</f>
        <v/>
      </c>
      <c r="P11" s="39" t="str">
        <f>IF(SUMIFS(Data!$S:$S,Data!$A:$A,$B11,Data!$C:$C,P$1)=0,"",SUMIFS(Data!$S:$S,Data!$A:$A,$B11,Data!$C:$C,P$1))</f>
        <v/>
      </c>
      <c r="Q11" s="39" t="str">
        <f>IF(SUMIFS(Data!$S:$S,Data!$A:$A,$B11,Data!$C:$C,Q$1)=0,"",SUMIFS(Data!$S:$S,Data!$A:$A,$B11,Data!$C:$C,Q$1))</f>
        <v/>
      </c>
      <c r="R11" s="39">
        <f>IF(SUMIFS(Data!$S:$S,Data!$A:$A,$B11,Data!$C:$C,R$1)=0,"",SUMIFS(Data!$S:$S,Data!$A:$A,$B11,Data!$C:$C,R$1))</f>
        <v>3.0012499999999998</v>
      </c>
      <c r="S11" s="39" t="str">
        <f>IF(SUMIFS(Data!$S:$S,Data!$A:$A,$B11,Data!$C:$C,S$1)=0,"",SUMIFS(Data!$S:$S,Data!$A:$A,$B11,Data!$C:$C,S$1))</f>
        <v/>
      </c>
      <c r="T11" s="39">
        <f>IF(SUMIFS(Data!$S:$S,Data!$A:$A,$B11,Data!$C:$C,T$1)=0,"",SUMIFS(Data!$S:$S,Data!$A:$A,$B11,Data!$C:$C,T$1))</f>
        <v>3.25</v>
      </c>
      <c r="U11" s="39">
        <f>IF(SUMIFS(Data!X:X,Data!A:A,B11)&gt;12,5,IF(SUMIFS(Data!X:X,Data!A:A,B11)&gt;9,3, IF(SUMIFS(Data!X:X,Data!A:A,B11)&gt;4,1,0)))</f>
        <v>0</v>
      </c>
      <c r="V11" s="39">
        <f t="shared" si="0"/>
        <v>6.2512499999999998</v>
      </c>
      <c r="W11" s="39">
        <f>SUMIFS(Data!D:D,Data!A:A,B11)</f>
        <v>6.02</v>
      </c>
    </row>
    <row r="12" spans="1:24" ht="13.8" x14ac:dyDescent="0.3">
      <c r="A12" s="151">
        <v>11</v>
      </c>
      <c r="B12" s="38"/>
      <c r="C12" s="39" t="str">
        <f>IF(SUMIFS(Data!$S:$S,Data!$A:$A,$B12,Data!$C:$C,C$1)=0,"",SUMIFS(Data!$S:$S,Data!$A:$A,$B12,Data!$C:$C,C$1))</f>
        <v/>
      </c>
      <c r="D12" s="39" t="str">
        <f>IF(SUMIFS(Data!$S:$S,Data!$A:$A,$B12,Data!$C:$C,D$1)=0,"",SUMIFS(Data!$S:$S,Data!$A:$A,$B12,Data!$C:$C,D$1))</f>
        <v/>
      </c>
      <c r="E12" s="39" t="str">
        <f>IF(SUMIFS(Data!$S:$S,Data!$A:$A,$B12,Data!$C:$C,E$1)=0,"",SUMIFS(Data!$S:$S,Data!$A:$A,$B12,Data!$C:$C,E$1))</f>
        <v/>
      </c>
      <c r="F12" s="39" t="str">
        <f>IF(SUMIFS(Data!$S:$S,Data!$A:$A,$B12,Data!$C:$C,F$1)=0,"",SUMIFS(Data!$S:$S,Data!$A:$A,$B12,Data!$C:$C,F$1))</f>
        <v/>
      </c>
      <c r="G12" s="39" t="str">
        <f>IF(SUMIFS(Data!$S:$S,Data!$A:$A,$B12,Data!$C:$C,G$1)=0,"",SUMIFS(Data!$S:$S,Data!$A:$A,$B12,Data!$C:$C,G$1))</f>
        <v/>
      </c>
      <c r="H12" s="39" t="str">
        <f>IF(SUMIFS(Data!$S:$S,Data!$A:$A,$B12,Data!$C:$C,H$1)=0,"",SUMIFS(Data!$S:$S,Data!$A:$A,$B12,Data!$C:$C,H$1))</f>
        <v/>
      </c>
      <c r="I12" s="39" t="str">
        <f>IF(SUMIFS(Data!$S:$S,Data!$A:$A,$B12,Data!$C:$C,I$1)=0,"",SUMIFS(Data!$S:$S,Data!$A:$A,$B12,Data!$C:$C,I$1))</f>
        <v/>
      </c>
      <c r="J12" s="39" t="str">
        <f>IF(SUMIFS(Data!$S:$S,Data!$A:$A,$B12,Data!$C:$C,J$1)=0,"",SUMIFS(Data!$S:$S,Data!$A:$A,$B12,Data!$C:$C,J$1))</f>
        <v/>
      </c>
      <c r="K12" s="39" t="str">
        <f>IF(SUMIFS(Data!$S:$S,Data!$A:$A,$B12,Data!$C:$C,K$1)=0,"",SUMIFS(Data!$S:$S,Data!$A:$A,$B12,Data!$C:$C,K$1))</f>
        <v/>
      </c>
      <c r="L12" s="39" t="str">
        <f>IF(SUMIFS(Data!$S:$S,Data!$A:$A,$B12,Data!$C:$C,L$1)=0,"",SUMIFS(Data!$S:$S,Data!$A:$A,$B12,Data!$C:$C,L$1))</f>
        <v/>
      </c>
      <c r="M12" s="39" t="str">
        <f>IF(SUMIFS(Data!$S:$S,Data!$A:$A,$B12,Data!$C:$C,M$1)=0,"",SUMIFS(Data!$S:$S,Data!$A:$A,$B12,Data!$C:$C,M$1))</f>
        <v/>
      </c>
      <c r="N12" s="39" t="str">
        <f>IF(SUMIFS(Data!$S:$S,Data!$A:$A,$B12,Data!$C:$C,N$1)=0,"",SUMIFS(Data!$S:$S,Data!$A:$A,$B12,Data!$C:$C,N$1))</f>
        <v/>
      </c>
      <c r="O12" s="39" t="str">
        <f>IF(SUMIFS(Data!$S:$S,Data!$A:$A,$B12,Data!$C:$C,O$1)=0,"",SUMIFS(Data!$S:$S,Data!$A:$A,$B12,Data!$C:$C,O$1))</f>
        <v/>
      </c>
      <c r="P12" s="39" t="str">
        <f>IF(SUMIFS(Data!$S:$S,Data!$A:$A,$B12,Data!$C:$C,P$1)=0,"",SUMIFS(Data!$S:$S,Data!$A:$A,$B12,Data!$C:$C,P$1))</f>
        <v/>
      </c>
      <c r="Q12" s="39" t="str">
        <f>IF(SUMIFS(Data!$S:$S,Data!$A:$A,$B12,Data!$C:$C,Q$1)=0,"",SUMIFS(Data!$S:$S,Data!$A:$A,$B12,Data!$C:$C,Q$1))</f>
        <v/>
      </c>
      <c r="R12" s="39" t="str">
        <f>IF(SUMIFS(Data!$S:$S,Data!$A:$A,$B12,Data!$C:$C,R$1)=0,"",SUMIFS(Data!$S:$S,Data!$A:$A,$B12,Data!$C:$C,R$1))</f>
        <v/>
      </c>
      <c r="S12" s="39" t="str">
        <f>IF(SUMIFS(Data!$S:$S,Data!$A:$A,$B12,Data!$C:$C,S$1)=0,"",SUMIFS(Data!$S:$S,Data!$A:$A,$B12,Data!$C:$C,S$1))</f>
        <v/>
      </c>
      <c r="T12" s="39" t="str">
        <f>IF(SUMIFS(Data!$S:$S,Data!$A:$A,$B12,Data!$C:$C,T$1)=0,"",SUMIFS(Data!$S:$S,Data!$A:$A,$B12,Data!$C:$C,T$1))</f>
        <v/>
      </c>
      <c r="U12" s="39">
        <f>IF(SUMIFS(Data!X:X,Data!A:A,B12)&gt;12,5,IF(SUMIFS(Data!X:X,Data!A:A,B12)&gt;9,3, IF(SUMIFS(Data!X:X,Data!A:A,B12)&gt;4,1,0)))</f>
        <v>0</v>
      </c>
      <c r="V12" s="39">
        <f>SUM(C12:U12)</f>
        <v>0</v>
      </c>
      <c r="W12" s="39">
        <f>SUMIFS(Data!D:D,Data!A:A,B12)</f>
        <v>0</v>
      </c>
    </row>
    <row r="13" spans="1:24" ht="13.8" x14ac:dyDescent="0.3">
      <c r="A13" s="151">
        <v>12</v>
      </c>
      <c r="B13" s="38"/>
      <c r="C13" s="39" t="str">
        <f>IF(SUMIFS(Data!$S:$S,Data!$A:$A,$B13,Data!$C:$C,C$1)=0,"",SUMIFS(Data!$S:$S,Data!$A:$A,$B13,Data!$C:$C,C$1))</f>
        <v/>
      </c>
      <c r="D13" s="39" t="str">
        <f>IF(SUMIFS(Data!$S:$S,Data!$A:$A,$B13,Data!$C:$C,D$1)=0,"",SUMIFS(Data!$S:$S,Data!$A:$A,$B13,Data!$C:$C,D$1))</f>
        <v/>
      </c>
      <c r="E13" s="39" t="str">
        <f>IF(SUMIFS(Data!$S:$S,Data!$A:$A,$B13,Data!$C:$C,E$1)=0,"",SUMIFS(Data!$S:$S,Data!$A:$A,$B13,Data!$C:$C,E$1))</f>
        <v/>
      </c>
      <c r="F13" s="39" t="str">
        <f>IF(SUMIFS(Data!$S:$S,Data!$A:$A,$B13,Data!$C:$C,F$1)=0,"",SUMIFS(Data!$S:$S,Data!$A:$A,$B13,Data!$C:$C,F$1))</f>
        <v/>
      </c>
      <c r="G13" s="39" t="str">
        <f>IF(SUMIFS(Data!$S:$S,Data!$A:$A,$B13,Data!$C:$C,G$1)=0,"",SUMIFS(Data!$S:$S,Data!$A:$A,$B13,Data!$C:$C,G$1))</f>
        <v/>
      </c>
      <c r="H13" s="39" t="str">
        <f>IF(SUMIFS(Data!$S:$S,Data!$A:$A,$B13,Data!$C:$C,H$1)=0,"",SUMIFS(Data!$S:$S,Data!$A:$A,$B13,Data!$C:$C,H$1))</f>
        <v/>
      </c>
      <c r="I13" s="39" t="str">
        <f>IF(SUMIFS(Data!$S:$S,Data!$A:$A,$B13,Data!$C:$C,I$1)=0,"",SUMIFS(Data!$S:$S,Data!$A:$A,$B13,Data!$C:$C,I$1))</f>
        <v/>
      </c>
      <c r="J13" s="39" t="str">
        <f>IF(SUMIFS(Data!$S:$S,Data!$A:$A,$B13,Data!$C:$C,J$1)=0,"",SUMIFS(Data!$S:$S,Data!$A:$A,$B13,Data!$C:$C,J$1))</f>
        <v/>
      </c>
      <c r="K13" s="39" t="str">
        <f>IF(SUMIFS(Data!$S:$S,Data!$A:$A,$B13,Data!$C:$C,K$1)=0,"",SUMIFS(Data!$S:$S,Data!$A:$A,$B13,Data!$C:$C,K$1))</f>
        <v/>
      </c>
      <c r="L13" s="39" t="str">
        <f>IF(SUMIFS(Data!$S:$S,Data!$A:$A,$B13,Data!$C:$C,L$1)=0,"",SUMIFS(Data!$S:$S,Data!$A:$A,$B13,Data!$C:$C,L$1))</f>
        <v/>
      </c>
      <c r="M13" s="39" t="str">
        <f>IF(SUMIFS(Data!$S:$S,Data!$A:$A,$B13,Data!$C:$C,M$1)=0,"",SUMIFS(Data!$S:$S,Data!$A:$A,$B13,Data!$C:$C,M$1))</f>
        <v/>
      </c>
      <c r="N13" s="39" t="str">
        <f>IF(SUMIFS(Data!$S:$S,Data!$A:$A,$B13,Data!$C:$C,N$1)=0,"",SUMIFS(Data!$S:$S,Data!$A:$A,$B13,Data!$C:$C,N$1))</f>
        <v/>
      </c>
      <c r="O13" s="39" t="str">
        <f>IF(SUMIFS(Data!$S:$S,Data!$A:$A,$B13,Data!$C:$C,O$1)=0,"",SUMIFS(Data!$S:$S,Data!$A:$A,$B13,Data!$C:$C,O$1))</f>
        <v/>
      </c>
      <c r="P13" s="39" t="str">
        <f>IF(SUMIFS(Data!$S:$S,Data!$A:$A,$B13,Data!$C:$C,P$1)=0,"",SUMIFS(Data!$S:$S,Data!$A:$A,$B13,Data!$C:$C,P$1))</f>
        <v/>
      </c>
      <c r="Q13" s="39" t="str">
        <f>IF(SUMIFS(Data!$S:$S,Data!$A:$A,$B13,Data!$C:$C,Q$1)=0,"",SUMIFS(Data!$S:$S,Data!$A:$A,$B13,Data!$C:$C,Q$1))</f>
        <v/>
      </c>
      <c r="R13" s="39" t="str">
        <f>IF(SUMIFS(Data!$S:$S,Data!$A:$A,$B13,Data!$C:$C,R$1)=0,"",SUMIFS(Data!$S:$S,Data!$A:$A,$B13,Data!$C:$C,R$1))</f>
        <v/>
      </c>
      <c r="S13" s="39" t="str">
        <f>IF(SUMIFS(Data!$S:$S,Data!$A:$A,$B13,Data!$C:$C,S$1)=0,"",SUMIFS(Data!$S:$S,Data!$A:$A,$B13,Data!$C:$C,S$1))</f>
        <v/>
      </c>
      <c r="T13" s="39" t="str">
        <f>IF(SUMIFS(Data!$S:$S,Data!$A:$A,$B13,Data!$C:$C,T$1)=0,"",SUMIFS(Data!$S:$S,Data!$A:$A,$B13,Data!$C:$C,T$1))</f>
        <v/>
      </c>
      <c r="U13" s="39">
        <f>IF(SUMIFS(Data!X:X,Data!A:A,B13)&gt;12,5,IF(SUMIFS(Data!X:X,Data!A:A,B13)&gt;9,3, IF(SUMIFS(Data!X:X,Data!A:A,B13)&gt;4,1,0)))</f>
        <v>0</v>
      </c>
      <c r="V13" s="39">
        <f>SUM(C13:U13)</f>
        <v>0</v>
      </c>
      <c r="W13" s="39">
        <f>SUMIFS(Data!D:D,Data!A:A,B13)</f>
        <v>0</v>
      </c>
    </row>
  </sheetData>
  <autoFilter ref="A1:W13"/>
  <sortState ref="B2:W11">
    <sortCondition descending="1" ref="V2:V11"/>
    <sortCondition descending="1" ref="W2:W1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Istoric</vt:lpstr>
      <vt:lpstr>Regulament S12</vt:lpstr>
      <vt:lpstr>5 ani SYR</vt:lpstr>
      <vt:lpstr>Barem</vt:lpstr>
      <vt:lpstr>Participanti</vt:lpstr>
      <vt:lpstr>Prezente</vt:lpstr>
      <vt:lpstr>Data</vt:lpstr>
      <vt:lpstr>#ligaSYR</vt:lpstr>
      <vt:lpstr>Open F</vt:lpstr>
      <vt:lpstr>Open M</vt:lpstr>
      <vt:lpstr>Cataratorii</vt:lpstr>
      <vt:lpstr>Vitezistii</vt:lpstr>
      <vt:lpstr>Echipe</vt:lpstr>
      <vt:lpstr>Data_echipe</vt:lpstr>
      <vt:lpstr>P1</vt:lpstr>
      <vt:lpstr>P2</vt:lpstr>
      <vt:lpstr>P3</vt:lpstr>
      <vt:lpstr>Propuneri S13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2021-12-24T14:37:30Z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