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bookViews>
    <workbookView xWindow="0" yWindow="0" windowWidth="23040" windowHeight="8520" tabRatio="881" activeTab="7"/>
  </bookViews>
  <sheets>
    <sheet name="Istoric" sheetId="1" r:id="rId1"/>
    <sheet name="Regulament S13" sheetId="7" r:id="rId2"/>
    <sheet name="5 ani SYR" sheetId="24" state="hidden" r:id="rId3"/>
    <sheet name="Barem" sheetId="3" r:id="rId4"/>
    <sheet name="Participanti" sheetId="5" r:id="rId5"/>
    <sheet name="Prezente" sheetId="18" r:id="rId6"/>
    <sheet name="Data" sheetId="4" r:id="rId7"/>
    <sheet name="#ligaSYR" sheetId="8" r:id="rId8"/>
    <sheet name="Open F" sheetId="12" r:id="rId9"/>
    <sheet name="Open M" sheetId="13" r:id="rId10"/>
    <sheet name="Cataratorii" sheetId="22" r:id="rId11"/>
    <sheet name="Vitezistii" sheetId="20" r:id="rId12"/>
    <sheet name="Echipe" sheetId="19" r:id="rId13"/>
    <sheet name="Data_echipe" sheetId="17" r:id="rId14"/>
  </sheets>
  <definedNames>
    <definedName name="_xlnm._FilterDatabase" localSheetId="7" hidden="1">'#ligaSYR'!$A$1:$V$36</definedName>
    <definedName name="_xlnm._FilterDatabase" localSheetId="3" hidden="1">Barem!$L$1:$P$16</definedName>
    <definedName name="_xlnm._FilterDatabase" localSheetId="10" hidden="1">Cataratorii!$A$1:$T$43</definedName>
    <definedName name="_xlnm._FilterDatabase" localSheetId="6" hidden="1">Data!$A$1:$X$392</definedName>
    <definedName name="_xlnm._FilterDatabase" localSheetId="12" hidden="1">Echipe!$B$1:$Q$6</definedName>
    <definedName name="_xlnm._FilterDatabase" localSheetId="8" hidden="1">'Open F'!$A$1:$T$13</definedName>
    <definedName name="_xlnm._FilterDatabase" localSheetId="9" hidden="1">'Open M'!$A$1:$T$32</definedName>
    <definedName name="_xlnm._FilterDatabase" localSheetId="4" hidden="1">Participanti!$A$1:$D$68</definedName>
    <definedName name="_xlnm._FilterDatabase" localSheetId="11" hidden="1">Vitezistii!$A$1:$T$43</definedName>
  </definedNames>
  <calcPr calcId="152511"/>
  <pivotCaches>
    <pivotCache cacheId="15" r:id="rId15"/>
  </pivotCaches>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3" i="13" l="1"/>
  <c r="D3" i="13"/>
  <c r="E3" i="13"/>
  <c r="F3" i="13"/>
  <c r="S3" i="13" s="1"/>
  <c r="G3" i="13"/>
  <c r="H3" i="13"/>
  <c r="I3" i="13"/>
  <c r="J3" i="13"/>
  <c r="K3" i="13"/>
  <c r="L3" i="13"/>
  <c r="M3" i="13"/>
  <c r="N3" i="13"/>
  <c r="O3" i="13"/>
  <c r="P3" i="13"/>
  <c r="Q3" i="13"/>
  <c r="R3" i="13"/>
  <c r="T3" i="13"/>
  <c r="C4" i="13"/>
  <c r="D4" i="13"/>
  <c r="S4" i="13" s="1"/>
  <c r="E4" i="13"/>
  <c r="F4" i="13"/>
  <c r="G4" i="13"/>
  <c r="H4" i="13"/>
  <c r="I4" i="13"/>
  <c r="J4" i="13"/>
  <c r="K4" i="13"/>
  <c r="L4" i="13"/>
  <c r="M4" i="13"/>
  <c r="N4" i="13"/>
  <c r="O4" i="13"/>
  <c r="P4" i="13"/>
  <c r="Q4" i="13"/>
  <c r="R4" i="13"/>
  <c r="T4" i="13"/>
  <c r="C5" i="13"/>
  <c r="D5" i="13"/>
  <c r="E5" i="13"/>
  <c r="F5" i="13"/>
  <c r="S5" i="13" s="1"/>
  <c r="G5" i="13"/>
  <c r="H5" i="13"/>
  <c r="I5" i="13"/>
  <c r="J5" i="13"/>
  <c r="K5" i="13"/>
  <c r="L5" i="13"/>
  <c r="M5" i="13"/>
  <c r="N5" i="13"/>
  <c r="O5" i="13"/>
  <c r="P5" i="13"/>
  <c r="Q5" i="13"/>
  <c r="R5" i="13"/>
  <c r="T5" i="13"/>
  <c r="C6" i="13"/>
  <c r="D6" i="13"/>
  <c r="S6" i="13" s="1"/>
  <c r="E6" i="13"/>
  <c r="F6" i="13"/>
  <c r="G6" i="13"/>
  <c r="H6" i="13"/>
  <c r="I6" i="13"/>
  <c r="J6" i="13"/>
  <c r="K6" i="13"/>
  <c r="L6" i="13"/>
  <c r="M6" i="13"/>
  <c r="N6" i="13"/>
  <c r="O6" i="13"/>
  <c r="P6" i="13"/>
  <c r="Q6" i="13"/>
  <c r="R6" i="13"/>
  <c r="T6" i="13"/>
  <c r="C7" i="13"/>
  <c r="D7" i="13"/>
  <c r="E7" i="13"/>
  <c r="F7" i="13"/>
  <c r="S7" i="13" s="1"/>
  <c r="G7" i="13"/>
  <c r="H7" i="13"/>
  <c r="I7" i="13"/>
  <c r="J7" i="13"/>
  <c r="K7" i="13"/>
  <c r="L7" i="13"/>
  <c r="M7" i="13"/>
  <c r="N7" i="13"/>
  <c r="O7" i="13"/>
  <c r="P7" i="13"/>
  <c r="Q7" i="13"/>
  <c r="R7" i="13"/>
  <c r="T7" i="13"/>
  <c r="C8" i="13"/>
  <c r="D8" i="13"/>
  <c r="S8" i="13" s="1"/>
  <c r="E8" i="13"/>
  <c r="F8" i="13"/>
  <c r="G8" i="13"/>
  <c r="H8" i="13"/>
  <c r="I8" i="13"/>
  <c r="J8" i="13"/>
  <c r="K8" i="13"/>
  <c r="L8" i="13"/>
  <c r="M8" i="13"/>
  <c r="N8" i="13"/>
  <c r="O8" i="13"/>
  <c r="P8" i="13"/>
  <c r="Q8" i="13"/>
  <c r="R8" i="13"/>
  <c r="T8" i="13"/>
  <c r="C9" i="13"/>
  <c r="D9" i="13"/>
  <c r="E9" i="13"/>
  <c r="F9" i="13"/>
  <c r="S9" i="13" s="1"/>
  <c r="G9" i="13"/>
  <c r="H9" i="13"/>
  <c r="I9" i="13"/>
  <c r="J9" i="13"/>
  <c r="K9" i="13"/>
  <c r="L9" i="13"/>
  <c r="M9" i="13"/>
  <c r="N9" i="13"/>
  <c r="O9" i="13"/>
  <c r="P9" i="13"/>
  <c r="Q9" i="13"/>
  <c r="R9" i="13"/>
  <c r="T9" i="13"/>
  <c r="C10" i="13"/>
  <c r="D10" i="13"/>
  <c r="S10" i="13" s="1"/>
  <c r="E10" i="13"/>
  <c r="F10" i="13"/>
  <c r="G10" i="13"/>
  <c r="H10" i="13"/>
  <c r="I10" i="13"/>
  <c r="J10" i="13"/>
  <c r="K10" i="13"/>
  <c r="L10" i="13"/>
  <c r="M10" i="13"/>
  <c r="N10" i="13"/>
  <c r="O10" i="13"/>
  <c r="P10" i="13"/>
  <c r="Q10" i="13"/>
  <c r="R10" i="13"/>
  <c r="T10" i="13"/>
  <c r="C11" i="13"/>
  <c r="D11" i="13"/>
  <c r="E11" i="13"/>
  <c r="F11" i="13"/>
  <c r="S11" i="13" s="1"/>
  <c r="G11" i="13"/>
  <c r="H11" i="13"/>
  <c r="I11" i="13"/>
  <c r="J11" i="13"/>
  <c r="K11" i="13"/>
  <c r="L11" i="13"/>
  <c r="M11" i="13"/>
  <c r="N11" i="13"/>
  <c r="O11" i="13"/>
  <c r="P11" i="13"/>
  <c r="Q11" i="13"/>
  <c r="R11" i="13"/>
  <c r="T11" i="13"/>
  <c r="C12" i="13"/>
  <c r="D12" i="13"/>
  <c r="S12" i="13" s="1"/>
  <c r="E12" i="13"/>
  <c r="F12" i="13"/>
  <c r="G12" i="13"/>
  <c r="H12" i="13"/>
  <c r="I12" i="13"/>
  <c r="J12" i="13"/>
  <c r="K12" i="13"/>
  <c r="L12" i="13"/>
  <c r="M12" i="13"/>
  <c r="N12" i="13"/>
  <c r="O12" i="13"/>
  <c r="P12" i="13"/>
  <c r="Q12" i="13"/>
  <c r="R12" i="13"/>
  <c r="T12" i="13"/>
  <c r="C13" i="13"/>
  <c r="D13" i="13"/>
  <c r="S13" i="13" s="1"/>
  <c r="E13" i="13"/>
  <c r="F13" i="13"/>
  <c r="G13" i="13"/>
  <c r="H13" i="13"/>
  <c r="I13" i="13"/>
  <c r="J13" i="13"/>
  <c r="K13" i="13"/>
  <c r="L13" i="13"/>
  <c r="M13" i="13"/>
  <c r="N13" i="13"/>
  <c r="O13" i="13"/>
  <c r="P13" i="13"/>
  <c r="Q13" i="13"/>
  <c r="R13" i="13"/>
  <c r="T13" i="13"/>
  <c r="C14" i="13"/>
  <c r="D14" i="13"/>
  <c r="S14" i="13" s="1"/>
  <c r="E14" i="13"/>
  <c r="F14" i="13"/>
  <c r="G14" i="13"/>
  <c r="H14" i="13"/>
  <c r="I14" i="13"/>
  <c r="J14" i="13"/>
  <c r="K14" i="13"/>
  <c r="L14" i="13"/>
  <c r="M14" i="13"/>
  <c r="N14" i="13"/>
  <c r="O14" i="13"/>
  <c r="P14" i="13"/>
  <c r="Q14" i="13"/>
  <c r="R14" i="13"/>
  <c r="T14" i="13"/>
  <c r="C15" i="13"/>
  <c r="D15" i="13"/>
  <c r="S15" i="13" s="1"/>
  <c r="E15" i="13"/>
  <c r="F15" i="13"/>
  <c r="G15" i="13"/>
  <c r="H15" i="13"/>
  <c r="I15" i="13"/>
  <c r="J15" i="13"/>
  <c r="K15" i="13"/>
  <c r="L15" i="13"/>
  <c r="M15" i="13"/>
  <c r="N15" i="13"/>
  <c r="O15" i="13"/>
  <c r="P15" i="13"/>
  <c r="Q15" i="13"/>
  <c r="R15" i="13"/>
  <c r="T15" i="13"/>
  <c r="C16" i="13"/>
  <c r="D16" i="13"/>
  <c r="S16" i="13" s="1"/>
  <c r="E16" i="13"/>
  <c r="F16" i="13"/>
  <c r="G16" i="13"/>
  <c r="H16" i="13"/>
  <c r="I16" i="13"/>
  <c r="J16" i="13"/>
  <c r="K16" i="13"/>
  <c r="L16" i="13"/>
  <c r="M16" i="13"/>
  <c r="N16" i="13"/>
  <c r="O16" i="13"/>
  <c r="P16" i="13"/>
  <c r="Q16" i="13"/>
  <c r="R16" i="13"/>
  <c r="T16" i="13"/>
  <c r="C17" i="13"/>
  <c r="D17" i="13"/>
  <c r="S17" i="13" s="1"/>
  <c r="E17" i="13"/>
  <c r="F17" i="13"/>
  <c r="G17" i="13"/>
  <c r="H17" i="13"/>
  <c r="I17" i="13"/>
  <c r="J17" i="13"/>
  <c r="K17" i="13"/>
  <c r="L17" i="13"/>
  <c r="M17" i="13"/>
  <c r="N17" i="13"/>
  <c r="O17" i="13"/>
  <c r="P17" i="13"/>
  <c r="Q17" i="13"/>
  <c r="R17" i="13"/>
  <c r="T17" i="13"/>
  <c r="C18" i="13"/>
  <c r="D18" i="13"/>
  <c r="S18" i="13" s="1"/>
  <c r="E18" i="13"/>
  <c r="F18" i="13"/>
  <c r="G18" i="13"/>
  <c r="H18" i="13"/>
  <c r="I18" i="13"/>
  <c r="J18" i="13"/>
  <c r="K18" i="13"/>
  <c r="L18" i="13"/>
  <c r="M18" i="13"/>
  <c r="N18" i="13"/>
  <c r="O18" i="13"/>
  <c r="P18" i="13"/>
  <c r="Q18" i="13"/>
  <c r="R18" i="13"/>
  <c r="T18" i="13"/>
  <c r="C19" i="13"/>
  <c r="D19" i="13"/>
  <c r="S19" i="13" s="1"/>
  <c r="E19" i="13"/>
  <c r="F19" i="13"/>
  <c r="G19" i="13"/>
  <c r="H19" i="13"/>
  <c r="I19" i="13"/>
  <c r="J19" i="13"/>
  <c r="K19" i="13"/>
  <c r="L19" i="13"/>
  <c r="M19" i="13"/>
  <c r="N19" i="13"/>
  <c r="O19" i="13"/>
  <c r="P19" i="13"/>
  <c r="Q19" i="13"/>
  <c r="R19" i="13"/>
  <c r="T19" i="13"/>
  <c r="C20" i="13"/>
  <c r="D20" i="13"/>
  <c r="S20" i="13" s="1"/>
  <c r="E20" i="13"/>
  <c r="F20" i="13"/>
  <c r="G20" i="13"/>
  <c r="H20" i="13"/>
  <c r="I20" i="13"/>
  <c r="J20" i="13"/>
  <c r="K20" i="13"/>
  <c r="L20" i="13"/>
  <c r="M20" i="13"/>
  <c r="N20" i="13"/>
  <c r="O20" i="13"/>
  <c r="P20" i="13"/>
  <c r="Q20" i="13"/>
  <c r="R20" i="13"/>
  <c r="T20" i="13"/>
  <c r="C21" i="13"/>
  <c r="D21" i="13"/>
  <c r="S21" i="13" s="1"/>
  <c r="E21" i="13"/>
  <c r="F21" i="13"/>
  <c r="G21" i="13"/>
  <c r="H21" i="13"/>
  <c r="I21" i="13"/>
  <c r="J21" i="13"/>
  <c r="K21" i="13"/>
  <c r="L21" i="13"/>
  <c r="M21" i="13"/>
  <c r="N21" i="13"/>
  <c r="O21" i="13"/>
  <c r="P21" i="13"/>
  <c r="Q21" i="13"/>
  <c r="R21" i="13"/>
  <c r="T21" i="13"/>
  <c r="C22" i="13"/>
  <c r="D22" i="13"/>
  <c r="S22" i="13" s="1"/>
  <c r="E22" i="13"/>
  <c r="F22" i="13"/>
  <c r="G22" i="13"/>
  <c r="H22" i="13"/>
  <c r="I22" i="13"/>
  <c r="J22" i="13"/>
  <c r="K22" i="13"/>
  <c r="L22" i="13"/>
  <c r="M22" i="13"/>
  <c r="N22" i="13"/>
  <c r="O22" i="13"/>
  <c r="P22" i="13"/>
  <c r="Q22" i="13"/>
  <c r="R22" i="13"/>
  <c r="T22" i="13"/>
  <c r="C23" i="13"/>
  <c r="D23" i="13"/>
  <c r="S23" i="13" s="1"/>
  <c r="E23" i="13"/>
  <c r="F23" i="13"/>
  <c r="G23" i="13"/>
  <c r="H23" i="13"/>
  <c r="I23" i="13"/>
  <c r="J23" i="13"/>
  <c r="K23" i="13"/>
  <c r="L23" i="13"/>
  <c r="M23" i="13"/>
  <c r="N23" i="13"/>
  <c r="O23" i="13"/>
  <c r="P23" i="13"/>
  <c r="Q23" i="13"/>
  <c r="R23" i="13"/>
  <c r="T23" i="13"/>
  <c r="C24" i="13"/>
  <c r="D24" i="13"/>
  <c r="S24" i="13" s="1"/>
  <c r="E24" i="13"/>
  <c r="F24" i="13"/>
  <c r="G24" i="13"/>
  <c r="H24" i="13"/>
  <c r="I24" i="13"/>
  <c r="J24" i="13"/>
  <c r="K24" i="13"/>
  <c r="L24" i="13"/>
  <c r="M24" i="13"/>
  <c r="N24" i="13"/>
  <c r="O24" i="13"/>
  <c r="P24" i="13"/>
  <c r="Q24" i="13"/>
  <c r="R24" i="13"/>
  <c r="T24" i="13"/>
  <c r="R25" i="13"/>
  <c r="R26" i="13"/>
  <c r="S26" i="13" s="1"/>
  <c r="R27" i="13"/>
  <c r="S27" i="13" s="1"/>
  <c r="R28" i="13"/>
  <c r="R29" i="13"/>
  <c r="R2" i="13"/>
  <c r="R2" i="12"/>
  <c r="C3" i="12"/>
  <c r="D3" i="12"/>
  <c r="E3" i="12"/>
  <c r="F3" i="12"/>
  <c r="S3" i="12" s="1"/>
  <c r="G3" i="12"/>
  <c r="H3" i="12"/>
  <c r="I3" i="12"/>
  <c r="J3" i="12"/>
  <c r="K3" i="12"/>
  <c r="L3" i="12"/>
  <c r="M3" i="12"/>
  <c r="N3" i="12"/>
  <c r="O3" i="12"/>
  <c r="P3" i="12"/>
  <c r="Q3" i="12"/>
  <c r="R3" i="12"/>
  <c r="T3" i="12"/>
  <c r="C4" i="12"/>
  <c r="D4" i="12"/>
  <c r="S4" i="12" s="1"/>
  <c r="E4" i="12"/>
  <c r="F4" i="12"/>
  <c r="G4" i="12"/>
  <c r="H4" i="12"/>
  <c r="I4" i="12"/>
  <c r="J4" i="12"/>
  <c r="K4" i="12"/>
  <c r="L4" i="12"/>
  <c r="M4" i="12"/>
  <c r="N4" i="12"/>
  <c r="O4" i="12"/>
  <c r="P4" i="12"/>
  <c r="Q4" i="12"/>
  <c r="R4" i="12"/>
  <c r="T4" i="12"/>
  <c r="C5" i="12"/>
  <c r="D5" i="12"/>
  <c r="E5" i="12"/>
  <c r="F5" i="12"/>
  <c r="S5" i="12" s="1"/>
  <c r="G5" i="12"/>
  <c r="H5" i="12"/>
  <c r="I5" i="12"/>
  <c r="J5" i="12"/>
  <c r="K5" i="12"/>
  <c r="L5" i="12"/>
  <c r="M5" i="12"/>
  <c r="N5" i="12"/>
  <c r="O5" i="12"/>
  <c r="P5" i="12"/>
  <c r="Q5" i="12"/>
  <c r="R5" i="12"/>
  <c r="T5" i="12"/>
  <c r="C6" i="12"/>
  <c r="D6" i="12"/>
  <c r="S6" i="12" s="1"/>
  <c r="E6" i="12"/>
  <c r="F6" i="12"/>
  <c r="G6" i="12"/>
  <c r="H6" i="12"/>
  <c r="I6" i="12"/>
  <c r="J6" i="12"/>
  <c r="K6" i="12"/>
  <c r="L6" i="12"/>
  <c r="M6" i="12"/>
  <c r="N6" i="12"/>
  <c r="O6" i="12"/>
  <c r="P6" i="12"/>
  <c r="Q6" i="12"/>
  <c r="R6" i="12"/>
  <c r="T6" i="12"/>
  <c r="C7" i="12"/>
  <c r="D7" i="12"/>
  <c r="E7" i="12"/>
  <c r="F7" i="12"/>
  <c r="S7" i="12" s="1"/>
  <c r="G7" i="12"/>
  <c r="H7" i="12"/>
  <c r="I7" i="12"/>
  <c r="J7" i="12"/>
  <c r="K7" i="12"/>
  <c r="L7" i="12"/>
  <c r="M7" i="12"/>
  <c r="N7" i="12"/>
  <c r="O7" i="12"/>
  <c r="P7" i="12"/>
  <c r="Q7" i="12"/>
  <c r="R7" i="12"/>
  <c r="T7" i="12"/>
  <c r="C8" i="12"/>
  <c r="D8" i="12"/>
  <c r="S8" i="12" s="1"/>
  <c r="E8" i="12"/>
  <c r="F8" i="12"/>
  <c r="G8" i="12"/>
  <c r="H8" i="12"/>
  <c r="I8" i="12"/>
  <c r="J8" i="12"/>
  <c r="K8" i="12"/>
  <c r="L8" i="12"/>
  <c r="M8" i="12"/>
  <c r="N8" i="12"/>
  <c r="O8" i="12"/>
  <c r="P8" i="12"/>
  <c r="Q8" i="12"/>
  <c r="R8" i="12"/>
  <c r="T8" i="12"/>
  <c r="C9" i="12"/>
  <c r="D9" i="12"/>
  <c r="E9" i="12"/>
  <c r="F9" i="12"/>
  <c r="S9" i="12" s="1"/>
  <c r="G9" i="12"/>
  <c r="H9" i="12"/>
  <c r="I9" i="12"/>
  <c r="J9" i="12"/>
  <c r="K9" i="12"/>
  <c r="L9" i="12"/>
  <c r="M9" i="12"/>
  <c r="N9" i="12"/>
  <c r="O9" i="12"/>
  <c r="P9" i="12"/>
  <c r="Q9" i="12"/>
  <c r="R9" i="12"/>
  <c r="T9" i="12"/>
  <c r="C10" i="12"/>
  <c r="D10" i="12"/>
  <c r="S10" i="12" s="1"/>
  <c r="E10" i="12"/>
  <c r="F10" i="12"/>
  <c r="G10" i="12"/>
  <c r="H10" i="12"/>
  <c r="I10" i="12"/>
  <c r="J10" i="12"/>
  <c r="K10" i="12"/>
  <c r="L10" i="12"/>
  <c r="M10" i="12"/>
  <c r="N10" i="12"/>
  <c r="O10" i="12"/>
  <c r="P10" i="12"/>
  <c r="Q10" i="12"/>
  <c r="R10" i="12"/>
  <c r="T10" i="12"/>
  <c r="C11" i="12"/>
  <c r="D11" i="12"/>
  <c r="S11" i="12" s="1"/>
  <c r="E11" i="12"/>
  <c r="F11" i="12"/>
  <c r="G11" i="12"/>
  <c r="H11" i="12"/>
  <c r="I11" i="12"/>
  <c r="J11" i="12"/>
  <c r="K11" i="12"/>
  <c r="L11" i="12"/>
  <c r="M11" i="12"/>
  <c r="N11" i="12"/>
  <c r="O11" i="12"/>
  <c r="P11" i="12"/>
  <c r="Q11" i="12"/>
  <c r="R11" i="12"/>
  <c r="T11" i="12"/>
  <c r="C12" i="12"/>
  <c r="D12" i="12"/>
  <c r="S12" i="12" s="1"/>
  <c r="E12" i="12"/>
  <c r="F12" i="12"/>
  <c r="G12" i="12"/>
  <c r="H12" i="12"/>
  <c r="I12" i="12"/>
  <c r="J12" i="12"/>
  <c r="K12" i="12"/>
  <c r="L12" i="12"/>
  <c r="M12" i="12"/>
  <c r="N12" i="12"/>
  <c r="O12" i="12"/>
  <c r="P12" i="12"/>
  <c r="Q12" i="12"/>
  <c r="R12" i="12"/>
  <c r="T12" i="12"/>
  <c r="C13" i="12"/>
  <c r="D13" i="12"/>
  <c r="S13" i="12" s="1"/>
  <c r="E13" i="12"/>
  <c r="F13" i="12"/>
  <c r="G13" i="12"/>
  <c r="H13" i="12"/>
  <c r="I13" i="12"/>
  <c r="J13" i="12"/>
  <c r="K13" i="12"/>
  <c r="L13" i="12"/>
  <c r="M13" i="12"/>
  <c r="N13" i="12"/>
  <c r="O13" i="12"/>
  <c r="P13" i="12"/>
  <c r="Q13" i="12"/>
  <c r="R13" i="12"/>
  <c r="T13" i="12"/>
  <c r="S25" i="13"/>
  <c r="S28" i="13"/>
  <c r="S29" i="13"/>
  <c r="R2" i="8"/>
  <c r="C3" i="8"/>
  <c r="D3" i="8"/>
  <c r="E3" i="8"/>
  <c r="F3" i="8"/>
  <c r="S3" i="8" s="1"/>
  <c r="G3" i="8"/>
  <c r="H3" i="8"/>
  <c r="I3" i="8"/>
  <c r="J3" i="8"/>
  <c r="K3" i="8"/>
  <c r="L3" i="8"/>
  <c r="M3" i="8"/>
  <c r="N3" i="8"/>
  <c r="O3" i="8"/>
  <c r="P3" i="8"/>
  <c r="Q3" i="8"/>
  <c r="R3" i="8"/>
  <c r="T3" i="8"/>
  <c r="U3" i="8"/>
  <c r="V3" i="8"/>
  <c r="C4" i="8"/>
  <c r="D4" i="8"/>
  <c r="E4" i="8"/>
  <c r="F4" i="8"/>
  <c r="S4" i="8" s="1"/>
  <c r="G4" i="8"/>
  <c r="H4" i="8"/>
  <c r="I4" i="8"/>
  <c r="J4" i="8"/>
  <c r="V4" i="8" s="1"/>
  <c r="K4" i="8"/>
  <c r="L4" i="8"/>
  <c r="M4" i="8"/>
  <c r="N4" i="8"/>
  <c r="O4" i="8"/>
  <c r="P4" i="8"/>
  <c r="Q4" i="8"/>
  <c r="R4" i="8"/>
  <c r="T4" i="8"/>
  <c r="U4" i="8"/>
  <c r="C5" i="8"/>
  <c r="D5" i="8"/>
  <c r="E5" i="8"/>
  <c r="F5" i="8"/>
  <c r="S5" i="8" s="1"/>
  <c r="G5" i="8"/>
  <c r="H5" i="8"/>
  <c r="I5" i="8"/>
  <c r="J5" i="8"/>
  <c r="K5" i="8"/>
  <c r="L5" i="8"/>
  <c r="M5" i="8"/>
  <c r="N5" i="8"/>
  <c r="V5" i="8" s="1"/>
  <c r="O5" i="8"/>
  <c r="P5" i="8"/>
  <c r="Q5" i="8"/>
  <c r="R5" i="8"/>
  <c r="T5" i="8"/>
  <c r="U5" i="8"/>
  <c r="C6" i="8"/>
  <c r="D6" i="8"/>
  <c r="E6" i="8"/>
  <c r="F6" i="8"/>
  <c r="S6" i="8" s="1"/>
  <c r="G6" i="8"/>
  <c r="H6" i="8"/>
  <c r="I6" i="8"/>
  <c r="J6" i="8"/>
  <c r="K6" i="8"/>
  <c r="L6" i="8"/>
  <c r="M6" i="8"/>
  <c r="N6" i="8"/>
  <c r="V6" i="8" s="1"/>
  <c r="O6" i="8"/>
  <c r="P6" i="8"/>
  <c r="Q6" i="8"/>
  <c r="R6" i="8"/>
  <c r="T6" i="8"/>
  <c r="U6" i="8"/>
  <c r="C7" i="8"/>
  <c r="D7" i="8"/>
  <c r="E7" i="8"/>
  <c r="F7" i="8"/>
  <c r="S7" i="8" s="1"/>
  <c r="G7" i="8"/>
  <c r="H7" i="8"/>
  <c r="I7" i="8"/>
  <c r="J7" i="8"/>
  <c r="K7" i="8"/>
  <c r="L7" i="8"/>
  <c r="M7" i="8"/>
  <c r="N7" i="8"/>
  <c r="V7" i="8" s="1"/>
  <c r="O7" i="8"/>
  <c r="P7" i="8"/>
  <c r="Q7" i="8"/>
  <c r="R7" i="8"/>
  <c r="T7" i="8"/>
  <c r="U7" i="8"/>
  <c r="C8" i="8"/>
  <c r="D8" i="8"/>
  <c r="E8" i="8"/>
  <c r="F8" i="8"/>
  <c r="S8" i="8" s="1"/>
  <c r="G8" i="8"/>
  <c r="H8" i="8"/>
  <c r="I8" i="8"/>
  <c r="J8" i="8"/>
  <c r="K8" i="8"/>
  <c r="L8" i="8"/>
  <c r="M8" i="8"/>
  <c r="N8" i="8"/>
  <c r="V8" i="8" s="1"/>
  <c r="O8" i="8"/>
  <c r="P8" i="8"/>
  <c r="Q8" i="8"/>
  <c r="R8" i="8"/>
  <c r="T8" i="8"/>
  <c r="U8" i="8"/>
  <c r="C9" i="8"/>
  <c r="D9" i="8"/>
  <c r="E9" i="8"/>
  <c r="F9" i="8"/>
  <c r="S9" i="8" s="1"/>
  <c r="G9" i="8"/>
  <c r="H9" i="8"/>
  <c r="I9" i="8"/>
  <c r="J9" i="8"/>
  <c r="K9" i="8"/>
  <c r="L9" i="8"/>
  <c r="M9" i="8"/>
  <c r="N9" i="8"/>
  <c r="V9" i="8" s="1"/>
  <c r="O9" i="8"/>
  <c r="P9" i="8"/>
  <c r="Q9" i="8"/>
  <c r="R9" i="8"/>
  <c r="T9" i="8"/>
  <c r="U9" i="8"/>
  <c r="C10" i="8"/>
  <c r="D10" i="8"/>
  <c r="E10" i="8"/>
  <c r="F10" i="8"/>
  <c r="S10" i="8" s="1"/>
  <c r="G10" i="8"/>
  <c r="H10" i="8"/>
  <c r="I10" i="8"/>
  <c r="J10" i="8"/>
  <c r="K10" i="8"/>
  <c r="L10" i="8"/>
  <c r="M10" i="8"/>
  <c r="N10" i="8"/>
  <c r="V10" i="8" s="1"/>
  <c r="O10" i="8"/>
  <c r="P10" i="8"/>
  <c r="Q10" i="8"/>
  <c r="R10" i="8"/>
  <c r="T10" i="8"/>
  <c r="U10" i="8"/>
  <c r="C11" i="8"/>
  <c r="D11" i="8"/>
  <c r="S11" i="8" s="1"/>
  <c r="E11" i="8"/>
  <c r="F11" i="8"/>
  <c r="G11" i="8"/>
  <c r="H11" i="8"/>
  <c r="I11" i="8"/>
  <c r="J11" i="8"/>
  <c r="K11" i="8"/>
  <c r="L11" i="8"/>
  <c r="M11" i="8"/>
  <c r="N11" i="8"/>
  <c r="V11" i="8" s="1"/>
  <c r="O11" i="8"/>
  <c r="P11" i="8"/>
  <c r="Q11" i="8"/>
  <c r="R11" i="8"/>
  <c r="T11" i="8"/>
  <c r="U11" i="8"/>
  <c r="C12" i="8"/>
  <c r="D12" i="8"/>
  <c r="S12" i="8" s="1"/>
  <c r="E12" i="8"/>
  <c r="F12" i="8"/>
  <c r="G12" i="8"/>
  <c r="H12" i="8"/>
  <c r="I12" i="8"/>
  <c r="J12" i="8"/>
  <c r="K12" i="8"/>
  <c r="L12" i="8"/>
  <c r="M12" i="8"/>
  <c r="N12" i="8"/>
  <c r="V12" i="8" s="1"/>
  <c r="O12" i="8"/>
  <c r="P12" i="8"/>
  <c r="Q12" i="8"/>
  <c r="R12" i="8"/>
  <c r="T12" i="8"/>
  <c r="U12" i="8"/>
  <c r="C13" i="8"/>
  <c r="D13" i="8"/>
  <c r="E13" i="8"/>
  <c r="F13" i="8"/>
  <c r="S13" i="8" s="1"/>
  <c r="G13" i="8"/>
  <c r="H13" i="8"/>
  <c r="I13" i="8"/>
  <c r="J13" i="8"/>
  <c r="K13" i="8"/>
  <c r="L13" i="8"/>
  <c r="M13" i="8"/>
  <c r="N13" i="8"/>
  <c r="V13" i="8" s="1"/>
  <c r="O13" i="8"/>
  <c r="P13" i="8"/>
  <c r="Q13" i="8"/>
  <c r="R13" i="8"/>
  <c r="T13" i="8"/>
  <c r="U13" i="8"/>
  <c r="C14" i="8"/>
  <c r="D14" i="8"/>
  <c r="E14" i="8"/>
  <c r="F14" i="8"/>
  <c r="S14" i="8" s="1"/>
  <c r="G14" i="8"/>
  <c r="H14" i="8"/>
  <c r="I14" i="8"/>
  <c r="J14" i="8"/>
  <c r="K14" i="8"/>
  <c r="L14" i="8"/>
  <c r="M14" i="8"/>
  <c r="N14" i="8"/>
  <c r="V14" i="8" s="1"/>
  <c r="O14" i="8"/>
  <c r="P14" i="8"/>
  <c r="Q14" i="8"/>
  <c r="R14" i="8"/>
  <c r="T14" i="8"/>
  <c r="U14" i="8"/>
  <c r="C15" i="8"/>
  <c r="D15" i="8"/>
  <c r="S15" i="8" s="1"/>
  <c r="E15" i="8"/>
  <c r="F15" i="8"/>
  <c r="G15" i="8"/>
  <c r="H15" i="8"/>
  <c r="I15" i="8"/>
  <c r="J15" i="8"/>
  <c r="K15" i="8"/>
  <c r="L15" i="8"/>
  <c r="M15" i="8"/>
  <c r="N15" i="8"/>
  <c r="V15" i="8" s="1"/>
  <c r="O15" i="8"/>
  <c r="P15" i="8"/>
  <c r="Q15" i="8"/>
  <c r="R15" i="8"/>
  <c r="T15" i="8"/>
  <c r="U15" i="8"/>
  <c r="C16" i="8"/>
  <c r="D16" i="8"/>
  <c r="S16" i="8" s="1"/>
  <c r="E16" i="8"/>
  <c r="F16" i="8"/>
  <c r="G16" i="8"/>
  <c r="H16" i="8"/>
  <c r="I16" i="8"/>
  <c r="J16" i="8"/>
  <c r="K16" i="8"/>
  <c r="L16" i="8"/>
  <c r="M16" i="8"/>
  <c r="N16" i="8"/>
  <c r="V16" i="8" s="1"/>
  <c r="O16" i="8"/>
  <c r="P16" i="8"/>
  <c r="Q16" i="8"/>
  <c r="R16" i="8"/>
  <c r="T16" i="8"/>
  <c r="U16" i="8"/>
  <c r="C17" i="8"/>
  <c r="D17" i="8"/>
  <c r="S17" i="8" s="1"/>
  <c r="E17" i="8"/>
  <c r="F17" i="8"/>
  <c r="G17" i="8"/>
  <c r="H17" i="8"/>
  <c r="I17" i="8"/>
  <c r="J17" i="8"/>
  <c r="K17" i="8"/>
  <c r="L17" i="8"/>
  <c r="M17" i="8"/>
  <c r="N17" i="8"/>
  <c r="V17" i="8" s="1"/>
  <c r="O17" i="8"/>
  <c r="P17" i="8"/>
  <c r="Q17" i="8"/>
  <c r="R17" i="8"/>
  <c r="T17" i="8"/>
  <c r="U17" i="8"/>
  <c r="C18" i="8"/>
  <c r="D18" i="8"/>
  <c r="S18" i="8" s="1"/>
  <c r="E18" i="8"/>
  <c r="F18" i="8"/>
  <c r="G18" i="8"/>
  <c r="H18" i="8"/>
  <c r="I18" i="8"/>
  <c r="J18" i="8"/>
  <c r="K18" i="8"/>
  <c r="L18" i="8"/>
  <c r="M18" i="8"/>
  <c r="N18" i="8"/>
  <c r="V18" i="8" s="1"/>
  <c r="O18" i="8"/>
  <c r="P18" i="8"/>
  <c r="Q18" i="8"/>
  <c r="R18" i="8"/>
  <c r="T18" i="8"/>
  <c r="U18" i="8"/>
  <c r="C19" i="8"/>
  <c r="D19" i="8"/>
  <c r="S19" i="8" s="1"/>
  <c r="E19" i="8"/>
  <c r="F19" i="8"/>
  <c r="G19" i="8"/>
  <c r="H19" i="8"/>
  <c r="I19" i="8"/>
  <c r="J19" i="8"/>
  <c r="V19" i="8" s="1"/>
  <c r="K19" i="8"/>
  <c r="L19" i="8"/>
  <c r="M19" i="8"/>
  <c r="N19" i="8"/>
  <c r="O19" i="8"/>
  <c r="P19" i="8"/>
  <c r="Q19" i="8"/>
  <c r="R19" i="8"/>
  <c r="T19" i="8"/>
  <c r="U19" i="8"/>
  <c r="C20" i="8"/>
  <c r="D20" i="8"/>
  <c r="S20" i="8" s="1"/>
  <c r="E20" i="8"/>
  <c r="F20" i="8"/>
  <c r="G20" i="8"/>
  <c r="H20" i="8"/>
  <c r="I20" i="8"/>
  <c r="J20" i="8"/>
  <c r="K20" i="8"/>
  <c r="L20" i="8"/>
  <c r="M20" i="8"/>
  <c r="N20" i="8"/>
  <c r="V20" i="8" s="1"/>
  <c r="O20" i="8"/>
  <c r="P20" i="8"/>
  <c r="Q20" i="8"/>
  <c r="R20" i="8"/>
  <c r="T20" i="8"/>
  <c r="U20" i="8"/>
  <c r="C21" i="8"/>
  <c r="D21" i="8"/>
  <c r="S21" i="8" s="1"/>
  <c r="E21" i="8"/>
  <c r="F21" i="8"/>
  <c r="G21" i="8"/>
  <c r="H21" i="8"/>
  <c r="I21" i="8"/>
  <c r="J21" i="8"/>
  <c r="K21" i="8"/>
  <c r="L21" i="8"/>
  <c r="M21" i="8"/>
  <c r="N21" i="8"/>
  <c r="V21" i="8" s="1"/>
  <c r="O21" i="8"/>
  <c r="P21" i="8"/>
  <c r="Q21" i="8"/>
  <c r="R21" i="8"/>
  <c r="T21" i="8"/>
  <c r="U21" i="8"/>
  <c r="C22" i="8"/>
  <c r="D22" i="8"/>
  <c r="S22" i="8" s="1"/>
  <c r="E22" i="8"/>
  <c r="F22" i="8"/>
  <c r="G22" i="8"/>
  <c r="H22" i="8"/>
  <c r="I22" i="8"/>
  <c r="J22" i="8"/>
  <c r="K22" i="8"/>
  <c r="L22" i="8"/>
  <c r="M22" i="8"/>
  <c r="N22" i="8"/>
  <c r="V22" i="8" s="1"/>
  <c r="O22" i="8"/>
  <c r="P22" i="8"/>
  <c r="Q22" i="8"/>
  <c r="R22" i="8"/>
  <c r="T22" i="8"/>
  <c r="U22" i="8"/>
  <c r="C23" i="8"/>
  <c r="D23" i="8"/>
  <c r="S23" i="8" s="1"/>
  <c r="E23" i="8"/>
  <c r="F23" i="8"/>
  <c r="G23" i="8"/>
  <c r="H23" i="8"/>
  <c r="I23" i="8"/>
  <c r="J23" i="8"/>
  <c r="K23" i="8"/>
  <c r="L23" i="8"/>
  <c r="M23" i="8"/>
  <c r="N23" i="8"/>
  <c r="V23" i="8" s="1"/>
  <c r="O23" i="8"/>
  <c r="P23" i="8"/>
  <c r="Q23" i="8"/>
  <c r="R23" i="8"/>
  <c r="T23" i="8"/>
  <c r="U23" i="8"/>
  <c r="C24" i="8"/>
  <c r="D24" i="8"/>
  <c r="S24" i="8" s="1"/>
  <c r="E24" i="8"/>
  <c r="F24" i="8"/>
  <c r="G24" i="8"/>
  <c r="H24" i="8"/>
  <c r="I24" i="8"/>
  <c r="J24" i="8"/>
  <c r="K24" i="8"/>
  <c r="L24" i="8"/>
  <c r="M24" i="8"/>
  <c r="N24" i="8"/>
  <c r="O24" i="8"/>
  <c r="P24" i="8"/>
  <c r="Q24" i="8"/>
  <c r="R24" i="8"/>
  <c r="T24" i="8"/>
  <c r="U24" i="8"/>
  <c r="V24" i="8"/>
  <c r="C25" i="8"/>
  <c r="D25" i="8"/>
  <c r="S25" i="8" s="1"/>
  <c r="E25" i="8"/>
  <c r="F25" i="8"/>
  <c r="G25" i="8"/>
  <c r="H25" i="8"/>
  <c r="I25" i="8"/>
  <c r="J25" i="8"/>
  <c r="K25" i="8"/>
  <c r="L25" i="8"/>
  <c r="M25" i="8"/>
  <c r="N25" i="8"/>
  <c r="O25" i="8"/>
  <c r="P25" i="8"/>
  <c r="Q25" i="8"/>
  <c r="R25" i="8"/>
  <c r="T25" i="8"/>
  <c r="U25" i="8"/>
  <c r="V25" i="8"/>
  <c r="C26" i="8"/>
  <c r="D26" i="8"/>
  <c r="S26" i="8" s="1"/>
  <c r="E26" i="8"/>
  <c r="F26" i="8"/>
  <c r="G26" i="8"/>
  <c r="H26" i="8"/>
  <c r="I26" i="8"/>
  <c r="J26" i="8"/>
  <c r="K26" i="8"/>
  <c r="L26" i="8"/>
  <c r="M26" i="8"/>
  <c r="N26" i="8"/>
  <c r="V26" i="8" s="1"/>
  <c r="O26" i="8"/>
  <c r="P26" i="8"/>
  <c r="Q26" i="8"/>
  <c r="R26" i="8"/>
  <c r="T26" i="8"/>
  <c r="U26" i="8"/>
  <c r="C27" i="8"/>
  <c r="D27" i="8"/>
  <c r="S27" i="8" s="1"/>
  <c r="E27" i="8"/>
  <c r="F27" i="8"/>
  <c r="G27" i="8"/>
  <c r="H27" i="8"/>
  <c r="I27" i="8"/>
  <c r="J27" i="8"/>
  <c r="V27" i="8" s="1"/>
  <c r="K27" i="8"/>
  <c r="L27" i="8"/>
  <c r="M27" i="8"/>
  <c r="N27" i="8"/>
  <c r="O27" i="8"/>
  <c r="P27" i="8"/>
  <c r="Q27" i="8"/>
  <c r="R27" i="8"/>
  <c r="T27" i="8"/>
  <c r="U27" i="8"/>
  <c r="C28" i="8"/>
  <c r="D28" i="8"/>
  <c r="S28" i="8" s="1"/>
  <c r="E28" i="8"/>
  <c r="F28" i="8"/>
  <c r="G28" i="8"/>
  <c r="H28" i="8"/>
  <c r="I28" i="8"/>
  <c r="J28" i="8"/>
  <c r="K28" i="8"/>
  <c r="L28" i="8"/>
  <c r="M28" i="8"/>
  <c r="N28" i="8"/>
  <c r="V28" i="8" s="1"/>
  <c r="O28" i="8"/>
  <c r="P28" i="8"/>
  <c r="Q28" i="8"/>
  <c r="R28" i="8"/>
  <c r="T28" i="8"/>
  <c r="U28" i="8"/>
  <c r="C29" i="8"/>
  <c r="D29" i="8"/>
  <c r="S29" i="8" s="1"/>
  <c r="E29" i="8"/>
  <c r="F29" i="8"/>
  <c r="G29" i="8"/>
  <c r="H29" i="8"/>
  <c r="I29" i="8"/>
  <c r="J29" i="8"/>
  <c r="K29" i="8"/>
  <c r="L29" i="8"/>
  <c r="M29" i="8"/>
  <c r="N29" i="8"/>
  <c r="V29" i="8" s="1"/>
  <c r="O29" i="8"/>
  <c r="P29" i="8"/>
  <c r="Q29" i="8"/>
  <c r="R29" i="8"/>
  <c r="T29" i="8"/>
  <c r="U29" i="8"/>
  <c r="C30" i="8"/>
  <c r="D30" i="8"/>
  <c r="S30" i="8" s="1"/>
  <c r="E30" i="8"/>
  <c r="F30" i="8"/>
  <c r="G30" i="8"/>
  <c r="H30" i="8"/>
  <c r="I30" i="8"/>
  <c r="J30" i="8"/>
  <c r="K30" i="8"/>
  <c r="L30" i="8"/>
  <c r="M30" i="8"/>
  <c r="N30" i="8"/>
  <c r="V30" i="8" s="1"/>
  <c r="O30" i="8"/>
  <c r="P30" i="8"/>
  <c r="Q30" i="8"/>
  <c r="R30" i="8"/>
  <c r="T30" i="8"/>
  <c r="U30" i="8"/>
  <c r="C31" i="8"/>
  <c r="D31" i="8"/>
  <c r="S31" i="8" s="1"/>
  <c r="E31" i="8"/>
  <c r="F31" i="8"/>
  <c r="G31" i="8"/>
  <c r="H31" i="8"/>
  <c r="I31" i="8"/>
  <c r="J31" i="8"/>
  <c r="V31" i="8" s="1"/>
  <c r="K31" i="8"/>
  <c r="L31" i="8"/>
  <c r="M31" i="8"/>
  <c r="N31" i="8"/>
  <c r="O31" i="8"/>
  <c r="P31" i="8"/>
  <c r="Q31" i="8"/>
  <c r="R31" i="8"/>
  <c r="T31" i="8"/>
  <c r="U31" i="8"/>
  <c r="C32" i="8"/>
  <c r="D32" i="8"/>
  <c r="S32" i="8" s="1"/>
  <c r="E32" i="8"/>
  <c r="F32" i="8"/>
  <c r="G32" i="8"/>
  <c r="H32" i="8"/>
  <c r="I32" i="8"/>
  <c r="J32" i="8"/>
  <c r="K32" i="8"/>
  <c r="L32" i="8"/>
  <c r="M32" i="8"/>
  <c r="N32" i="8"/>
  <c r="V32" i="8" s="1"/>
  <c r="O32" i="8"/>
  <c r="P32" i="8"/>
  <c r="Q32" i="8"/>
  <c r="R32" i="8"/>
  <c r="T32" i="8"/>
  <c r="U32" i="8"/>
  <c r="C33" i="8"/>
  <c r="D33" i="8"/>
  <c r="S33" i="8" s="1"/>
  <c r="E33" i="8"/>
  <c r="F33" i="8"/>
  <c r="G33" i="8"/>
  <c r="H33" i="8"/>
  <c r="I33" i="8"/>
  <c r="J33" i="8"/>
  <c r="K33" i="8"/>
  <c r="L33" i="8"/>
  <c r="M33" i="8"/>
  <c r="N33" i="8"/>
  <c r="V33" i="8" s="1"/>
  <c r="O33" i="8"/>
  <c r="P33" i="8"/>
  <c r="Q33" i="8"/>
  <c r="R33" i="8"/>
  <c r="T33" i="8"/>
  <c r="U33" i="8"/>
  <c r="C34" i="8"/>
  <c r="D34" i="8"/>
  <c r="S34" i="8" s="1"/>
  <c r="E34" i="8"/>
  <c r="F34" i="8"/>
  <c r="G34" i="8"/>
  <c r="H34" i="8"/>
  <c r="I34" i="8"/>
  <c r="J34" i="8"/>
  <c r="V34" i="8" s="1"/>
  <c r="K34" i="8"/>
  <c r="L34" i="8"/>
  <c r="M34" i="8"/>
  <c r="N34" i="8"/>
  <c r="O34" i="8"/>
  <c r="P34" i="8"/>
  <c r="Q34" i="8"/>
  <c r="R34" i="8"/>
  <c r="T34" i="8"/>
  <c r="U34" i="8"/>
  <c r="C35" i="8"/>
  <c r="D35" i="8"/>
  <c r="S35" i="8" s="1"/>
  <c r="E35" i="8"/>
  <c r="F35" i="8"/>
  <c r="G35" i="8"/>
  <c r="H35" i="8"/>
  <c r="I35" i="8"/>
  <c r="J35" i="8"/>
  <c r="K35" i="8"/>
  <c r="L35" i="8"/>
  <c r="M35" i="8"/>
  <c r="N35" i="8"/>
  <c r="V35" i="8" s="1"/>
  <c r="O35" i="8"/>
  <c r="P35" i="8"/>
  <c r="Q35" i="8"/>
  <c r="R35" i="8"/>
  <c r="T35" i="8"/>
  <c r="U35" i="8"/>
  <c r="C36" i="8"/>
  <c r="D36" i="8"/>
  <c r="S36" i="8" s="1"/>
  <c r="E36" i="8"/>
  <c r="F36" i="8"/>
  <c r="G36" i="8"/>
  <c r="H36" i="8"/>
  <c r="I36" i="8"/>
  <c r="J36" i="8"/>
  <c r="K36" i="8"/>
  <c r="L36" i="8"/>
  <c r="M36" i="8"/>
  <c r="N36" i="8"/>
  <c r="O36" i="8"/>
  <c r="P36" i="8"/>
  <c r="Q36" i="8"/>
  <c r="R36" i="8"/>
  <c r="T36" i="8"/>
  <c r="U36" i="8"/>
  <c r="V36" i="8"/>
  <c r="Q2" i="8"/>
  <c r="P21" i="17"/>
  <c r="P2" i="17"/>
  <c r="C3" i="20"/>
  <c r="D3" i="20"/>
  <c r="E3" i="20"/>
  <c r="F3" i="20"/>
  <c r="G3" i="20"/>
  <c r="H3" i="20"/>
  <c r="I3" i="20"/>
  <c r="J3" i="20"/>
  <c r="K3" i="20"/>
  <c r="L3" i="20"/>
  <c r="M3" i="20"/>
  <c r="N3" i="20"/>
  <c r="R3" i="20" s="1"/>
  <c r="O3" i="20"/>
  <c r="P3" i="20"/>
  <c r="Q3" i="20"/>
  <c r="S3" i="20"/>
  <c r="T3" i="20"/>
  <c r="C4" i="20"/>
  <c r="D4" i="20"/>
  <c r="R4" i="20" s="1"/>
  <c r="E4" i="20"/>
  <c r="F4" i="20"/>
  <c r="G4" i="20"/>
  <c r="H4" i="20"/>
  <c r="I4" i="20"/>
  <c r="J4" i="20"/>
  <c r="K4" i="20"/>
  <c r="L4" i="20"/>
  <c r="M4" i="20"/>
  <c r="N4" i="20"/>
  <c r="O4" i="20"/>
  <c r="P4" i="20"/>
  <c r="Q4" i="20"/>
  <c r="S4" i="20"/>
  <c r="T4" i="20"/>
  <c r="C5" i="20"/>
  <c r="D5" i="20"/>
  <c r="E5" i="20"/>
  <c r="F5" i="20"/>
  <c r="G5" i="20"/>
  <c r="H5" i="20"/>
  <c r="I5" i="20"/>
  <c r="J5" i="20"/>
  <c r="K5" i="20"/>
  <c r="L5" i="20"/>
  <c r="M5" i="20"/>
  <c r="N5" i="20"/>
  <c r="R5" i="20" s="1"/>
  <c r="O5" i="20"/>
  <c r="P5" i="20"/>
  <c r="Q5" i="20"/>
  <c r="S5" i="20"/>
  <c r="T5" i="20"/>
  <c r="C6" i="20"/>
  <c r="R6" i="20" s="1"/>
  <c r="D6" i="20"/>
  <c r="E6" i="20"/>
  <c r="F6" i="20"/>
  <c r="G6" i="20"/>
  <c r="H6" i="20"/>
  <c r="I6" i="20"/>
  <c r="J6" i="20"/>
  <c r="K6" i="20"/>
  <c r="L6" i="20"/>
  <c r="M6" i="20"/>
  <c r="N6" i="20"/>
  <c r="O6" i="20"/>
  <c r="P6" i="20"/>
  <c r="Q6" i="20"/>
  <c r="S6" i="20"/>
  <c r="T6" i="20"/>
  <c r="C7" i="20"/>
  <c r="D7" i="20"/>
  <c r="E7" i="20"/>
  <c r="F7" i="20"/>
  <c r="G7" i="20"/>
  <c r="H7" i="20"/>
  <c r="I7" i="20"/>
  <c r="J7" i="20"/>
  <c r="K7" i="20"/>
  <c r="L7" i="20"/>
  <c r="M7" i="20"/>
  <c r="N7" i="20"/>
  <c r="R7" i="20" s="1"/>
  <c r="O7" i="20"/>
  <c r="P7" i="20"/>
  <c r="Q7" i="20"/>
  <c r="S7" i="20"/>
  <c r="T7" i="20"/>
  <c r="C8" i="20"/>
  <c r="R8" i="20" s="1"/>
  <c r="D8" i="20"/>
  <c r="E8" i="20"/>
  <c r="F8" i="20"/>
  <c r="G8" i="20"/>
  <c r="H8" i="20"/>
  <c r="I8" i="20"/>
  <c r="J8" i="20"/>
  <c r="K8" i="20"/>
  <c r="L8" i="20"/>
  <c r="M8" i="20"/>
  <c r="N8" i="20"/>
  <c r="O8" i="20"/>
  <c r="P8" i="20"/>
  <c r="Q8" i="20"/>
  <c r="S8" i="20"/>
  <c r="T8" i="20"/>
  <c r="C9" i="20"/>
  <c r="D9" i="20"/>
  <c r="E9" i="20"/>
  <c r="F9" i="20"/>
  <c r="G9" i="20"/>
  <c r="H9" i="20"/>
  <c r="I9" i="20"/>
  <c r="J9" i="20"/>
  <c r="R9" i="20" s="1"/>
  <c r="K9" i="20"/>
  <c r="L9" i="20"/>
  <c r="M9" i="20"/>
  <c r="N9" i="20"/>
  <c r="O9" i="20"/>
  <c r="P9" i="20"/>
  <c r="Q9" i="20"/>
  <c r="S9" i="20"/>
  <c r="T9" i="20"/>
  <c r="C10" i="20"/>
  <c r="R10" i="20" s="1"/>
  <c r="D10" i="20"/>
  <c r="E10" i="20"/>
  <c r="F10" i="20"/>
  <c r="G10" i="20"/>
  <c r="H10" i="20"/>
  <c r="I10" i="20"/>
  <c r="J10" i="20"/>
  <c r="K10" i="20"/>
  <c r="L10" i="20"/>
  <c r="M10" i="20"/>
  <c r="N10" i="20"/>
  <c r="O10" i="20"/>
  <c r="P10" i="20"/>
  <c r="Q10" i="20"/>
  <c r="S10" i="20"/>
  <c r="T10" i="20"/>
  <c r="C11" i="20"/>
  <c r="D11" i="20"/>
  <c r="E11" i="20"/>
  <c r="F11" i="20"/>
  <c r="G11" i="20"/>
  <c r="H11" i="20"/>
  <c r="I11" i="20"/>
  <c r="J11" i="20"/>
  <c r="R11" i="20" s="1"/>
  <c r="K11" i="20"/>
  <c r="L11" i="20"/>
  <c r="M11" i="20"/>
  <c r="N11" i="20"/>
  <c r="O11" i="20"/>
  <c r="P11" i="20"/>
  <c r="Q11" i="20"/>
  <c r="S11" i="20"/>
  <c r="T11" i="20"/>
  <c r="C12" i="20"/>
  <c r="R12" i="20" s="1"/>
  <c r="D12" i="20"/>
  <c r="E12" i="20"/>
  <c r="F12" i="20"/>
  <c r="G12" i="20"/>
  <c r="H12" i="20"/>
  <c r="I12" i="20"/>
  <c r="J12" i="20"/>
  <c r="K12" i="20"/>
  <c r="L12" i="20"/>
  <c r="M12" i="20"/>
  <c r="N12" i="20"/>
  <c r="O12" i="20"/>
  <c r="P12" i="20"/>
  <c r="Q12" i="20"/>
  <c r="S12" i="20"/>
  <c r="T12" i="20"/>
  <c r="C13" i="20"/>
  <c r="D13" i="20"/>
  <c r="E13" i="20"/>
  <c r="F13" i="20"/>
  <c r="G13" i="20"/>
  <c r="H13" i="20"/>
  <c r="I13" i="20"/>
  <c r="J13" i="20"/>
  <c r="R13" i="20" s="1"/>
  <c r="K13" i="20"/>
  <c r="L13" i="20"/>
  <c r="M13" i="20"/>
  <c r="N13" i="20"/>
  <c r="O13" i="20"/>
  <c r="P13" i="20"/>
  <c r="Q13" i="20"/>
  <c r="S13" i="20"/>
  <c r="T13" i="20"/>
  <c r="C14" i="20"/>
  <c r="R14" i="20" s="1"/>
  <c r="D14" i="20"/>
  <c r="E14" i="20"/>
  <c r="F14" i="20"/>
  <c r="G14" i="20"/>
  <c r="H14" i="20"/>
  <c r="I14" i="20"/>
  <c r="J14" i="20"/>
  <c r="K14" i="20"/>
  <c r="L14" i="20"/>
  <c r="M14" i="20"/>
  <c r="N14" i="20"/>
  <c r="O14" i="20"/>
  <c r="P14" i="20"/>
  <c r="Q14" i="20"/>
  <c r="S14" i="20"/>
  <c r="T14" i="20"/>
  <c r="C15" i="20"/>
  <c r="D15" i="20"/>
  <c r="E15" i="20"/>
  <c r="F15" i="20"/>
  <c r="G15" i="20"/>
  <c r="H15" i="20"/>
  <c r="I15" i="20"/>
  <c r="J15" i="20"/>
  <c r="R15" i="20" s="1"/>
  <c r="K15" i="20"/>
  <c r="L15" i="20"/>
  <c r="M15" i="20"/>
  <c r="N15" i="20"/>
  <c r="O15" i="20"/>
  <c r="P15" i="20"/>
  <c r="Q15" i="20"/>
  <c r="S15" i="20"/>
  <c r="T15" i="20"/>
  <c r="C16" i="20"/>
  <c r="R16" i="20" s="1"/>
  <c r="D16" i="20"/>
  <c r="E16" i="20"/>
  <c r="F16" i="20"/>
  <c r="G16" i="20"/>
  <c r="H16" i="20"/>
  <c r="I16" i="20"/>
  <c r="J16" i="20"/>
  <c r="K16" i="20"/>
  <c r="L16" i="20"/>
  <c r="M16" i="20"/>
  <c r="N16" i="20"/>
  <c r="O16" i="20"/>
  <c r="P16" i="20"/>
  <c r="Q16" i="20"/>
  <c r="S16" i="20"/>
  <c r="T16" i="20"/>
  <c r="C17" i="20"/>
  <c r="D17" i="20"/>
  <c r="E17" i="20"/>
  <c r="F17" i="20"/>
  <c r="G17" i="20"/>
  <c r="H17" i="20"/>
  <c r="I17" i="20"/>
  <c r="J17" i="20"/>
  <c r="R17" i="20" s="1"/>
  <c r="K17" i="20"/>
  <c r="L17" i="20"/>
  <c r="M17" i="20"/>
  <c r="N17" i="20"/>
  <c r="O17" i="20"/>
  <c r="P17" i="20"/>
  <c r="Q17" i="20"/>
  <c r="S17" i="20"/>
  <c r="T17" i="20"/>
  <c r="C18" i="20"/>
  <c r="R18" i="20" s="1"/>
  <c r="D18" i="20"/>
  <c r="E18" i="20"/>
  <c r="F18" i="20"/>
  <c r="G18" i="20"/>
  <c r="H18" i="20"/>
  <c r="I18" i="20"/>
  <c r="J18" i="20"/>
  <c r="K18" i="20"/>
  <c r="L18" i="20"/>
  <c r="M18" i="20"/>
  <c r="N18" i="20"/>
  <c r="O18" i="20"/>
  <c r="P18" i="20"/>
  <c r="Q18" i="20"/>
  <c r="S18" i="20"/>
  <c r="T18" i="20"/>
  <c r="C19" i="20"/>
  <c r="D19" i="20"/>
  <c r="E19" i="20"/>
  <c r="F19" i="20"/>
  <c r="G19" i="20"/>
  <c r="H19" i="20"/>
  <c r="I19" i="20"/>
  <c r="J19" i="20"/>
  <c r="R19" i="20" s="1"/>
  <c r="K19" i="20"/>
  <c r="L19" i="20"/>
  <c r="M19" i="20"/>
  <c r="N19" i="20"/>
  <c r="O19" i="20"/>
  <c r="P19" i="20"/>
  <c r="Q19" i="20"/>
  <c r="S19" i="20"/>
  <c r="T19" i="20"/>
  <c r="C20" i="20"/>
  <c r="R20" i="20" s="1"/>
  <c r="D20" i="20"/>
  <c r="E20" i="20"/>
  <c r="F20" i="20"/>
  <c r="G20" i="20"/>
  <c r="H20" i="20"/>
  <c r="I20" i="20"/>
  <c r="J20" i="20"/>
  <c r="K20" i="20"/>
  <c r="L20" i="20"/>
  <c r="M20" i="20"/>
  <c r="N20" i="20"/>
  <c r="O20" i="20"/>
  <c r="P20" i="20"/>
  <c r="Q20" i="20"/>
  <c r="S20" i="20"/>
  <c r="T20" i="20"/>
  <c r="C21" i="20"/>
  <c r="D21" i="20"/>
  <c r="E21" i="20"/>
  <c r="F21" i="20"/>
  <c r="G21" i="20"/>
  <c r="H21" i="20"/>
  <c r="I21" i="20"/>
  <c r="J21" i="20"/>
  <c r="R21" i="20" s="1"/>
  <c r="K21" i="20"/>
  <c r="L21" i="20"/>
  <c r="M21" i="20"/>
  <c r="N21" i="20"/>
  <c r="O21" i="20"/>
  <c r="P21" i="20"/>
  <c r="Q21" i="20"/>
  <c r="S21" i="20"/>
  <c r="T21" i="20"/>
  <c r="C22" i="20"/>
  <c r="R22" i="20" s="1"/>
  <c r="D22" i="20"/>
  <c r="E22" i="20"/>
  <c r="F22" i="20"/>
  <c r="G22" i="20"/>
  <c r="H22" i="20"/>
  <c r="I22" i="20"/>
  <c r="J22" i="20"/>
  <c r="K22" i="20"/>
  <c r="L22" i="20"/>
  <c r="M22" i="20"/>
  <c r="N22" i="20"/>
  <c r="O22" i="20"/>
  <c r="P22" i="20"/>
  <c r="Q22" i="20"/>
  <c r="S22" i="20"/>
  <c r="T22" i="20"/>
  <c r="C23" i="20"/>
  <c r="D23" i="20"/>
  <c r="E23" i="20"/>
  <c r="F23" i="20"/>
  <c r="G23" i="20"/>
  <c r="H23" i="20"/>
  <c r="I23" i="20"/>
  <c r="J23" i="20"/>
  <c r="R23" i="20" s="1"/>
  <c r="K23" i="20"/>
  <c r="L23" i="20"/>
  <c r="M23" i="20"/>
  <c r="N23" i="20"/>
  <c r="O23" i="20"/>
  <c r="P23" i="20"/>
  <c r="Q23" i="20"/>
  <c r="S23" i="20"/>
  <c r="T23" i="20"/>
  <c r="C24" i="20"/>
  <c r="R24" i="20" s="1"/>
  <c r="D24" i="20"/>
  <c r="E24" i="20"/>
  <c r="F24" i="20"/>
  <c r="G24" i="20"/>
  <c r="H24" i="20"/>
  <c r="I24" i="20"/>
  <c r="J24" i="20"/>
  <c r="K24" i="20"/>
  <c r="L24" i="20"/>
  <c r="M24" i="20"/>
  <c r="N24" i="20"/>
  <c r="O24" i="20"/>
  <c r="P24" i="20"/>
  <c r="Q24" i="20"/>
  <c r="S24" i="20"/>
  <c r="T24" i="20"/>
  <c r="C25" i="20"/>
  <c r="D25" i="20"/>
  <c r="E25" i="20"/>
  <c r="F25" i="20"/>
  <c r="G25" i="20"/>
  <c r="H25" i="20"/>
  <c r="I25" i="20"/>
  <c r="J25" i="20"/>
  <c r="R25" i="20" s="1"/>
  <c r="K25" i="20"/>
  <c r="L25" i="20"/>
  <c r="M25" i="20"/>
  <c r="N25" i="20"/>
  <c r="O25" i="20"/>
  <c r="P25" i="20"/>
  <c r="Q25" i="20"/>
  <c r="S25" i="20"/>
  <c r="T25" i="20"/>
  <c r="C26" i="20"/>
  <c r="R26" i="20" s="1"/>
  <c r="D26" i="20"/>
  <c r="E26" i="20"/>
  <c r="F26" i="20"/>
  <c r="G26" i="20"/>
  <c r="H26" i="20"/>
  <c r="I26" i="20"/>
  <c r="J26" i="20"/>
  <c r="K26" i="20"/>
  <c r="L26" i="20"/>
  <c r="M26" i="20"/>
  <c r="N26" i="20"/>
  <c r="O26" i="20"/>
  <c r="P26" i="20"/>
  <c r="Q26" i="20"/>
  <c r="S26" i="20"/>
  <c r="T26" i="20"/>
  <c r="C27" i="20"/>
  <c r="D27" i="20"/>
  <c r="E27" i="20"/>
  <c r="F27" i="20"/>
  <c r="G27" i="20"/>
  <c r="H27" i="20"/>
  <c r="I27" i="20"/>
  <c r="J27" i="20"/>
  <c r="R27" i="20" s="1"/>
  <c r="K27" i="20"/>
  <c r="L27" i="20"/>
  <c r="M27" i="20"/>
  <c r="N27" i="20"/>
  <c r="O27" i="20"/>
  <c r="P27" i="20"/>
  <c r="Q27" i="20"/>
  <c r="S27" i="20"/>
  <c r="T27" i="20"/>
  <c r="C28" i="20"/>
  <c r="R28" i="20" s="1"/>
  <c r="D28" i="20"/>
  <c r="E28" i="20"/>
  <c r="F28" i="20"/>
  <c r="G28" i="20"/>
  <c r="H28" i="20"/>
  <c r="I28" i="20"/>
  <c r="J28" i="20"/>
  <c r="K28" i="20"/>
  <c r="L28" i="20"/>
  <c r="M28" i="20"/>
  <c r="N28" i="20"/>
  <c r="O28" i="20"/>
  <c r="P28" i="20"/>
  <c r="Q28" i="20"/>
  <c r="S28" i="20"/>
  <c r="T28" i="20"/>
  <c r="C29" i="20"/>
  <c r="D29" i="20"/>
  <c r="E29" i="20"/>
  <c r="F29" i="20"/>
  <c r="R29" i="20" s="1"/>
  <c r="G29" i="20"/>
  <c r="H29" i="20"/>
  <c r="I29" i="20"/>
  <c r="J29" i="20"/>
  <c r="K29" i="20"/>
  <c r="L29" i="20"/>
  <c r="M29" i="20"/>
  <c r="N29" i="20"/>
  <c r="O29" i="20"/>
  <c r="P29" i="20"/>
  <c r="Q29" i="20"/>
  <c r="S29" i="20"/>
  <c r="T29" i="20"/>
  <c r="C30" i="20"/>
  <c r="R30" i="20" s="1"/>
  <c r="D30" i="20"/>
  <c r="E30" i="20"/>
  <c r="F30" i="20"/>
  <c r="G30" i="20"/>
  <c r="H30" i="20"/>
  <c r="I30" i="20"/>
  <c r="J30" i="20"/>
  <c r="K30" i="20"/>
  <c r="L30" i="20"/>
  <c r="M30" i="20"/>
  <c r="N30" i="20"/>
  <c r="O30" i="20"/>
  <c r="P30" i="20"/>
  <c r="Q30" i="20"/>
  <c r="S30" i="20"/>
  <c r="T30" i="20"/>
  <c r="C31" i="20"/>
  <c r="D31" i="20"/>
  <c r="E31" i="20"/>
  <c r="F31" i="20"/>
  <c r="R31" i="20" s="1"/>
  <c r="G31" i="20"/>
  <c r="H31" i="20"/>
  <c r="I31" i="20"/>
  <c r="J31" i="20"/>
  <c r="K31" i="20"/>
  <c r="L31" i="20"/>
  <c r="M31" i="20"/>
  <c r="N31" i="20"/>
  <c r="O31" i="20"/>
  <c r="P31" i="20"/>
  <c r="Q31" i="20"/>
  <c r="S31" i="20"/>
  <c r="T31" i="20"/>
  <c r="C32" i="20"/>
  <c r="R32" i="20" s="1"/>
  <c r="D32" i="20"/>
  <c r="E32" i="20"/>
  <c r="F32" i="20"/>
  <c r="G32" i="20"/>
  <c r="H32" i="20"/>
  <c r="I32" i="20"/>
  <c r="J32" i="20"/>
  <c r="K32" i="20"/>
  <c r="L32" i="20"/>
  <c r="M32" i="20"/>
  <c r="N32" i="20"/>
  <c r="O32" i="20"/>
  <c r="P32" i="20"/>
  <c r="Q32" i="20"/>
  <c r="S32" i="20"/>
  <c r="T32" i="20"/>
  <c r="C33" i="20"/>
  <c r="D33" i="20"/>
  <c r="E33" i="20"/>
  <c r="F33" i="20"/>
  <c r="G33" i="20"/>
  <c r="H33" i="20"/>
  <c r="I33" i="20"/>
  <c r="J33" i="20"/>
  <c r="R33" i="20" s="1"/>
  <c r="K33" i="20"/>
  <c r="L33" i="20"/>
  <c r="M33" i="20"/>
  <c r="N33" i="20"/>
  <c r="O33" i="20"/>
  <c r="P33" i="20"/>
  <c r="Q33" i="20"/>
  <c r="S33" i="20"/>
  <c r="T33" i="20"/>
  <c r="C34" i="20"/>
  <c r="R34" i="20" s="1"/>
  <c r="D34" i="20"/>
  <c r="E34" i="20"/>
  <c r="F34" i="20"/>
  <c r="G34" i="20"/>
  <c r="H34" i="20"/>
  <c r="I34" i="20"/>
  <c r="J34" i="20"/>
  <c r="K34" i="20"/>
  <c r="L34" i="20"/>
  <c r="M34" i="20"/>
  <c r="N34" i="20"/>
  <c r="O34" i="20"/>
  <c r="P34" i="20"/>
  <c r="Q34" i="20"/>
  <c r="S34" i="20"/>
  <c r="T34" i="20"/>
  <c r="C35" i="20"/>
  <c r="D35" i="20"/>
  <c r="E35" i="20"/>
  <c r="F35" i="20"/>
  <c r="G35" i="20"/>
  <c r="H35" i="20"/>
  <c r="I35" i="20"/>
  <c r="J35" i="20"/>
  <c r="R35" i="20" s="1"/>
  <c r="K35" i="20"/>
  <c r="L35" i="20"/>
  <c r="M35" i="20"/>
  <c r="N35" i="20"/>
  <c r="O35" i="20"/>
  <c r="P35" i="20"/>
  <c r="Q35" i="20"/>
  <c r="S35" i="20"/>
  <c r="T35" i="20"/>
  <c r="C36" i="20"/>
  <c r="R36" i="20" s="1"/>
  <c r="D36" i="20"/>
  <c r="E36" i="20"/>
  <c r="F36" i="20"/>
  <c r="G36" i="20"/>
  <c r="H36" i="20"/>
  <c r="I36" i="20"/>
  <c r="J36" i="20"/>
  <c r="K36" i="20"/>
  <c r="L36" i="20"/>
  <c r="M36" i="20"/>
  <c r="N36" i="20"/>
  <c r="O36" i="20"/>
  <c r="P36" i="20"/>
  <c r="Q36" i="20"/>
  <c r="S36" i="20"/>
  <c r="T36" i="20"/>
  <c r="C37" i="20"/>
  <c r="D37" i="20"/>
  <c r="E37" i="20"/>
  <c r="F37" i="20"/>
  <c r="R37" i="20" s="1"/>
  <c r="G37" i="20"/>
  <c r="H37" i="20"/>
  <c r="I37" i="20"/>
  <c r="J37" i="20"/>
  <c r="K37" i="20"/>
  <c r="L37" i="20"/>
  <c r="M37" i="20"/>
  <c r="N37" i="20"/>
  <c r="O37" i="20"/>
  <c r="P37" i="20"/>
  <c r="Q37" i="20"/>
  <c r="S37" i="20"/>
  <c r="T37" i="20"/>
  <c r="C38" i="20"/>
  <c r="R38" i="20" s="1"/>
  <c r="D38" i="20"/>
  <c r="E38" i="20"/>
  <c r="F38" i="20"/>
  <c r="G38" i="20"/>
  <c r="H38" i="20"/>
  <c r="I38" i="20"/>
  <c r="J38" i="20"/>
  <c r="K38" i="20"/>
  <c r="L38" i="20"/>
  <c r="M38" i="20"/>
  <c r="N38" i="20"/>
  <c r="O38" i="20"/>
  <c r="P38" i="20"/>
  <c r="Q38" i="20"/>
  <c r="S38" i="20"/>
  <c r="T38" i="20"/>
  <c r="C39" i="20"/>
  <c r="D39" i="20"/>
  <c r="E39" i="20"/>
  <c r="F39" i="20"/>
  <c r="G39" i="20"/>
  <c r="H39" i="20"/>
  <c r="I39" i="20"/>
  <c r="J39" i="20"/>
  <c r="R39" i="20" s="1"/>
  <c r="K39" i="20"/>
  <c r="L39" i="20"/>
  <c r="M39" i="20"/>
  <c r="N39" i="20"/>
  <c r="O39" i="20"/>
  <c r="P39" i="20"/>
  <c r="Q39" i="20"/>
  <c r="S39" i="20"/>
  <c r="T39" i="20"/>
  <c r="C3" i="22"/>
  <c r="D3" i="22"/>
  <c r="E3" i="22"/>
  <c r="F3" i="22"/>
  <c r="G3" i="22"/>
  <c r="H3" i="22"/>
  <c r="I3" i="22"/>
  <c r="J3" i="22"/>
  <c r="K3" i="22"/>
  <c r="L3" i="22"/>
  <c r="M3" i="22"/>
  <c r="N3" i="22"/>
  <c r="O3" i="22"/>
  <c r="P3" i="22"/>
  <c r="Q3" i="22"/>
  <c r="R3" i="22"/>
  <c r="S3" i="22"/>
  <c r="T3" i="22"/>
  <c r="C4" i="22"/>
  <c r="D4" i="22"/>
  <c r="R4" i="22" s="1"/>
  <c r="E4" i="22"/>
  <c r="F4" i="22"/>
  <c r="G4" i="22"/>
  <c r="H4" i="22"/>
  <c r="I4" i="22"/>
  <c r="J4" i="22"/>
  <c r="K4" i="22"/>
  <c r="L4" i="22"/>
  <c r="M4" i="22"/>
  <c r="N4" i="22"/>
  <c r="O4" i="22"/>
  <c r="P4" i="22"/>
  <c r="Q4" i="22"/>
  <c r="S4" i="22"/>
  <c r="T4" i="22"/>
  <c r="C5" i="22"/>
  <c r="D5" i="22"/>
  <c r="E5" i="22"/>
  <c r="F5" i="22"/>
  <c r="G5" i="22"/>
  <c r="H5" i="22"/>
  <c r="I5" i="22"/>
  <c r="J5" i="22"/>
  <c r="K5" i="22"/>
  <c r="L5" i="22"/>
  <c r="M5" i="22"/>
  <c r="N5" i="22"/>
  <c r="R5" i="22" s="1"/>
  <c r="O5" i="22"/>
  <c r="P5" i="22"/>
  <c r="Q5" i="22"/>
  <c r="S5" i="22"/>
  <c r="T5" i="22"/>
  <c r="C6" i="22"/>
  <c r="R6" i="22" s="1"/>
  <c r="D6" i="22"/>
  <c r="E6" i="22"/>
  <c r="F6" i="22"/>
  <c r="G6" i="22"/>
  <c r="H6" i="22"/>
  <c r="I6" i="22"/>
  <c r="J6" i="22"/>
  <c r="K6" i="22"/>
  <c r="L6" i="22"/>
  <c r="M6" i="22"/>
  <c r="N6" i="22"/>
  <c r="O6" i="22"/>
  <c r="P6" i="22"/>
  <c r="Q6" i="22"/>
  <c r="S6" i="22"/>
  <c r="T6" i="22"/>
  <c r="C7" i="22"/>
  <c r="D7" i="22"/>
  <c r="E7" i="22"/>
  <c r="F7" i="22"/>
  <c r="G7" i="22"/>
  <c r="H7" i="22"/>
  <c r="I7" i="22"/>
  <c r="J7" i="22"/>
  <c r="K7" i="22"/>
  <c r="L7" i="22"/>
  <c r="M7" i="22"/>
  <c r="N7" i="22"/>
  <c r="R7" i="22" s="1"/>
  <c r="O7" i="22"/>
  <c r="P7" i="22"/>
  <c r="Q7" i="22"/>
  <c r="S7" i="22"/>
  <c r="T7" i="22"/>
  <c r="C8" i="22"/>
  <c r="R8" i="22" s="1"/>
  <c r="D8" i="22"/>
  <c r="E8" i="22"/>
  <c r="F8" i="22"/>
  <c r="G8" i="22"/>
  <c r="H8" i="22"/>
  <c r="I8" i="22"/>
  <c r="J8" i="22"/>
  <c r="K8" i="22"/>
  <c r="L8" i="22"/>
  <c r="M8" i="22"/>
  <c r="N8" i="22"/>
  <c r="O8" i="22"/>
  <c r="P8" i="22"/>
  <c r="Q8" i="22"/>
  <c r="S8" i="22"/>
  <c r="T8" i="22"/>
  <c r="C9" i="22"/>
  <c r="D9" i="22"/>
  <c r="E9" i="22"/>
  <c r="F9" i="22"/>
  <c r="G9" i="22"/>
  <c r="H9" i="22"/>
  <c r="I9" i="22"/>
  <c r="J9" i="22"/>
  <c r="K9" i="22"/>
  <c r="L9" i="22"/>
  <c r="M9" i="22"/>
  <c r="N9" i="22"/>
  <c r="R9" i="22" s="1"/>
  <c r="O9" i="22"/>
  <c r="P9" i="22"/>
  <c r="Q9" i="22"/>
  <c r="S9" i="22"/>
  <c r="T9" i="22"/>
  <c r="C10" i="22"/>
  <c r="R10" i="22" s="1"/>
  <c r="D10" i="22"/>
  <c r="E10" i="22"/>
  <c r="F10" i="22"/>
  <c r="G10" i="22"/>
  <c r="H10" i="22"/>
  <c r="I10" i="22"/>
  <c r="J10" i="22"/>
  <c r="K10" i="22"/>
  <c r="L10" i="22"/>
  <c r="M10" i="22"/>
  <c r="N10" i="22"/>
  <c r="O10" i="22"/>
  <c r="P10" i="22"/>
  <c r="Q10" i="22"/>
  <c r="S10" i="22"/>
  <c r="T10" i="22"/>
  <c r="C11" i="22"/>
  <c r="D11" i="22"/>
  <c r="E11" i="22"/>
  <c r="F11" i="22"/>
  <c r="G11" i="22"/>
  <c r="H11" i="22"/>
  <c r="I11" i="22"/>
  <c r="J11" i="22"/>
  <c r="K11" i="22"/>
  <c r="L11" i="22"/>
  <c r="M11" i="22"/>
  <c r="N11" i="22"/>
  <c r="R11" i="22" s="1"/>
  <c r="O11" i="22"/>
  <c r="P11" i="22"/>
  <c r="Q11" i="22"/>
  <c r="S11" i="22"/>
  <c r="T11" i="22"/>
  <c r="C12" i="22"/>
  <c r="R12" i="22" s="1"/>
  <c r="D12" i="22"/>
  <c r="E12" i="22"/>
  <c r="F12" i="22"/>
  <c r="G12" i="22"/>
  <c r="H12" i="22"/>
  <c r="I12" i="22"/>
  <c r="J12" i="22"/>
  <c r="K12" i="22"/>
  <c r="L12" i="22"/>
  <c r="M12" i="22"/>
  <c r="N12" i="22"/>
  <c r="O12" i="22"/>
  <c r="P12" i="22"/>
  <c r="Q12" i="22"/>
  <c r="S12" i="22"/>
  <c r="T12" i="22"/>
  <c r="C13" i="22"/>
  <c r="D13" i="22"/>
  <c r="E13" i="22"/>
  <c r="F13" i="22"/>
  <c r="G13" i="22"/>
  <c r="H13" i="22"/>
  <c r="I13" i="22"/>
  <c r="J13" i="22"/>
  <c r="K13" i="22"/>
  <c r="L13" i="22"/>
  <c r="M13" i="22"/>
  <c r="N13" i="22"/>
  <c r="R13" i="22" s="1"/>
  <c r="O13" i="22"/>
  <c r="P13" i="22"/>
  <c r="Q13" i="22"/>
  <c r="S13" i="22"/>
  <c r="T13" i="22"/>
  <c r="C14" i="22"/>
  <c r="R14" i="22" s="1"/>
  <c r="D14" i="22"/>
  <c r="E14" i="22"/>
  <c r="F14" i="22"/>
  <c r="G14" i="22"/>
  <c r="H14" i="22"/>
  <c r="I14" i="22"/>
  <c r="J14" i="22"/>
  <c r="K14" i="22"/>
  <c r="L14" i="22"/>
  <c r="M14" i="22"/>
  <c r="N14" i="22"/>
  <c r="O14" i="22"/>
  <c r="P14" i="22"/>
  <c r="Q14" i="22"/>
  <c r="S14" i="22"/>
  <c r="T14" i="22"/>
  <c r="C15" i="22"/>
  <c r="D15" i="22"/>
  <c r="E15" i="22"/>
  <c r="F15" i="22"/>
  <c r="G15" i="22"/>
  <c r="H15" i="22"/>
  <c r="I15" i="22"/>
  <c r="J15" i="22"/>
  <c r="K15" i="22"/>
  <c r="L15" i="22"/>
  <c r="M15" i="22"/>
  <c r="N15" i="22"/>
  <c r="R15" i="22" s="1"/>
  <c r="O15" i="22"/>
  <c r="P15" i="22"/>
  <c r="Q15" i="22"/>
  <c r="S15" i="22"/>
  <c r="T15" i="22"/>
  <c r="C16" i="22"/>
  <c r="R16" i="22" s="1"/>
  <c r="D16" i="22"/>
  <c r="E16" i="22"/>
  <c r="F16" i="22"/>
  <c r="G16" i="22"/>
  <c r="H16" i="22"/>
  <c r="I16" i="22"/>
  <c r="J16" i="22"/>
  <c r="K16" i="22"/>
  <c r="L16" i="22"/>
  <c r="M16" i="22"/>
  <c r="N16" i="22"/>
  <c r="O16" i="22"/>
  <c r="P16" i="22"/>
  <c r="Q16" i="22"/>
  <c r="S16" i="22"/>
  <c r="T16" i="22"/>
  <c r="C17" i="22"/>
  <c r="D17" i="22"/>
  <c r="E17" i="22"/>
  <c r="F17" i="22"/>
  <c r="G17" i="22"/>
  <c r="H17" i="22"/>
  <c r="I17" i="22"/>
  <c r="J17" i="22"/>
  <c r="K17" i="22"/>
  <c r="L17" i="22"/>
  <c r="M17" i="22"/>
  <c r="N17" i="22"/>
  <c r="R17" i="22" s="1"/>
  <c r="O17" i="22"/>
  <c r="P17" i="22"/>
  <c r="Q17" i="22"/>
  <c r="S17" i="22"/>
  <c r="T17" i="22"/>
  <c r="C18" i="22"/>
  <c r="R18" i="22" s="1"/>
  <c r="D18" i="22"/>
  <c r="E18" i="22"/>
  <c r="F18" i="22"/>
  <c r="G18" i="22"/>
  <c r="H18" i="22"/>
  <c r="I18" i="22"/>
  <c r="J18" i="22"/>
  <c r="K18" i="22"/>
  <c r="L18" i="22"/>
  <c r="M18" i="22"/>
  <c r="N18" i="22"/>
  <c r="O18" i="22"/>
  <c r="P18" i="22"/>
  <c r="Q18" i="22"/>
  <c r="S18" i="22"/>
  <c r="T18" i="22"/>
  <c r="C19" i="22"/>
  <c r="D19" i="22"/>
  <c r="E19" i="22"/>
  <c r="F19" i="22"/>
  <c r="G19" i="22"/>
  <c r="H19" i="22"/>
  <c r="I19" i="22"/>
  <c r="J19" i="22"/>
  <c r="R19" i="22" s="1"/>
  <c r="K19" i="22"/>
  <c r="L19" i="22"/>
  <c r="M19" i="22"/>
  <c r="N19" i="22"/>
  <c r="O19" i="22"/>
  <c r="P19" i="22"/>
  <c r="Q19" i="22"/>
  <c r="S19" i="22"/>
  <c r="T19" i="22"/>
  <c r="C20" i="22"/>
  <c r="R20" i="22" s="1"/>
  <c r="D20" i="22"/>
  <c r="E20" i="22"/>
  <c r="F20" i="22"/>
  <c r="G20" i="22"/>
  <c r="H20" i="22"/>
  <c r="I20" i="22"/>
  <c r="J20" i="22"/>
  <c r="K20" i="22"/>
  <c r="L20" i="22"/>
  <c r="M20" i="22"/>
  <c r="N20" i="22"/>
  <c r="O20" i="22"/>
  <c r="P20" i="22"/>
  <c r="Q20" i="22"/>
  <c r="S20" i="22"/>
  <c r="T20" i="22"/>
  <c r="C21" i="22"/>
  <c r="D21" i="22"/>
  <c r="E21" i="22"/>
  <c r="F21" i="22"/>
  <c r="G21" i="22"/>
  <c r="H21" i="22"/>
  <c r="I21" i="22"/>
  <c r="J21" i="22"/>
  <c r="R21" i="22" s="1"/>
  <c r="K21" i="22"/>
  <c r="L21" i="22"/>
  <c r="M21" i="22"/>
  <c r="N21" i="22"/>
  <c r="O21" i="22"/>
  <c r="P21" i="22"/>
  <c r="Q21" i="22"/>
  <c r="S21" i="22"/>
  <c r="T21" i="22"/>
  <c r="C22" i="22"/>
  <c r="R22" i="22" s="1"/>
  <c r="D22" i="22"/>
  <c r="E22" i="22"/>
  <c r="F22" i="22"/>
  <c r="G22" i="22"/>
  <c r="H22" i="22"/>
  <c r="I22" i="22"/>
  <c r="J22" i="22"/>
  <c r="K22" i="22"/>
  <c r="L22" i="22"/>
  <c r="M22" i="22"/>
  <c r="N22" i="22"/>
  <c r="O22" i="22"/>
  <c r="P22" i="22"/>
  <c r="Q22" i="22"/>
  <c r="S22" i="22"/>
  <c r="T22" i="22"/>
  <c r="C23" i="22"/>
  <c r="D23" i="22"/>
  <c r="E23" i="22"/>
  <c r="F23" i="22"/>
  <c r="G23" i="22"/>
  <c r="H23" i="22"/>
  <c r="I23" i="22"/>
  <c r="J23" i="22"/>
  <c r="R23" i="22" s="1"/>
  <c r="K23" i="22"/>
  <c r="L23" i="22"/>
  <c r="M23" i="22"/>
  <c r="N23" i="22"/>
  <c r="O23" i="22"/>
  <c r="P23" i="22"/>
  <c r="Q23" i="22"/>
  <c r="S23" i="22"/>
  <c r="T23" i="22"/>
  <c r="C24" i="22"/>
  <c r="R24" i="22" s="1"/>
  <c r="D24" i="22"/>
  <c r="E24" i="22"/>
  <c r="F24" i="22"/>
  <c r="G24" i="22"/>
  <c r="H24" i="22"/>
  <c r="I24" i="22"/>
  <c r="J24" i="22"/>
  <c r="K24" i="22"/>
  <c r="L24" i="22"/>
  <c r="M24" i="22"/>
  <c r="N24" i="22"/>
  <c r="O24" i="22"/>
  <c r="P24" i="22"/>
  <c r="Q24" i="22"/>
  <c r="S24" i="22"/>
  <c r="T24" i="22"/>
  <c r="C25" i="22"/>
  <c r="D25" i="22"/>
  <c r="E25" i="22"/>
  <c r="F25" i="22"/>
  <c r="G25" i="22"/>
  <c r="H25" i="22"/>
  <c r="I25" i="22"/>
  <c r="J25" i="22"/>
  <c r="R25" i="22" s="1"/>
  <c r="K25" i="22"/>
  <c r="L25" i="22"/>
  <c r="M25" i="22"/>
  <c r="N25" i="22"/>
  <c r="O25" i="22"/>
  <c r="P25" i="22"/>
  <c r="Q25" i="22"/>
  <c r="S25" i="22"/>
  <c r="T25" i="22"/>
  <c r="C26" i="22"/>
  <c r="R26" i="22" s="1"/>
  <c r="D26" i="22"/>
  <c r="E26" i="22"/>
  <c r="F26" i="22"/>
  <c r="G26" i="22"/>
  <c r="H26" i="22"/>
  <c r="I26" i="22"/>
  <c r="J26" i="22"/>
  <c r="K26" i="22"/>
  <c r="L26" i="22"/>
  <c r="M26" i="22"/>
  <c r="N26" i="22"/>
  <c r="O26" i="22"/>
  <c r="P26" i="22"/>
  <c r="Q26" i="22"/>
  <c r="S26" i="22"/>
  <c r="T26" i="22"/>
  <c r="C27" i="22"/>
  <c r="D27" i="22"/>
  <c r="E27" i="22"/>
  <c r="F27" i="22"/>
  <c r="G27" i="22"/>
  <c r="H27" i="22"/>
  <c r="I27" i="22"/>
  <c r="J27" i="22"/>
  <c r="R27" i="22" s="1"/>
  <c r="K27" i="22"/>
  <c r="L27" i="22"/>
  <c r="M27" i="22"/>
  <c r="N27" i="22"/>
  <c r="O27" i="22"/>
  <c r="P27" i="22"/>
  <c r="Q27" i="22"/>
  <c r="S27" i="22"/>
  <c r="T27" i="22"/>
  <c r="C28" i="22"/>
  <c r="R28" i="22" s="1"/>
  <c r="D28" i="22"/>
  <c r="E28" i="22"/>
  <c r="F28" i="22"/>
  <c r="G28" i="22"/>
  <c r="H28" i="22"/>
  <c r="I28" i="22"/>
  <c r="J28" i="22"/>
  <c r="K28" i="22"/>
  <c r="L28" i="22"/>
  <c r="M28" i="22"/>
  <c r="N28" i="22"/>
  <c r="O28" i="22"/>
  <c r="P28" i="22"/>
  <c r="Q28" i="22"/>
  <c r="S28" i="22"/>
  <c r="T28" i="22"/>
  <c r="C29" i="22"/>
  <c r="D29" i="22"/>
  <c r="E29" i="22"/>
  <c r="F29" i="22"/>
  <c r="G29" i="22"/>
  <c r="H29" i="22"/>
  <c r="I29" i="22"/>
  <c r="J29" i="22"/>
  <c r="R29" i="22" s="1"/>
  <c r="K29" i="22"/>
  <c r="L29" i="22"/>
  <c r="M29" i="22"/>
  <c r="N29" i="22"/>
  <c r="O29" i="22"/>
  <c r="P29" i="22"/>
  <c r="Q29" i="22"/>
  <c r="S29" i="22"/>
  <c r="T29" i="22"/>
  <c r="C30" i="22"/>
  <c r="R30" i="22" s="1"/>
  <c r="D30" i="22"/>
  <c r="E30" i="22"/>
  <c r="F30" i="22"/>
  <c r="G30" i="22"/>
  <c r="H30" i="22"/>
  <c r="I30" i="22"/>
  <c r="J30" i="22"/>
  <c r="K30" i="22"/>
  <c r="L30" i="22"/>
  <c r="M30" i="22"/>
  <c r="N30" i="22"/>
  <c r="O30" i="22"/>
  <c r="P30" i="22"/>
  <c r="Q30" i="22"/>
  <c r="S30" i="22"/>
  <c r="T30" i="22"/>
  <c r="C31" i="22"/>
  <c r="D31" i="22"/>
  <c r="E31" i="22"/>
  <c r="F31" i="22"/>
  <c r="G31" i="22"/>
  <c r="H31" i="22"/>
  <c r="I31" i="22"/>
  <c r="J31" i="22"/>
  <c r="R31" i="22" s="1"/>
  <c r="K31" i="22"/>
  <c r="L31" i="22"/>
  <c r="M31" i="22"/>
  <c r="N31" i="22"/>
  <c r="O31" i="22"/>
  <c r="P31" i="22"/>
  <c r="Q31" i="22"/>
  <c r="S31" i="22"/>
  <c r="T31" i="22"/>
  <c r="C32" i="22"/>
  <c r="R32" i="22" s="1"/>
  <c r="D32" i="22"/>
  <c r="E32" i="22"/>
  <c r="F32" i="22"/>
  <c r="G32" i="22"/>
  <c r="H32" i="22"/>
  <c r="I32" i="22"/>
  <c r="J32" i="22"/>
  <c r="K32" i="22"/>
  <c r="L32" i="22"/>
  <c r="M32" i="22"/>
  <c r="N32" i="22"/>
  <c r="O32" i="22"/>
  <c r="P32" i="22"/>
  <c r="Q32" i="22"/>
  <c r="S32" i="22"/>
  <c r="T32" i="22"/>
  <c r="C33" i="22"/>
  <c r="D33" i="22"/>
  <c r="E33" i="22"/>
  <c r="F33" i="22"/>
  <c r="G33" i="22"/>
  <c r="H33" i="22"/>
  <c r="I33" i="22"/>
  <c r="J33" i="22"/>
  <c r="R33" i="22" s="1"/>
  <c r="K33" i="22"/>
  <c r="L33" i="22"/>
  <c r="M33" i="22"/>
  <c r="N33" i="22"/>
  <c r="O33" i="22"/>
  <c r="P33" i="22"/>
  <c r="Q33" i="22"/>
  <c r="S33" i="22"/>
  <c r="T33" i="22"/>
  <c r="C34" i="22"/>
  <c r="R34" i="22" s="1"/>
  <c r="D34" i="22"/>
  <c r="E34" i="22"/>
  <c r="F34" i="22"/>
  <c r="G34" i="22"/>
  <c r="H34" i="22"/>
  <c r="I34" i="22"/>
  <c r="J34" i="22"/>
  <c r="K34" i="22"/>
  <c r="L34" i="22"/>
  <c r="M34" i="22"/>
  <c r="N34" i="22"/>
  <c r="O34" i="22"/>
  <c r="P34" i="22"/>
  <c r="Q34" i="22"/>
  <c r="S34" i="22"/>
  <c r="T34" i="22"/>
  <c r="C35" i="22"/>
  <c r="D35" i="22"/>
  <c r="E35" i="22"/>
  <c r="F35" i="22"/>
  <c r="G35" i="22"/>
  <c r="H35" i="22"/>
  <c r="I35" i="22"/>
  <c r="J35" i="22"/>
  <c r="R35" i="22" s="1"/>
  <c r="K35" i="22"/>
  <c r="L35" i="22"/>
  <c r="M35" i="22"/>
  <c r="N35" i="22"/>
  <c r="O35" i="22"/>
  <c r="P35" i="22"/>
  <c r="Q35" i="22"/>
  <c r="S35" i="22"/>
  <c r="T35" i="22"/>
  <c r="C36" i="22"/>
  <c r="R36" i="22" s="1"/>
  <c r="D36" i="22"/>
  <c r="E36" i="22"/>
  <c r="F36" i="22"/>
  <c r="G36" i="22"/>
  <c r="H36" i="22"/>
  <c r="I36" i="22"/>
  <c r="J36" i="22"/>
  <c r="K36" i="22"/>
  <c r="L36" i="22"/>
  <c r="M36" i="22"/>
  <c r="N36" i="22"/>
  <c r="O36" i="22"/>
  <c r="P36" i="22"/>
  <c r="Q36" i="22"/>
  <c r="S36" i="22"/>
  <c r="T36" i="22"/>
  <c r="C37" i="22"/>
  <c r="D37" i="22"/>
  <c r="E37" i="22"/>
  <c r="F37" i="22"/>
  <c r="G37" i="22"/>
  <c r="H37" i="22"/>
  <c r="I37" i="22"/>
  <c r="J37" i="22"/>
  <c r="R37" i="22" s="1"/>
  <c r="K37" i="22"/>
  <c r="L37" i="22"/>
  <c r="M37" i="22"/>
  <c r="N37" i="22"/>
  <c r="O37" i="22"/>
  <c r="P37" i="22"/>
  <c r="Q37" i="22"/>
  <c r="S37" i="22"/>
  <c r="T37" i="22"/>
  <c r="C38" i="22"/>
  <c r="R38" i="22" s="1"/>
  <c r="D38" i="22"/>
  <c r="E38" i="22"/>
  <c r="F38" i="22"/>
  <c r="G38" i="22"/>
  <c r="H38" i="22"/>
  <c r="I38" i="22"/>
  <c r="J38" i="22"/>
  <c r="K38" i="22"/>
  <c r="L38" i="22"/>
  <c r="M38" i="22"/>
  <c r="N38" i="22"/>
  <c r="O38" i="22"/>
  <c r="P38" i="22"/>
  <c r="Q38" i="22"/>
  <c r="S38" i="22"/>
  <c r="T38" i="22"/>
  <c r="C39" i="22"/>
  <c r="D39" i="22"/>
  <c r="E39" i="22"/>
  <c r="F39" i="22"/>
  <c r="G39" i="22"/>
  <c r="H39" i="22"/>
  <c r="I39" i="22"/>
  <c r="J39" i="22"/>
  <c r="R39" i="22" s="1"/>
  <c r="K39" i="22"/>
  <c r="L39" i="22"/>
  <c r="M39" i="22"/>
  <c r="N39" i="22"/>
  <c r="O39" i="22"/>
  <c r="P39" i="22"/>
  <c r="Q39" i="22"/>
  <c r="S39" i="22"/>
  <c r="T39" i="22"/>
  <c r="Z3" i="4"/>
  <c r="Z4" i="4"/>
  <c r="Z5" i="4"/>
  <c r="Z6" i="4"/>
  <c r="Z7" i="4"/>
  <c r="Z8" i="4"/>
  <c r="Z9" i="4"/>
  <c r="Z10" i="4"/>
  <c r="Z11" i="4"/>
  <c r="Z12" i="4"/>
  <c r="Z13" i="4"/>
  <c r="Z14" i="4"/>
  <c r="Z15" i="4"/>
  <c r="Z16" i="4"/>
  <c r="Z17" i="4"/>
  <c r="Z18" i="4"/>
  <c r="Z19" i="4"/>
  <c r="Z20" i="4"/>
  <c r="Z21" i="4"/>
  <c r="Z22" i="4"/>
  <c r="Z23" i="4"/>
  <c r="Z24" i="4"/>
  <c r="Z25" i="4"/>
  <c r="Z26" i="4"/>
  <c r="Z27" i="4"/>
  <c r="Z28" i="4"/>
  <c r="Z29" i="4"/>
  <c r="Z30" i="4"/>
  <c r="Z31" i="4"/>
  <c r="Z32" i="4"/>
  <c r="Z33" i="4"/>
  <c r="Z34" i="4"/>
  <c r="Z35" i="4"/>
  <c r="Z36" i="4"/>
  <c r="Z37" i="4"/>
  <c r="Z38" i="4"/>
  <c r="Z39" i="4"/>
  <c r="Z40" i="4"/>
  <c r="Z41" i="4"/>
  <c r="Z42" i="4"/>
  <c r="Z43" i="4"/>
  <c r="Z44" i="4"/>
  <c r="Z45" i="4"/>
  <c r="Z46" i="4"/>
  <c r="Z47" i="4"/>
  <c r="Z48" i="4"/>
  <c r="Z49" i="4"/>
  <c r="Z50" i="4"/>
  <c r="Z51" i="4"/>
  <c r="Z52" i="4"/>
  <c r="Z53" i="4"/>
  <c r="Z54" i="4"/>
  <c r="Z55" i="4"/>
  <c r="Z56" i="4"/>
  <c r="Z57" i="4"/>
  <c r="Z58" i="4"/>
  <c r="Z59" i="4"/>
  <c r="Z60" i="4"/>
  <c r="Z61" i="4"/>
  <c r="Z62" i="4"/>
  <c r="Z63" i="4"/>
  <c r="Z64" i="4"/>
  <c r="Z65" i="4"/>
  <c r="Z66" i="4"/>
  <c r="Z67" i="4"/>
  <c r="Z68" i="4"/>
  <c r="Z69" i="4"/>
  <c r="Z70" i="4"/>
  <c r="Z71" i="4"/>
  <c r="Z72" i="4"/>
  <c r="Z73" i="4"/>
  <c r="Z74" i="4"/>
  <c r="Z75" i="4"/>
  <c r="Z76" i="4"/>
  <c r="Z77" i="4"/>
  <c r="Z78" i="4"/>
  <c r="Z79" i="4"/>
  <c r="Z80" i="4"/>
  <c r="Z81" i="4"/>
  <c r="Z82" i="4"/>
  <c r="Z83" i="4"/>
  <c r="Z84" i="4"/>
  <c r="Z85" i="4"/>
  <c r="Z86" i="4"/>
  <c r="Z87" i="4"/>
  <c r="Z88" i="4"/>
  <c r="Z89" i="4"/>
  <c r="Z90" i="4"/>
  <c r="Z91" i="4"/>
  <c r="Z92" i="4"/>
  <c r="Z93" i="4"/>
  <c r="Z94" i="4"/>
  <c r="Z95" i="4"/>
  <c r="Z96" i="4"/>
  <c r="Z97" i="4"/>
  <c r="Z98" i="4"/>
  <c r="Z99" i="4"/>
  <c r="Z100" i="4"/>
  <c r="Z101" i="4"/>
  <c r="Z102" i="4"/>
  <c r="Z103" i="4"/>
  <c r="Z104" i="4"/>
  <c r="Z105" i="4"/>
  <c r="Z106" i="4"/>
  <c r="Z107" i="4"/>
  <c r="Z108" i="4"/>
  <c r="Z109" i="4"/>
  <c r="Z110" i="4"/>
  <c r="Z111" i="4"/>
  <c r="Z112" i="4"/>
  <c r="Z113" i="4"/>
  <c r="Z114" i="4"/>
  <c r="Z115" i="4"/>
  <c r="Z116" i="4"/>
  <c r="Z117" i="4"/>
  <c r="Z118" i="4"/>
  <c r="Z119" i="4"/>
  <c r="Z120" i="4"/>
  <c r="Z121" i="4"/>
  <c r="Z122" i="4"/>
  <c r="Z123" i="4"/>
  <c r="Z124" i="4"/>
  <c r="Z125" i="4"/>
  <c r="Z126" i="4"/>
  <c r="Z127" i="4"/>
  <c r="Z128" i="4"/>
  <c r="Z129" i="4"/>
  <c r="Z130" i="4"/>
  <c r="Z131" i="4"/>
  <c r="Z132" i="4"/>
  <c r="Z133" i="4"/>
  <c r="Z134" i="4"/>
  <c r="Z135" i="4"/>
  <c r="Z136" i="4"/>
  <c r="Z137" i="4"/>
  <c r="Z138" i="4"/>
  <c r="Z139" i="4"/>
  <c r="Z140" i="4"/>
  <c r="Z141" i="4"/>
  <c r="Z142" i="4"/>
  <c r="Z143" i="4"/>
  <c r="Z144" i="4"/>
  <c r="Z145" i="4"/>
  <c r="Z146" i="4"/>
  <c r="Z147" i="4"/>
  <c r="Z148" i="4"/>
  <c r="Z149" i="4"/>
  <c r="Z150" i="4"/>
  <c r="Z151" i="4"/>
  <c r="Z152" i="4"/>
  <c r="Z153" i="4"/>
  <c r="Z154" i="4"/>
  <c r="Z155" i="4"/>
  <c r="Z156" i="4"/>
  <c r="Z157" i="4"/>
  <c r="Z158" i="4"/>
  <c r="Z159" i="4"/>
  <c r="Z160" i="4"/>
  <c r="Z161" i="4"/>
  <c r="Z162" i="4"/>
  <c r="Z163" i="4"/>
  <c r="Z164" i="4"/>
  <c r="Z165" i="4"/>
  <c r="Z166" i="4"/>
  <c r="Z167" i="4"/>
  <c r="Z168" i="4"/>
  <c r="Z169" i="4"/>
  <c r="Z170" i="4"/>
  <c r="Z171" i="4"/>
  <c r="Z172" i="4"/>
  <c r="Z173" i="4"/>
  <c r="Z174" i="4"/>
  <c r="Z175" i="4"/>
  <c r="Z176" i="4"/>
  <c r="Z177" i="4"/>
  <c r="Z178" i="4"/>
  <c r="Z179" i="4"/>
  <c r="Z180" i="4"/>
  <c r="Z181" i="4"/>
  <c r="Z182" i="4"/>
  <c r="Z183" i="4"/>
  <c r="Z184" i="4"/>
  <c r="Z185" i="4"/>
  <c r="Z186" i="4"/>
  <c r="Z187" i="4"/>
  <c r="Z188" i="4"/>
  <c r="Z189" i="4"/>
  <c r="Z190" i="4"/>
  <c r="Z191" i="4"/>
  <c r="Z192" i="4"/>
  <c r="Z193" i="4"/>
  <c r="Z194" i="4"/>
  <c r="Z195" i="4"/>
  <c r="Z196" i="4"/>
  <c r="Z197" i="4"/>
  <c r="Z198" i="4"/>
  <c r="Z199" i="4"/>
  <c r="Z200" i="4"/>
  <c r="Z201" i="4"/>
  <c r="Z202" i="4"/>
  <c r="Z203" i="4"/>
  <c r="Z204" i="4"/>
  <c r="Z205" i="4"/>
  <c r="Z206" i="4"/>
  <c r="Z207" i="4"/>
  <c r="Z208" i="4"/>
  <c r="Z209" i="4"/>
  <c r="Z210" i="4"/>
  <c r="Z211" i="4"/>
  <c r="Z212" i="4"/>
  <c r="Z213" i="4"/>
  <c r="Z214" i="4"/>
  <c r="Z215" i="4"/>
  <c r="Z216" i="4"/>
  <c r="Z217" i="4"/>
  <c r="Z218" i="4"/>
  <c r="Z219" i="4"/>
  <c r="Z220" i="4"/>
  <c r="Z221" i="4"/>
  <c r="Z222" i="4"/>
  <c r="Z223" i="4"/>
  <c r="Z224" i="4"/>
  <c r="Z225" i="4"/>
  <c r="Z226" i="4"/>
  <c r="Z227" i="4"/>
  <c r="Z228" i="4"/>
  <c r="Z229" i="4"/>
  <c r="Z230" i="4"/>
  <c r="Z231" i="4"/>
  <c r="Z232" i="4"/>
  <c r="Z233" i="4"/>
  <c r="Z234" i="4"/>
  <c r="Z235" i="4"/>
  <c r="Z236" i="4"/>
  <c r="Z237" i="4"/>
  <c r="Z238" i="4"/>
  <c r="Z239" i="4"/>
  <c r="Z240" i="4"/>
  <c r="Z241" i="4"/>
  <c r="Z242" i="4"/>
  <c r="Z243" i="4"/>
  <c r="Z244" i="4"/>
  <c r="Z245" i="4"/>
  <c r="Z246" i="4"/>
  <c r="Z247" i="4"/>
  <c r="Z248" i="4"/>
  <c r="Z249" i="4"/>
  <c r="Z250" i="4"/>
  <c r="Z251" i="4"/>
  <c r="Z252" i="4"/>
  <c r="Z253" i="4"/>
  <c r="Z254" i="4"/>
  <c r="Z255" i="4"/>
  <c r="Z256" i="4"/>
  <c r="Z257" i="4"/>
  <c r="Z258" i="4"/>
  <c r="Z259" i="4"/>
  <c r="Z260" i="4"/>
  <c r="Z261" i="4"/>
  <c r="Z262" i="4"/>
  <c r="Z263" i="4"/>
  <c r="Z264" i="4"/>
  <c r="Z265" i="4"/>
  <c r="Z266" i="4"/>
  <c r="Z267" i="4"/>
  <c r="Z268" i="4"/>
  <c r="Z269" i="4"/>
  <c r="Z270" i="4"/>
  <c r="Z271" i="4"/>
  <c r="Z272" i="4"/>
  <c r="Z273" i="4"/>
  <c r="Z274" i="4"/>
  <c r="Z275" i="4"/>
  <c r="Z276" i="4"/>
  <c r="Z277" i="4"/>
  <c r="Z278" i="4"/>
  <c r="Z279" i="4"/>
  <c r="Z280" i="4"/>
  <c r="Z281" i="4"/>
  <c r="Z282" i="4"/>
  <c r="Z283" i="4"/>
  <c r="Z284" i="4"/>
  <c r="Z285" i="4"/>
  <c r="Z286" i="4"/>
  <c r="Z287" i="4"/>
  <c r="Z288" i="4"/>
  <c r="Z289" i="4"/>
  <c r="Z290" i="4"/>
  <c r="Z291" i="4"/>
  <c r="Z292" i="4"/>
  <c r="Z293" i="4"/>
  <c r="Z294" i="4"/>
  <c r="Z295" i="4"/>
  <c r="Z296" i="4"/>
  <c r="Z297" i="4"/>
  <c r="Z298" i="4"/>
  <c r="Z299" i="4"/>
  <c r="Z300" i="4"/>
  <c r="Z301" i="4"/>
  <c r="Z302" i="4"/>
  <c r="Z303" i="4"/>
  <c r="Z304" i="4"/>
  <c r="Z305" i="4"/>
  <c r="Z306" i="4"/>
  <c r="Z307" i="4"/>
  <c r="Z308" i="4"/>
  <c r="Z309" i="4"/>
  <c r="Z310" i="4"/>
  <c r="Z311" i="4"/>
  <c r="Z312" i="4"/>
  <c r="Z313" i="4"/>
  <c r="Z314" i="4"/>
  <c r="Z315" i="4"/>
  <c r="Z316" i="4"/>
  <c r="Z317" i="4"/>
  <c r="Z318" i="4"/>
  <c r="Z319" i="4"/>
  <c r="Z320" i="4"/>
  <c r="Z321" i="4"/>
  <c r="Z322" i="4"/>
  <c r="Z323" i="4"/>
  <c r="Z324" i="4"/>
  <c r="Z325" i="4"/>
  <c r="Z326" i="4"/>
  <c r="Z327" i="4"/>
  <c r="Z328" i="4"/>
  <c r="Z329" i="4"/>
  <c r="Z330" i="4"/>
  <c r="Z331" i="4"/>
  <c r="Z332" i="4"/>
  <c r="Z333" i="4"/>
  <c r="Z334" i="4"/>
  <c r="Z335" i="4"/>
  <c r="Z336" i="4"/>
  <c r="Z337" i="4"/>
  <c r="Z338" i="4"/>
  <c r="Z339" i="4"/>
  <c r="Z340" i="4"/>
  <c r="Z341" i="4"/>
  <c r="Z342" i="4"/>
  <c r="Z343" i="4"/>
  <c r="Z344" i="4"/>
  <c r="Z345" i="4"/>
  <c r="Z346" i="4"/>
  <c r="Z347" i="4"/>
  <c r="Z348" i="4"/>
  <c r="Z349" i="4"/>
  <c r="Z350" i="4"/>
  <c r="Z351" i="4"/>
  <c r="Z352" i="4"/>
  <c r="Z353" i="4"/>
  <c r="Z354" i="4"/>
  <c r="Z355" i="4"/>
  <c r="Z356" i="4"/>
  <c r="Z357" i="4"/>
  <c r="Z358" i="4"/>
  <c r="Z359" i="4"/>
  <c r="Z360" i="4"/>
  <c r="Z361" i="4"/>
  <c r="Z362" i="4"/>
  <c r="Z363" i="4"/>
  <c r="Z364" i="4"/>
  <c r="Z365" i="4"/>
  <c r="Z366" i="4"/>
  <c r="Z367" i="4"/>
  <c r="Z368" i="4"/>
  <c r="Z369" i="4"/>
  <c r="Z370" i="4"/>
  <c r="Z371" i="4"/>
  <c r="Z372" i="4"/>
  <c r="Z373" i="4"/>
  <c r="Z374" i="4"/>
  <c r="Z375" i="4"/>
  <c r="Z376" i="4"/>
  <c r="Z377" i="4"/>
  <c r="Z378" i="4"/>
  <c r="Z379" i="4"/>
  <c r="Z380" i="4"/>
  <c r="Z381" i="4"/>
  <c r="Z382" i="4"/>
  <c r="Z383" i="4"/>
  <c r="Z384" i="4"/>
  <c r="Z385" i="4"/>
  <c r="Z386" i="4"/>
  <c r="Z387" i="4"/>
  <c r="Z388" i="4"/>
  <c r="Z389" i="4"/>
  <c r="Z390" i="4"/>
  <c r="Z391" i="4"/>
  <c r="Z392" i="4"/>
  <c r="Z393" i="4"/>
  <c r="Z394" i="4"/>
  <c r="Z395" i="4"/>
  <c r="Z396" i="4"/>
  <c r="Z397" i="4"/>
  <c r="Z398" i="4"/>
  <c r="Z399" i="4"/>
  <c r="Z400" i="4"/>
  <c r="Z401" i="4"/>
  <c r="Z402" i="4"/>
  <c r="Z403" i="4"/>
  <c r="Z404" i="4"/>
  <c r="Z405" i="4"/>
  <c r="Z406" i="4"/>
  <c r="Z407" i="4"/>
  <c r="Z408" i="4"/>
  <c r="Z409" i="4"/>
  <c r="Z410" i="4"/>
  <c r="Z411" i="4"/>
  <c r="Z412" i="4"/>
  <c r="Z413" i="4"/>
  <c r="Z2" i="4"/>
  <c r="B413" i="4"/>
  <c r="G413" i="4"/>
  <c r="I413" i="4" s="1"/>
  <c r="N413" i="4"/>
  <c r="O413" i="4"/>
  <c r="P413" i="4"/>
  <c r="Q413" i="4"/>
  <c r="R413" i="4"/>
  <c r="T413" i="4"/>
  <c r="W413" i="4"/>
  <c r="X413" i="4"/>
  <c r="S413" i="4" l="1"/>
  <c r="J413" i="4"/>
  <c r="K413" i="4" s="1"/>
  <c r="U413" i="4" s="1"/>
  <c r="X412" i="4"/>
  <c r="W412" i="4"/>
  <c r="T412" i="4"/>
  <c r="R412" i="4"/>
  <c r="Q412" i="4"/>
  <c r="N412" i="4"/>
  <c r="G412" i="4"/>
  <c r="I412" i="4" s="1"/>
  <c r="X411" i="4"/>
  <c r="W411" i="4"/>
  <c r="T411" i="4"/>
  <c r="R411" i="4"/>
  <c r="Q411" i="4"/>
  <c r="M411" i="4"/>
  <c r="O411" i="4" s="1"/>
  <c r="G411" i="4"/>
  <c r="I411" i="4" s="1"/>
  <c r="X410" i="4"/>
  <c r="W410" i="4"/>
  <c r="T410" i="4"/>
  <c r="R410" i="4"/>
  <c r="Q410" i="4"/>
  <c r="M410" i="4"/>
  <c r="P410" i="4" s="1"/>
  <c r="G410" i="4"/>
  <c r="I410" i="4" s="1"/>
  <c r="X409" i="4"/>
  <c r="W409" i="4"/>
  <c r="T409" i="4"/>
  <c r="R409" i="4"/>
  <c r="Q409" i="4"/>
  <c r="N409" i="4"/>
  <c r="G409" i="4"/>
  <c r="I409" i="4" s="1"/>
  <c r="X408" i="4"/>
  <c r="W408" i="4"/>
  <c r="T408" i="4"/>
  <c r="R408" i="4"/>
  <c r="Q408" i="4"/>
  <c r="O408" i="4"/>
  <c r="G408" i="4"/>
  <c r="I408" i="4" s="1"/>
  <c r="X407" i="4"/>
  <c r="W407" i="4"/>
  <c r="T407" i="4"/>
  <c r="R407" i="4"/>
  <c r="Q407" i="4"/>
  <c r="N407" i="4"/>
  <c r="G407" i="4"/>
  <c r="I407" i="4" s="1"/>
  <c r="X406" i="4"/>
  <c r="W406" i="4"/>
  <c r="T406" i="4"/>
  <c r="R406" i="4"/>
  <c r="Q406" i="4"/>
  <c r="O406" i="4"/>
  <c r="G406" i="4"/>
  <c r="I406" i="4" s="1"/>
  <c r="X405" i="4"/>
  <c r="W405" i="4"/>
  <c r="T405" i="4"/>
  <c r="R405" i="4"/>
  <c r="Q405" i="4"/>
  <c r="P405" i="4"/>
  <c r="G405" i="4"/>
  <c r="I405" i="4" s="1"/>
  <c r="X404" i="4"/>
  <c r="W404" i="4"/>
  <c r="T404" i="4"/>
  <c r="R404" i="4"/>
  <c r="Q404" i="4"/>
  <c r="O404" i="4"/>
  <c r="G404" i="4"/>
  <c r="I404" i="4" s="1"/>
  <c r="X403" i="4"/>
  <c r="W403" i="4"/>
  <c r="T403" i="4"/>
  <c r="R403" i="4"/>
  <c r="Q403" i="4"/>
  <c r="M403" i="4"/>
  <c r="P403" i="4" s="1"/>
  <c r="G403" i="4"/>
  <c r="I403" i="4" s="1"/>
  <c r="X402" i="4"/>
  <c r="W402" i="4"/>
  <c r="T402" i="4"/>
  <c r="R402" i="4"/>
  <c r="Q402" i="4"/>
  <c r="O402" i="4"/>
  <c r="G402" i="4"/>
  <c r="I402" i="4" s="1"/>
  <c r="X401" i="4"/>
  <c r="W401" i="4"/>
  <c r="T401" i="4"/>
  <c r="R401" i="4"/>
  <c r="Q401" i="4"/>
  <c r="M401" i="4"/>
  <c r="N401" i="4" s="1"/>
  <c r="G401" i="4"/>
  <c r="I401" i="4" s="1"/>
  <c r="X400" i="4"/>
  <c r="W400" i="4"/>
  <c r="T400" i="4"/>
  <c r="R400" i="4"/>
  <c r="Q400" i="4"/>
  <c r="M400" i="4"/>
  <c r="P400" i="4" s="1"/>
  <c r="G400" i="4"/>
  <c r="I400" i="4" s="1"/>
  <c r="X399" i="4"/>
  <c r="W399" i="4"/>
  <c r="T399" i="4"/>
  <c r="R399" i="4"/>
  <c r="Q399" i="4"/>
  <c r="M399" i="4"/>
  <c r="O399" i="4" s="1"/>
  <c r="G399" i="4"/>
  <c r="I399" i="4" s="1"/>
  <c r="X398" i="4"/>
  <c r="W398" i="4"/>
  <c r="T398" i="4"/>
  <c r="R398" i="4"/>
  <c r="Q398" i="4"/>
  <c r="M398" i="4"/>
  <c r="N398" i="4" s="1"/>
  <c r="G398" i="4"/>
  <c r="I398" i="4" s="1"/>
  <c r="X397" i="4"/>
  <c r="W397" i="4"/>
  <c r="T397" i="4"/>
  <c r="R397" i="4"/>
  <c r="Q397" i="4"/>
  <c r="N397" i="4"/>
  <c r="G397" i="4"/>
  <c r="I397" i="4" s="1"/>
  <c r="X396" i="4"/>
  <c r="W396" i="4"/>
  <c r="T396" i="4"/>
  <c r="R396" i="4"/>
  <c r="Q396" i="4"/>
  <c r="P396" i="4"/>
  <c r="G396" i="4"/>
  <c r="I396" i="4" s="1"/>
  <c r="X395" i="4"/>
  <c r="W395" i="4"/>
  <c r="T395" i="4"/>
  <c r="R395" i="4"/>
  <c r="Q395" i="4"/>
  <c r="O395" i="4"/>
  <c r="G395" i="4"/>
  <c r="I395" i="4" s="1"/>
  <c r="X394" i="4"/>
  <c r="W394" i="4"/>
  <c r="T394" i="4"/>
  <c r="R394" i="4"/>
  <c r="Q394" i="4"/>
  <c r="X393" i="4"/>
  <c r="W393" i="4"/>
  <c r="T393" i="4"/>
  <c r="R393" i="4"/>
  <c r="Q393" i="4"/>
  <c r="N394" i="4"/>
  <c r="M393" i="4"/>
  <c r="O393" i="4" s="1"/>
  <c r="G394" i="4"/>
  <c r="I394" i="4" s="1"/>
  <c r="G393" i="4"/>
  <c r="I393" i="4" s="1"/>
  <c r="B394" i="4"/>
  <c r="J394" i="4" s="1"/>
  <c r="B395" i="4"/>
  <c r="J395" i="4" s="1"/>
  <c r="B396" i="4"/>
  <c r="J396" i="4" s="1"/>
  <c r="B397" i="4"/>
  <c r="J397" i="4" s="1"/>
  <c r="B398" i="4"/>
  <c r="B399" i="4"/>
  <c r="J399" i="4" s="1"/>
  <c r="B400" i="4"/>
  <c r="J400" i="4" s="1"/>
  <c r="B401" i="4"/>
  <c r="J401" i="4" s="1"/>
  <c r="B402" i="4"/>
  <c r="J402" i="4" s="1"/>
  <c r="B403" i="4"/>
  <c r="J403" i="4" s="1"/>
  <c r="B404" i="4"/>
  <c r="J404" i="4" s="1"/>
  <c r="K404" i="4" s="1"/>
  <c r="B405" i="4"/>
  <c r="J405" i="4" s="1"/>
  <c r="K405" i="4" s="1"/>
  <c r="B406" i="4"/>
  <c r="J406" i="4" s="1"/>
  <c r="K406" i="4" s="1"/>
  <c r="B407" i="4"/>
  <c r="J407" i="4" s="1"/>
  <c r="B408" i="4"/>
  <c r="J408" i="4" s="1"/>
  <c r="K408" i="4" s="1"/>
  <c r="B409" i="4"/>
  <c r="J409" i="4" s="1"/>
  <c r="B410" i="4"/>
  <c r="J410" i="4" s="1"/>
  <c r="B411" i="4"/>
  <c r="J411" i="4" s="1"/>
  <c r="K411" i="4" s="1"/>
  <c r="B412" i="4"/>
  <c r="J412" i="4" s="1"/>
  <c r="B393" i="4"/>
  <c r="J393" i="4" s="1"/>
  <c r="S411" i="4" l="1"/>
  <c r="S412" i="4"/>
  <c r="S410" i="4"/>
  <c r="S409" i="4"/>
  <c r="S394" i="4"/>
  <c r="S404" i="4"/>
  <c r="S408" i="4"/>
  <c r="S407" i="4"/>
  <c r="S406" i="4"/>
  <c r="S405" i="4"/>
  <c r="K403" i="4"/>
  <c r="K399" i="4"/>
  <c r="P399" i="4"/>
  <c r="S402" i="4"/>
  <c r="P404" i="4"/>
  <c r="P395" i="4"/>
  <c r="N408" i="4"/>
  <c r="S398" i="4"/>
  <c r="S397" i="4"/>
  <c r="S401" i="4"/>
  <c r="K402" i="4"/>
  <c r="S396" i="4"/>
  <c r="J398" i="4"/>
  <c r="S399" i="4"/>
  <c r="S400" i="4"/>
  <c r="O407" i="4"/>
  <c r="O397" i="4"/>
  <c r="S403" i="4"/>
  <c r="K396" i="4"/>
  <c r="S395" i="4"/>
  <c r="P408" i="4"/>
  <c r="N411" i="4"/>
  <c r="S393" i="4"/>
  <c r="P411" i="4"/>
  <c r="K395" i="4"/>
  <c r="K394" i="4"/>
  <c r="K393" i="4"/>
  <c r="K410" i="4"/>
  <c r="K400" i="4"/>
  <c r="K397" i="4"/>
  <c r="U411" i="4"/>
  <c r="P397" i="4"/>
  <c r="N400" i="4"/>
  <c r="O401" i="4"/>
  <c r="N402" i="4"/>
  <c r="N406" i="4"/>
  <c r="O409" i="4"/>
  <c r="N410" i="4"/>
  <c r="P402" i="4"/>
  <c r="P406" i="4"/>
  <c r="O400" i="4"/>
  <c r="O410" i="4"/>
  <c r="O394" i="4"/>
  <c r="O398" i="4"/>
  <c r="N399" i="4"/>
  <c r="U399" i="4" s="1"/>
  <c r="N404" i="4"/>
  <c r="O412" i="4"/>
  <c r="K398" i="4"/>
  <c r="P398" i="4"/>
  <c r="K401" i="4"/>
  <c r="P401" i="4"/>
  <c r="N403" i="4"/>
  <c r="N405" i="4"/>
  <c r="K407" i="4"/>
  <c r="P407" i="4"/>
  <c r="K409" i="4"/>
  <c r="P409" i="4"/>
  <c r="K412" i="4"/>
  <c r="P412" i="4"/>
  <c r="O396" i="4"/>
  <c r="O403" i="4"/>
  <c r="O405" i="4"/>
  <c r="N396" i="4"/>
  <c r="N395" i="4"/>
  <c r="P394" i="4"/>
  <c r="P393" i="4"/>
  <c r="N393" i="4"/>
  <c r="X392" i="4"/>
  <c r="W392" i="4"/>
  <c r="T392" i="4"/>
  <c r="R392" i="4"/>
  <c r="Q392" i="4"/>
  <c r="M392" i="4"/>
  <c r="N392" i="4" s="1"/>
  <c r="G392" i="4"/>
  <c r="I392" i="4" s="1"/>
  <c r="B392" i="4"/>
  <c r="J392" i="4" s="1"/>
  <c r="X391" i="4"/>
  <c r="W391" i="4"/>
  <c r="T391" i="4"/>
  <c r="R391" i="4"/>
  <c r="Q391" i="4"/>
  <c r="M391" i="4"/>
  <c r="N391" i="4" s="1"/>
  <c r="G391" i="4"/>
  <c r="I391" i="4" s="1"/>
  <c r="B391" i="4"/>
  <c r="J391" i="4" s="1"/>
  <c r="X390" i="4"/>
  <c r="W390" i="4"/>
  <c r="T390" i="4"/>
  <c r="R390" i="4"/>
  <c r="Q390" i="4"/>
  <c r="M390" i="4"/>
  <c r="O390" i="4" s="1"/>
  <c r="G390" i="4"/>
  <c r="I390" i="4" s="1"/>
  <c r="B390" i="4"/>
  <c r="J390" i="4" s="1"/>
  <c r="X389" i="4"/>
  <c r="W389" i="4"/>
  <c r="T389" i="4"/>
  <c r="R389" i="4"/>
  <c r="Q389" i="4"/>
  <c r="M389" i="4"/>
  <c r="P389" i="4" s="1"/>
  <c r="G389" i="4"/>
  <c r="I389" i="4" s="1"/>
  <c r="B389" i="4"/>
  <c r="J389" i="4" s="1"/>
  <c r="X388" i="4"/>
  <c r="W388" i="4"/>
  <c r="T388" i="4"/>
  <c r="R388" i="4"/>
  <c r="Q388" i="4"/>
  <c r="O388" i="4"/>
  <c r="G388" i="4"/>
  <c r="I388" i="4" s="1"/>
  <c r="B388" i="4"/>
  <c r="J388" i="4" s="1"/>
  <c r="X387" i="4"/>
  <c r="W387" i="4"/>
  <c r="T387" i="4"/>
  <c r="R387" i="4"/>
  <c r="Q387" i="4"/>
  <c r="N387" i="4"/>
  <c r="G387" i="4"/>
  <c r="I387" i="4" s="1"/>
  <c r="B387" i="4"/>
  <c r="J387" i="4" s="1"/>
  <c r="X386" i="4"/>
  <c r="W386" i="4"/>
  <c r="T386" i="4"/>
  <c r="R386" i="4"/>
  <c r="Q386" i="4"/>
  <c r="M386" i="4"/>
  <c r="O386" i="4" s="1"/>
  <c r="G386" i="4"/>
  <c r="I386" i="4" s="1"/>
  <c r="B386" i="4"/>
  <c r="J386" i="4" s="1"/>
  <c r="X385" i="4"/>
  <c r="W385" i="4"/>
  <c r="T385" i="4"/>
  <c r="R385" i="4"/>
  <c r="Q385" i="4"/>
  <c r="M385" i="4"/>
  <c r="P385" i="4" s="1"/>
  <c r="G385" i="4"/>
  <c r="I385" i="4" s="1"/>
  <c r="B385" i="4"/>
  <c r="J385" i="4" s="1"/>
  <c r="X384" i="4"/>
  <c r="W384" i="4"/>
  <c r="T384" i="4"/>
  <c r="R384" i="4"/>
  <c r="Q384" i="4"/>
  <c r="M384" i="4"/>
  <c r="O384" i="4" s="1"/>
  <c r="G384" i="4"/>
  <c r="I384" i="4" s="1"/>
  <c r="B384" i="4"/>
  <c r="J384" i="4" s="1"/>
  <c r="X383" i="4"/>
  <c r="W383" i="4"/>
  <c r="T383" i="4"/>
  <c r="R383" i="4"/>
  <c r="Q383" i="4"/>
  <c r="M383" i="4"/>
  <c r="N383" i="4" s="1"/>
  <c r="G383" i="4"/>
  <c r="I383" i="4" s="1"/>
  <c r="B383" i="4"/>
  <c r="J383" i="4" s="1"/>
  <c r="X382" i="4"/>
  <c r="W382" i="4"/>
  <c r="T382" i="4"/>
  <c r="R382" i="4"/>
  <c r="Q382" i="4"/>
  <c r="N382" i="4"/>
  <c r="G382" i="4"/>
  <c r="I382" i="4" s="1"/>
  <c r="B382" i="4"/>
  <c r="J382" i="4" s="1"/>
  <c r="X381" i="4"/>
  <c r="W381" i="4"/>
  <c r="T381" i="4"/>
  <c r="R381" i="4"/>
  <c r="Q381" i="4"/>
  <c r="O381" i="4"/>
  <c r="G381" i="4"/>
  <c r="I381" i="4" s="1"/>
  <c r="B381" i="4"/>
  <c r="J381" i="4" s="1"/>
  <c r="X380" i="4"/>
  <c r="W380" i="4"/>
  <c r="T380" i="4"/>
  <c r="R380" i="4"/>
  <c r="Q380" i="4"/>
  <c r="M380" i="4"/>
  <c r="P380" i="4" s="1"/>
  <c r="G380" i="4"/>
  <c r="I380" i="4" s="1"/>
  <c r="B380" i="4"/>
  <c r="J380" i="4" s="1"/>
  <c r="X379" i="4"/>
  <c r="W379" i="4"/>
  <c r="T379" i="4"/>
  <c r="R379" i="4"/>
  <c r="Q379" i="4"/>
  <c r="O379" i="4"/>
  <c r="N379" i="4"/>
  <c r="P379" i="4"/>
  <c r="G379" i="4"/>
  <c r="I379" i="4" s="1"/>
  <c r="B379" i="4"/>
  <c r="J379" i="4" s="1"/>
  <c r="X378" i="4"/>
  <c r="W378" i="4"/>
  <c r="T378" i="4"/>
  <c r="R378" i="4"/>
  <c r="Q378" i="4"/>
  <c r="O378" i="4"/>
  <c r="G378" i="4"/>
  <c r="I378" i="4" s="1"/>
  <c r="B378" i="4"/>
  <c r="J378" i="4" s="1"/>
  <c r="X377" i="4"/>
  <c r="W377" i="4"/>
  <c r="T377" i="4"/>
  <c r="R377" i="4"/>
  <c r="Q377" i="4"/>
  <c r="O377" i="4"/>
  <c r="N377" i="4"/>
  <c r="P377" i="4"/>
  <c r="G377" i="4"/>
  <c r="I377" i="4" s="1"/>
  <c r="B377" i="4"/>
  <c r="J377" i="4" s="1"/>
  <c r="X376" i="4"/>
  <c r="W376" i="4"/>
  <c r="T376" i="4"/>
  <c r="R376" i="4"/>
  <c r="Q376" i="4"/>
  <c r="M376" i="4"/>
  <c r="P376" i="4" s="1"/>
  <c r="G376" i="4"/>
  <c r="I376" i="4" s="1"/>
  <c r="B376" i="4"/>
  <c r="J376" i="4" s="1"/>
  <c r="X375" i="4"/>
  <c r="W375" i="4"/>
  <c r="T375" i="4"/>
  <c r="R375" i="4"/>
  <c r="Q375" i="4"/>
  <c r="N375" i="4"/>
  <c r="G375" i="4"/>
  <c r="I375" i="4" s="1"/>
  <c r="B375" i="4"/>
  <c r="J375" i="4" s="1"/>
  <c r="X374" i="4"/>
  <c r="W374" i="4"/>
  <c r="T374" i="4"/>
  <c r="R374" i="4"/>
  <c r="Q374" i="4"/>
  <c r="O374" i="4"/>
  <c r="G374" i="4"/>
  <c r="I374" i="4" s="1"/>
  <c r="B374" i="4"/>
  <c r="J374" i="4" s="1"/>
  <c r="X373" i="4"/>
  <c r="W373" i="4"/>
  <c r="T373" i="4"/>
  <c r="R373" i="4"/>
  <c r="Q373" i="4"/>
  <c r="P373" i="4"/>
  <c r="G373" i="4"/>
  <c r="I373" i="4" s="1"/>
  <c r="B373" i="4"/>
  <c r="J373" i="4" s="1"/>
  <c r="U404" i="4" l="1"/>
  <c r="U402" i="4"/>
  <c r="U406" i="4"/>
  <c r="U397" i="4"/>
  <c r="U408" i="4"/>
  <c r="U409" i="4"/>
  <c r="U401" i="4"/>
  <c r="U412" i="4"/>
  <c r="U410" i="4"/>
  <c r="U393" i="4"/>
  <c r="U400" i="4"/>
  <c r="U396" i="4"/>
  <c r="U407" i="4"/>
  <c r="U395" i="4"/>
  <c r="U394" i="4"/>
  <c r="U398" i="4"/>
  <c r="U403" i="4"/>
  <c r="U405" i="4"/>
  <c r="O389" i="4"/>
  <c r="O380" i="4"/>
  <c r="N376" i="4"/>
  <c r="S392" i="4"/>
  <c r="S383" i="4"/>
  <c r="S384" i="4"/>
  <c r="S385" i="4"/>
  <c r="S386" i="4"/>
  <c r="S387" i="4"/>
  <c r="S388" i="4"/>
  <c r="S389" i="4"/>
  <c r="S390" i="4"/>
  <c r="S391" i="4"/>
  <c r="S378" i="4"/>
  <c r="S379" i="4"/>
  <c r="S381" i="4"/>
  <c r="S382" i="4"/>
  <c r="P388" i="4"/>
  <c r="S380" i="4"/>
  <c r="O376" i="4"/>
  <c r="S377" i="4"/>
  <c r="N378" i="4"/>
  <c r="S373" i="4"/>
  <c r="S374" i="4"/>
  <c r="S375" i="4"/>
  <c r="S376" i="4"/>
  <c r="N380" i="4"/>
  <c r="N381" i="4"/>
  <c r="P384" i="4"/>
  <c r="N388" i="4"/>
  <c r="N389" i="4"/>
  <c r="N390" i="4"/>
  <c r="K373" i="4"/>
  <c r="N374" i="4"/>
  <c r="N384" i="4"/>
  <c r="N385" i="4"/>
  <c r="N386" i="4"/>
  <c r="O373" i="4"/>
  <c r="O385" i="4"/>
  <c r="P374" i="4"/>
  <c r="O375" i="4"/>
  <c r="P378" i="4"/>
  <c r="P381" i="4"/>
  <c r="O382" i="4"/>
  <c r="O383" i="4"/>
  <c r="P386" i="4"/>
  <c r="O387" i="4"/>
  <c r="P390" i="4"/>
  <c r="O391" i="4"/>
  <c r="O392" i="4"/>
  <c r="N373" i="4"/>
  <c r="P375" i="4"/>
  <c r="P382" i="4"/>
  <c r="P383" i="4"/>
  <c r="P387" i="4"/>
  <c r="P391" i="4"/>
  <c r="P392" i="4"/>
  <c r="K376" i="4"/>
  <c r="K388" i="4"/>
  <c r="K377" i="4"/>
  <c r="K380" i="4"/>
  <c r="K385" i="4"/>
  <c r="K389" i="4"/>
  <c r="K374" i="4"/>
  <c r="K378" i="4"/>
  <c r="K381" i="4"/>
  <c r="K386" i="4"/>
  <c r="K390" i="4"/>
  <c r="K379" i="4"/>
  <c r="K384" i="4"/>
  <c r="K375" i="4"/>
  <c r="K382" i="4"/>
  <c r="K383" i="4"/>
  <c r="K387" i="4"/>
  <c r="K391" i="4"/>
  <c r="K392" i="4"/>
  <c r="U379" i="4" l="1"/>
  <c r="U376" i="4"/>
  <c r="U389" i="4"/>
  <c r="U386" i="4"/>
  <c r="U380" i="4"/>
  <c r="U392" i="4"/>
  <c r="U381" i="4"/>
  <c r="U374" i="4"/>
  <c r="U385" i="4"/>
  <c r="U388" i="4"/>
  <c r="U373" i="4"/>
  <c r="U391" i="4"/>
  <c r="U377" i="4"/>
  <c r="U382" i="4"/>
  <c r="U384" i="4"/>
  <c r="U387" i="4"/>
  <c r="U375" i="4"/>
  <c r="U378" i="4"/>
  <c r="U383" i="4"/>
  <c r="U390" i="4"/>
  <c r="X372" i="4"/>
  <c r="W372" i="4"/>
  <c r="T372" i="4"/>
  <c r="R372" i="4"/>
  <c r="Q372" i="4"/>
  <c r="P372" i="4"/>
  <c r="G372" i="4"/>
  <c r="I372" i="4" s="1"/>
  <c r="B372" i="4"/>
  <c r="J372" i="4" s="1"/>
  <c r="X371" i="4"/>
  <c r="W371" i="4"/>
  <c r="T371" i="4"/>
  <c r="R371" i="4"/>
  <c r="Q371" i="4"/>
  <c r="M371" i="4"/>
  <c r="N371" i="4" s="1"/>
  <c r="G371" i="4"/>
  <c r="I371" i="4" s="1"/>
  <c r="B371" i="4"/>
  <c r="J371" i="4" s="1"/>
  <c r="X370" i="4"/>
  <c r="W370" i="4"/>
  <c r="T370" i="4"/>
  <c r="R370" i="4"/>
  <c r="Q370" i="4"/>
  <c r="O370" i="4"/>
  <c r="G370" i="4"/>
  <c r="I370" i="4" s="1"/>
  <c r="B370" i="4"/>
  <c r="J370" i="4" s="1"/>
  <c r="X369" i="4"/>
  <c r="W369" i="4"/>
  <c r="T369" i="4"/>
  <c r="R369" i="4"/>
  <c r="Q369" i="4"/>
  <c r="P369" i="4"/>
  <c r="G369" i="4"/>
  <c r="I369" i="4" s="1"/>
  <c r="B369" i="4"/>
  <c r="J369" i="4" s="1"/>
  <c r="X368" i="4"/>
  <c r="W368" i="4"/>
  <c r="T368" i="4"/>
  <c r="R368" i="4"/>
  <c r="Q368" i="4"/>
  <c r="N368" i="4"/>
  <c r="G368" i="4"/>
  <c r="I368" i="4" s="1"/>
  <c r="B368" i="4"/>
  <c r="J368" i="4" s="1"/>
  <c r="X367" i="4"/>
  <c r="W367" i="4"/>
  <c r="T367" i="4"/>
  <c r="R367" i="4"/>
  <c r="Q367" i="4"/>
  <c r="M367" i="4"/>
  <c r="P367" i="4" s="1"/>
  <c r="G367" i="4"/>
  <c r="I367" i="4" s="1"/>
  <c r="B367" i="4"/>
  <c r="J367" i="4" s="1"/>
  <c r="X366" i="4"/>
  <c r="W366" i="4"/>
  <c r="T366" i="4"/>
  <c r="R366" i="4"/>
  <c r="Q366" i="4"/>
  <c r="P366" i="4"/>
  <c r="O366" i="4"/>
  <c r="N366" i="4"/>
  <c r="G366" i="4"/>
  <c r="I366" i="4" s="1"/>
  <c r="B366" i="4"/>
  <c r="J366" i="4" s="1"/>
  <c r="X365" i="4"/>
  <c r="W365" i="4"/>
  <c r="T365" i="4"/>
  <c r="R365" i="4"/>
  <c r="Q365" i="4"/>
  <c r="M365" i="4"/>
  <c r="O365" i="4" s="1"/>
  <c r="G365" i="4"/>
  <c r="I365" i="4" s="1"/>
  <c r="B365" i="4"/>
  <c r="J365" i="4" s="1"/>
  <c r="X364" i="4"/>
  <c r="W364" i="4"/>
  <c r="T364" i="4"/>
  <c r="R364" i="4"/>
  <c r="Q364" i="4"/>
  <c r="P364" i="4"/>
  <c r="G364" i="4"/>
  <c r="I364" i="4" s="1"/>
  <c r="B364" i="4"/>
  <c r="J364" i="4" s="1"/>
  <c r="X363" i="4"/>
  <c r="W363" i="4"/>
  <c r="T363" i="4"/>
  <c r="R363" i="4"/>
  <c r="Q363" i="4"/>
  <c r="P363" i="4"/>
  <c r="G363" i="4"/>
  <c r="I363" i="4" s="1"/>
  <c r="B363" i="4"/>
  <c r="J363" i="4" s="1"/>
  <c r="X362" i="4"/>
  <c r="W362" i="4"/>
  <c r="T362" i="4"/>
  <c r="R362" i="4"/>
  <c r="Q362" i="4"/>
  <c r="N362" i="4"/>
  <c r="G362" i="4"/>
  <c r="I362" i="4" s="1"/>
  <c r="B362" i="4"/>
  <c r="J362" i="4" s="1"/>
  <c r="X361" i="4"/>
  <c r="W361" i="4"/>
  <c r="T361" i="4"/>
  <c r="R361" i="4"/>
  <c r="Q361" i="4"/>
  <c r="M361" i="4"/>
  <c r="O361" i="4" s="1"/>
  <c r="G361" i="4"/>
  <c r="I361" i="4" s="1"/>
  <c r="B361" i="4"/>
  <c r="J361" i="4" s="1"/>
  <c r="X360" i="4"/>
  <c r="W360" i="4"/>
  <c r="T360" i="4"/>
  <c r="R360" i="4"/>
  <c r="Q360" i="4"/>
  <c r="P360" i="4"/>
  <c r="G360" i="4"/>
  <c r="I360" i="4" s="1"/>
  <c r="B360" i="4"/>
  <c r="J360" i="4" s="1"/>
  <c r="X359" i="4"/>
  <c r="W359" i="4"/>
  <c r="T359" i="4"/>
  <c r="R359" i="4"/>
  <c r="Q359" i="4"/>
  <c r="O359" i="4"/>
  <c r="N359" i="4"/>
  <c r="G359" i="4"/>
  <c r="I359" i="4" s="1"/>
  <c r="S359" i="4" s="1"/>
  <c r="B359" i="4"/>
  <c r="J359" i="4" s="1"/>
  <c r="X358" i="4"/>
  <c r="W358" i="4"/>
  <c r="T358" i="4"/>
  <c r="R358" i="4"/>
  <c r="Q358" i="4"/>
  <c r="O358" i="4"/>
  <c r="G358" i="4"/>
  <c r="I358" i="4" s="1"/>
  <c r="S358" i="4" s="1"/>
  <c r="B358" i="4"/>
  <c r="J358" i="4" s="1"/>
  <c r="X357" i="4"/>
  <c r="W357" i="4"/>
  <c r="T357" i="4"/>
  <c r="R357" i="4"/>
  <c r="Q357" i="4"/>
  <c r="M357" i="4"/>
  <c r="P357" i="4" s="1"/>
  <c r="G357" i="4"/>
  <c r="I357" i="4" s="1"/>
  <c r="S357" i="4" s="1"/>
  <c r="B357" i="4"/>
  <c r="J357" i="4" s="1"/>
  <c r="X356" i="4"/>
  <c r="W356" i="4"/>
  <c r="T356" i="4"/>
  <c r="R356" i="4"/>
  <c r="Q356" i="4"/>
  <c r="O356" i="4"/>
  <c r="N356" i="4"/>
  <c r="P356" i="4"/>
  <c r="G356" i="4"/>
  <c r="I356" i="4" s="1"/>
  <c r="B356" i="4"/>
  <c r="J356" i="4" s="1"/>
  <c r="X355" i="4"/>
  <c r="W355" i="4"/>
  <c r="T355" i="4"/>
  <c r="R355" i="4"/>
  <c r="Q355" i="4"/>
  <c r="M355" i="4"/>
  <c r="N355" i="4" s="1"/>
  <c r="G355" i="4"/>
  <c r="I355" i="4" s="1"/>
  <c r="B355" i="4"/>
  <c r="J355" i="4" s="1"/>
  <c r="X354" i="4"/>
  <c r="W354" i="4"/>
  <c r="T354" i="4"/>
  <c r="R354" i="4"/>
  <c r="Q354" i="4"/>
  <c r="M354" i="4"/>
  <c r="O354" i="4" s="1"/>
  <c r="G354" i="4"/>
  <c r="I354" i="4" s="1"/>
  <c r="B354" i="4"/>
  <c r="J354" i="4" s="1"/>
  <c r="X353" i="4"/>
  <c r="W353" i="4"/>
  <c r="T353" i="4"/>
  <c r="R353" i="4"/>
  <c r="Q353" i="4"/>
  <c r="P353" i="4"/>
  <c r="G353" i="4"/>
  <c r="I353" i="4" s="1"/>
  <c r="B353" i="4"/>
  <c r="J353" i="4" s="1"/>
  <c r="X352" i="4"/>
  <c r="W352" i="4"/>
  <c r="T352" i="4"/>
  <c r="R352" i="4"/>
  <c r="Q352" i="4"/>
  <c r="M352" i="4"/>
  <c r="P352" i="4" s="1"/>
  <c r="G352" i="4"/>
  <c r="I352" i="4" s="1"/>
  <c r="B352" i="4"/>
  <c r="J352" i="4" s="1"/>
  <c r="X351" i="4"/>
  <c r="W351" i="4"/>
  <c r="T351" i="4"/>
  <c r="R351" i="4"/>
  <c r="Q351" i="4"/>
  <c r="P351" i="4"/>
  <c r="O351" i="4"/>
  <c r="N351" i="4"/>
  <c r="G351" i="4"/>
  <c r="I351" i="4" s="1"/>
  <c r="B351" i="4"/>
  <c r="J351" i="4" s="1"/>
  <c r="X350" i="4"/>
  <c r="W350" i="4"/>
  <c r="T350" i="4"/>
  <c r="R350" i="4"/>
  <c r="Q350" i="4"/>
  <c r="P350" i="4"/>
  <c r="O350" i="4"/>
  <c r="G350" i="4"/>
  <c r="I350" i="4" s="1"/>
  <c r="B350" i="4"/>
  <c r="J350" i="4" s="1"/>
  <c r="X349" i="4"/>
  <c r="W349" i="4"/>
  <c r="T349" i="4"/>
  <c r="R349" i="4"/>
  <c r="Q349" i="4"/>
  <c r="O349" i="4"/>
  <c r="N349" i="4"/>
  <c r="P349" i="4"/>
  <c r="G349" i="4"/>
  <c r="I349" i="4" s="1"/>
  <c r="B349" i="4"/>
  <c r="J349" i="4" s="1"/>
  <c r="X348" i="4"/>
  <c r="W348" i="4"/>
  <c r="T348" i="4"/>
  <c r="R348" i="4"/>
  <c r="Q348" i="4"/>
  <c r="P348" i="4"/>
  <c r="O348" i="4"/>
  <c r="N348" i="4"/>
  <c r="G348" i="4"/>
  <c r="I348" i="4" s="1"/>
  <c r="B348" i="4"/>
  <c r="J348" i="4" s="1"/>
  <c r="X347" i="4"/>
  <c r="W347" i="4"/>
  <c r="T347" i="4"/>
  <c r="R347" i="4"/>
  <c r="Q347" i="4"/>
  <c r="M347" i="4"/>
  <c r="O347" i="4" s="1"/>
  <c r="G347" i="4"/>
  <c r="I347" i="4" s="1"/>
  <c r="B347" i="4"/>
  <c r="J347" i="4" s="1"/>
  <c r="B346" i="4"/>
  <c r="X346" i="4"/>
  <c r="W346" i="4"/>
  <c r="T346" i="4"/>
  <c r="R346" i="4"/>
  <c r="Q346" i="4"/>
  <c r="P346" i="4"/>
  <c r="O346" i="4"/>
  <c r="J346" i="4"/>
  <c r="G346" i="4"/>
  <c r="I346" i="4" s="1"/>
  <c r="S372" i="4" l="1"/>
  <c r="S370" i="4"/>
  <c r="S371" i="4"/>
  <c r="S347" i="4"/>
  <c r="S367" i="4"/>
  <c r="S368" i="4"/>
  <c r="S369" i="4"/>
  <c r="P347" i="4"/>
  <c r="S360" i="4"/>
  <c r="S361" i="4"/>
  <c r="S362" i="4"/>
  <c r="S363" i="4"/>
  <c r="S364" i="4"/>
  <c r="S365" i="4"/>
  <c r="S352" i="4"/>
  <c r="S350" i="4"/>
  <c r="S351" i="4"/>
  <c r="O352" i="4"/>
  <c r="S353" i="4"/>
  <c r="S354" i="4"/>
  <c r="S355" i="4"/>
  <c r="P361" i="4"/>
  <c r="N363" i="4"/>
  <c r="S356" i="4"/>
  <c r="O362" i="4"/>
  <c r="S349" i="4"/>
  <c r="O355" i="4"/>
  <c r="N369" i="4"/>
  <c r="O371" i="4"/>
  <c r="P355" i="4"/>
  <c r="O369" i="4"/>
  <c r="S346" i="4"/>
  <c r="N352" i="4"/>
  <c r="P359" i="4"/>
  <c r="O363" i="4"/>
  <c r="P365" i="4"/>
  <c r="S366" i="4"/>
  <c r="O368" i="4"/>
  <c r="P370" i="4"/>
  <c r="P354" i="4"/>
  <c r="P358" i="4"/>
  <c r="N353" i="4"/>
  <c r="N357" i="4"/>
  <c r="N360" i="4"/>
  <c r="P362" i="4"/>
  <c r="N364" i="4"/>
  <c r="N367" i="4"/>
  <c r="P368" i="4"/>
  <c r="P371" i="4"/>
  <c r="N372" i="4"/>
  <c r="N350" i="4"/>
  <c r="O353" i="4"/>
  <c r="N354" i="4"/>
  <c r="O357" i="4"/>
  <c r="N358" i="4"/>
  <c r="O360" i="4"/>
  <c r="N361" i="4"/>
  <c r="O364" i="4"/>
  <c r="N365" i="4"/>
  <c r="O367" i="4"/>
  <c r="N370" i="4"/>
  <c r="O372" i="4"/>
  <c r="N347" i="4"/>
  <c r="S348" i="4"/>
  <c r="K346" i="4"/>
  <c r="K366" i="4"/>
  <c r="K369" i="4"/>
  <c r="K355" i="4"/>
  <c r="K359" i="4"/>
  <c r="K362" i="4"/>
  <c r="K349" i="4"/>
  <c r="K352" i="4"/>
  <c r="K356" i="4"/>
  <c r="K363" i="4"/>
  <c r="K367" i="4"/>
  <c r="K372" i="4"/>
  <c r="K347" i="4"/>
  <c r="K353" i="4"/>
  <c r="K357" i="4"/>
  <c r="K360" i="4"/>
  <c r="K364" i="4"/>
  <c r="K370" i="4"/>
  <c r="K351" i="4"/>
  <c r="K348" i="4"/>
  <c r="K350" i="4"/>
  <c r="K354" i="4"/>
  <c r="K358" i="4"/>
  <c r="K361" i="4"/>
  <c r="K365" i="4"/>
  <c r="K368" i="4"/>
  <c r="K371" i="4"/>
  <c r="N346" i="4"/>
  <c r="U346" i="4" l="1"/>
  <c r="U368" i="4"/>
  <c r="U354" i="4"/>
  <c r="U361" i="4"/>
  <c r="U348" i="4"/>
  <c r="U352" i="4"/>
  <c r="U355" i="4"/>
  <c r="U371" i="4"/>
  <c r="U358" i="4"/>
  <c r="U351" i="4"/>
  <c r="U357" i="4"/>
  <c r="U367" i="4"/>
  <c r="U349" i="4"/>
  <c r="U369" i="4"/>
  <c r="U366" i="4"/>
  <c r="U353" i="4"/>
  <c r="U365" i="4"/>
  <c r="U350" i="4"/>
  <c r="U347" i="4"/>
  <c r="U356" i="4"/>
  <c r="U359" i="4"/>
  <c r="U364" i="4"/>
  <c r="U372" i="4"/>
  <c r="U370" i="4"/>
  <c r="U363" i="4"/>
  <c r="U362" i="4"/>
  <c r="U360" i="4"/>
  <c r="T323" i="4"/>
  <c r="S323" i="4"/>
  <c r="R323" i="4"/>
  <c r="Q323" i="4"/>
  <c r="P323" i="4"/>
  <c r="O323" i="4"/>
  <c r="N323" i="4"/>
  <c r="N321" i="4" l="1"/>
  <c r="Q321" i="4"/>
  <c r="R321" i="4"/>
  <c r="T321" i="4"/>
  <c r="W321" i="4"/>
  <c r="X321" i="4"/>
  <c r="N322" i="4"/>
  <c r="Q322" i="4"/>
  <c r="R322" i="4"/>
  <c r="T322" i="4"/>
  <c r="W322" i="4"/>
  <c r="X322" i="4"/>
  <c r="W323" i="4"/>
  <c r="X323" i="4"/>
  <c r="M324" i="4"/>
  <c r="N324" i="4" s="1"/>
  <c r="Q324" i="4"/>
  <c r="R324" i="4"/>
  <c r="T324" i="4"/>
  <c r="W324" i="4"/>
  <c r="X324" i="4"/>
  <c r="N325" i="4"/>
  <c r="Q325" i="4"/>
  <c r="R325" i="4"/>
  <c r="T325" i="4"/>
  <c r="W325" i="4"/>
  <c r="X325" i="4"/>
  <c r="O326" i="4"/>
  <c r="Q326" i="4"/>
  <c r="R326" i="4"/>
  <c r="T326" i="4"/>
  <c r="W326" i="4"/>
  <c r="X326" i="4"/>
  <c r="P327" i="4"/>
  <c r="Q327" i="4"/>
  <c r="R327" i="4"/>
  <c r="T327" i="4"/>
  <c r="W327" i="4"/>
  <c r="X327" i="4"/>
  <c r="O328" i="4"/>
  <c r="Q328" i="4"/>
  <c r="R328" i="4"/>
  <c r="T328" i="4"/>
  <c r="W328" i="4"/>
  <c r="X328" i="4"/>
  <c r="M329" i="4"/>
  <c r="N329" i="4" s="1"/>
  <c r="Q329" i="4"/>
  <c r="R329" i="4"/>
  <c r="T329" i="4"/>
  <c r="W329" i="4"/>
  <c r="X329" i="4"/>
  <c r="M330" i="4"/>
  <c r="N330" i="4" s="1"/>
  <c r="Q330" i="4"/>
  <c r="R330" i="4"/>
  <c r="T330" i="4"/>
  <c r="W330" i="4"/>
  <c r="X330" i="4"/>
  <c r="O331" i="4"/>
  <c r="Q331" i="4"/>
  <c r="R331" i="4"/>
  <c r="T331" i="4"/>
  <c r="W331" i="4"/>
  <c r="X331" i="4"/>
  <c r="M332" i="4"/>
  <c r="N332" i="4" s="1"/>
  <c r="Q332" i="4"/>
  <c r="R332" i="4"/>
  <c r="T332" i="4"/>
  <c r="W332" i="4"/>
  <c r="X332" i="4"/>
  <c r="M333" i="4"/>
  <c r="P333" i="4" s="1"/>
  <c r="Q333" i="4"/>
  <c r="R333" i="4"/>
  <c r="T333" i="4"/>
  <c r="W333" i="4"/>
  <c r="X333" i="4"/>
  <c r="P334" i="4"/>
  <c r="Q334" i="4"/>
  <c r="R334" i="4"/>
  <c r="T334" i="4"/>
  <c r="W334" i="4"/>
  <c r="X334" i="4"/>
  <c r="O335" i="4"/>
  <c r="Q335" i="4"/>
  <c r="R335" i="4"/>
  <c r="S335" i="4"/>
  <c r="T335" i="4"/>
  <c r="W335" i="4"/>
  <c r="X335" i="4"/>
  <c r="M336" i="4"/>
  <c r="N336" i="4" s="1"/>
  <c r="Q336" i="4"/>
  <c r="R336" i="4"/>
  <c r="T336" i="4"/>
  <c r="W336" i="4"/>
  <c r="X336" i="4"/>
  <c r="P337" i="4"/>
  <c r="Q337" i="4"/>
  <c r="R337" i="4"/>
  <c r="T337" i="4"/>
  <c r="W337" i="4"/>
  <c r="X337" i="4"/>
  <c r="M338" i="4"/>
  <c r="P338" i="4" s="1"/>
  <c r="Q338" i="4"/>
  <c r="R338" i="4"/>
  <c r="T338" i="4"/>
  <c r="W338" i="4"/>
  <c r="X338" i="4"/>
  <c r="M339" i="4"/>
  <c r="P339" i="4" s="1"/>
  <c r="Q339" i="4"/>
  <c r="R339" i="4"/>
  <c r="T339" i="4"/>
  <c r="W339" i="4"/>
  <c r="X339" i="4"/>
  <c r="N340" i="4"/>
  <c r="Q340" i="4"/>
  <c r="R340" i="4"/>
  <c r="T340" i="4"/>
  <c r="W340" i="4"/>
  <c r="X340" i="4"/>
  <c r="N341" i="4"/>
  <c r="Q341" i="4"/>
  <c r="R341" i="4"/>
  <c r="T341" i="4"/>
  <c r="W341" i="4"/>
  <c r="X341" i="4"/>
  <c r="M342" i="4"/>
  <c r="O342" i="4" s="1"/>
  <c r="Q342" i="4"/>
  <c r="R342" i="4"/>
  <c r="T342" i="4"/>
  <c r="W342" i="4"/>
  <c r="X342" i="4"/>
  <c r="M343" i="4"/>
  <c r="N343" i="4" s="1"/>
  <c r="Q343" i="4"/>
  <c r="R343" i="4"/>
  <c r="T343" i="4"/>
  <c r="W343" i="4"/>
  <c r="X343" i="4"/>
  <c r="M344" i="4"/>
  <c r="N344" i="4" s="1"/>
  <c r="Q344" i="4"/>
  <c r="R344" i="4"/>
  <c r="T344" i="4"/>
  <c r="W344" i="4"/>
  <c r="X344" i="4"/>
  <c r="M345" i="4"/>
  <c r="N345" i="4" s="1"/>
  <c r="Q345" i="4"/>
  <c r="R345" i="4"/>
  <c r="T345" i="4"/>
  <c r="W345" i="4"/>
  <c r="X345" i="4"/>
  <c r="X320" i="4"/>
  <c r="W320" i="4"/>
  <c r="T320" i="4"/>
  <c r="R320" i="4"/>
  <c r="Q320" i="4"/>
  <c r="P320" i="4"/>
  <c r="G321" i="4"/>
  <c r="I321" i="4" s="1"/>
  <c r="G322" i="4"/>
  <c r="I322" i="4" s="1"/>
  <c r="G324" i="4"/>
  <c r="I324" i="4" s="1"/>
  <c r="G325" i="4"/>
  <c r="I325" i="4" s="1"/>
  <c r="G326" i="4"/>
  <c r="I326" i="4" s="1"/>
  <c r="G327" i="4"/>
  <c r="I327" i="4" s="1"/>
  <c r="G328" i="4"/>
  <c r="I328" i="4" s="1"/>
  <c r="G329" i="4"/>
  <c r="I329" i="4" s="1"/>
  <c r="G330" i="4"/>
  <c r="I330" i="4" s="1"/>
  <c r="G331" i="4"/>
  <c r="I331" i="4" s="1"/>
  <c r="G332" i="4"/>
  <c r="I332" i="4" s="1"/>
  <c r="G333" i="4"/>
  <c r="I333" i="4" s="1"/>
  <c r="G334" i="4"/>
  <c r="I334" i="4" s="1"/>
  <c r="G336" i="4"/>
  <c r="I336" i="4" s="1"/>
  <c r="G337" i="4"/>
  <c r="I337" i="4" s="1"/>
  <c r="G338" i="4"/>
  <c r="I338" i="4" s="1"/>
  <c r="G339" i="4"/>
  <c r="I339" i="4" s="1"/>
  <c r="G340" i="4"/>
  <c r="I340" i="4" s="1"/>
  <c r="G341" i="4"/>
  <c r="I341" i="4" s="1"/>
  <c r="G342" i="4"/>
  <c r="I342" i="4" s="1"/>
  <c r="G343" i="4"/>
  <c r="I343" i="4" s="1"/>
  <c r="G344" i="4"/>
  <c r="I344" i="4" s="1"/>
  <c r="G345" i="4"/>
  <c r="I345" i="4" s="1"/>
  <c r="G320" i="4"/>
  <c r="I320" i="4" s="1"/>
  <c r="B345" i="4"/>
  <c r="J345" i="4" s="1"/>
  <c r="B344" i="4"/>
  <c r="J344" i="4" s="1"/>
  <c r="B343" i="4"/>
  <c r="J343" i="4" s="1"/>
  <c r="B342" i="4"/>
  <c r="J342" i="4" s="1"/>
  <c r="B341" i="4"/>
  <c r="J341" i="4" s="1"/>
  <c r="B340" i="4"/>
  <c r="J340" i="4" s="1"/>
  <c r="B339" i="4"/>
  <c r="J339" i="4" s="1"/>
  <c r="B338" i="4"/>
  <c r="J338" i="4" s="1"/>
  <c r="B337" i="4"/>
  <c r="J337" i="4" s="1"/>
  <c r="B336" i="4"/>
  <c r="J336" i="4" s="1"/>
  <c r="B335" i="4"/>
  <c r="J335" i="4" s="1"/>
  <c r="K335" i="4" s="1"/>
  <c r="B334" i="4"/>
  <c r="J334" i="4" s="1"/>
  <c r="B333" i="4"/>
  <c r="J333" i="4" s="1"/>
  <c r="B332" i="4"/>
  <c r="J332" i="4" s="1"/>
  <c r="B331" i="4"/>
  <c r="J331" i="4" s="1"/>
  <c r="B330" i="4"/>
  <c r="J330" i="4" s="1"/>
  <c r="B329" i="4"/>
  <c r="J329" i="4" s="1"/>
  <c r="B328" i="4"/>
  <c r="J328" i="4" s="1"/>
  <c r="B327" i="4"/>
  <c r="J327" i="4" s="1"/>
  <c r="B326" i="4"/>
  <c r="J326" i="4" s="1"/>
  <c r="B325" i="4"/>
  <c r="J325" i="4" s="1"/>
  <c r="B324" i="4"/>
  <c r="J324" i="4" s="1"/>
  <c r="B323" i="4"/>
  <c r="J323" i="4" s="1"/>
  <c r="K323" i="4" s="1"/>
  <c r="B322" i="4"/>
  <c r="J322" i="4" s="1"/>
  <c r="B321" i="4"/>
  <c r="J321" i="4" s="1"/>
  <c r="B320" i="4"/>
  <c r="J320" i="4" s="1"/>
  <c r="S331" i="4" l="1"/>
  <c r="K345" i="4"/>
  <c r="S343" i="4"/>
  <c r="K344" i="4"/>
  <c r="S344" i="4"/>
  <c r="S345" i="4"/>
  <c r="S340" i="4"/>
  <c r="S336" i="4"/>
  <c r="S342" i="4"/>
  <c r="S333" i="4"/>
  <c r="S341" i="4"/>
  <c r="K343" i="4"/>
  <c r="K342" i="4"/>
  <c r="K341" i="4"/>
  <c r="K340" i="4"/>
  <c r="S339" i="4"/>
  <c r="S334" i="4"/>
  <c r="S330" i="4"/>
  <c r="S338" i="4"/>
  <c r="S337" i="4"/>
  <c r="S332" i="4"/>
  <c r="K339" i="4"/>
  <c r="K338" i="4"/>
  <c r="K337" i="4"/>
  <c r="K336" i="4"/>
  <c r="K334" i="4"/>
  <c r="K333" i="4"/>
  <c r="K332" i="4"/>
  <c r="K331" i="4"/>
  <c r="S327" i="4"/>
  <c r="K330" i="4"/>
  <c r="S329" i="4"/>
  <c r="S325" i="4"/>
  <c r="K325" i="4"/>
  <c r="S328" i="4"/>
  <c r="S324" i="4"/>
  <c r="S326" i="4"/>
  <c r="K329" i="4"/>
  <c r="K328" i="4"/>
  <c r="K327" i="4"/>
  <c r="K326" i="4"/>
  <c r="K324" i="4"/>
  <c r="O337" i="4"/>
  <c r="S321" i="4"/>
  <c r="S320" i="4"/>
  <c r="N342" i="4"/>
  <c r="N328" i="4"/>
  <c r="O327" i="4"/>
  <c r="N326" i="4"/>
  <c r="O325" i="4"/>
  <c r="P324" i="4"/>
  <c r="S322" i="4"/>
  <c r="N339" i="4"/>
  <c r="O333" i="4"/>
  <c r="K322" i="4"/>
  <c r="K321" i="4"/>
  <c r="K320" i="4"/>
  <c r="N337" i="4"/>
  <c r="O336" i="4"/>
  <c r="N333" i="4"/>
  <c r="O332" i="4"/>
  <c r="P331" i="4"/>
  <c r="P342" i="4"/>
  <c r="P326" i="4"/>
  <c r="P340" i="4"/>
  <c r="O339" i="4"/>
  <c r="N320" i="4"/>
  <c r="P335" i="4"/>
  <c r="N331" i="4"/>
  <c r="P330" i="4"/>
  <c r="O322" i="4"/>
  <c r="P321" i="4"/>
  <c r="O320" i="4"/>
  <c r="P345" i="4"/>
  <c r="O345" i="4"/>
  <c r="P343" i="4"/>
  <c r="N335" i="4"/>
  <c r="O334" i="4"/>
  <c r="O330" i="4"/>
  <c r="O321" i="4"/>
  <c r="O343" i="4"/>
  <c r="O329" i="4"/>
  <c r="P328" i="4"/>
  <c r="P344" i="4"/>
  <c r="P341" i="4"/>
  <c r="O340" i="4"/>
  <c r="O338" i="4"/>
  <c r="O344" i="4"/>
  <c r="O341" i="4"/>
  <c r="N338" i="4"/>
  <c r="P336" i="4"/>
  <c r="N334" i="4"/>
  <c r="P332" i="4"/>
  <c r="P329" i="4"/>
  <c r="N327" i="4"/>
  <c r="P325" i="4"/>
  <c r="O324" i="4"/>
  <c r="P322" i="4"/>
  <c r="U331" i="4" l="1"/>
  <c r="U322" i="4"/>
  <c r="U337" i="4"/>
  <c r="U339" i="4"/>
  <c r="U338" i="4"/>
  <c r="U324" i="4"/>
  <c r="U333" i="4"/>
  <c r="U336" i="4"/>
  <c r="U329" i="4"/>
  <c r="U328" i="4"/>
  <c r="U327" i="4"/>
  <c r="U326" i="4"/>
  <c r="U343" i="4"/>
  <c r="U342" i="4"/>
  <c r="U321" i="4"/>
  <c r="U325" i="4"/>
  <c r="U332" i="4"/>
  <c r="U340" i="4"/>
  <c r="U334" i="4"/>
  <c r="U345" i="4"/>
  <c r="U330" i="4"/>
  <c r="U320" i="4"/>
  <c r="U344" i="4"/>
  <c r="U341" i="4"/>
  <c r="X319" i="4" l="1"/>
  <c r="W319" i="4"/>
  <c r="T319" i="4"/>
  <c r="R319" i="4"/>
  <c r="Q319" i="4"/>
  <c r="N319" i="4"/>
  <c r="G319" i="4"/>
  <c r="I319" i="4" s="1"/>
  <c r="B319" i="4"/>
  <c r="J319" i="4" s="1"/>
  <c r="X318" i="4"/>
  <c r="W318" i="4"/>
  <c r="T318" i="4"/>
  <c r="R318" i="4"/>
  <c r="Q318" i="4"/>
  <c r="O318" i="4"/>
  <c r="G318" i="4"/>
  <c r="I318" i="4" s="1"/>
  <c r="B318" i="4"/>
  <c r="J318" i="4" s="1"/>
  <c r="X317" i="4"/>
  <c r="W317" i="4"/>
  <c r="T317" i="4"/>
  <c r="R317" i="4"/>
  <c r="Q317" i="4"/>
  <c r="M317" i="4"/>
  <c r="P317" i="4" s="1"/>
  <c r="G317" i="4"/>
  <c r="I317" i="4" s="1"/>
  <c r="B317" i="4"/>
  <c r="J317" i="4" s="1"/>
  <c r="X316" i="4"/>
  <c r="W316" i="4"/>
  <c r="T316" i="4"/>
  <c r="R316" i="4"/>
  <c r="Q316" i="4"/>
  <c r="M316" i="4"/>
  <c r="P316" i="4" s="1"/>
  <c r="G316" i="4"/>
  <c r="I316" i="4" s="1"/>
  <c r="B316" i="4"/>
  <c r="J316" i="4" s="1"/>
  <c r="X315" i="4"/>
  <c r="W315" i="4"/>
  <c r="T315" i="4"/>
  <c r="R315" i="4"/>
  <c r="Q315" i="4"/>
  <c r="P315" i="4"/>
  <c r="G315" i="4"/>
  <c r="I315" i="4" s="1"/>
  <c r="B315" i="4"/>
  <c r="J315" i="4" s="1"/>
  <c r="X314" i="4"/>
  <c r="W314" i="4"/>
  <c r="T314" i="4"/>
  <c r="R314" i="4"/>
  <c r="Q314" i="4"/>
  <c r="M314" i="4"/>
  <c r="N314" i="4" s="1"/>
  <c r="G314" i="4"/>
  <c r="I314" i="4" s="1"/>
  <c r="B314" i="4"/>
  <c r="J314" i="4" s="1"/>
  <c r="X313" i="4"/>
  <c r="W313" i="4"/>
  <c r="T313" i="4"/>
  <c r="R313" i="4"/>
  <c r="Q313" i="4"/>
  <c r="O313" i="4"/>
  <c r="G313" i="4"/>
  <c r="I313" i="4" s="1"/>
  <c r="B313" i="4"/>
  <c r="J313" i="4" s="1"/>
  <c r="X312" i="4"/>
  <c r="W312" i="4"/>
  <c r="T312" i="4"/>
  <c r="R312" i="4"/>
  <c r="Q312" i="4"/>
  <c r="P312" i="4"/>
  <c r="G312" i="4"/>
  <c r="I312" i="4" s="1"/>
  <c r="B312" i="4"/>
  <c r="J312" i="4" s="1"/>
  <c r="X311" i="4"/>
  <c r="W311" i="4"/>
  <c r="T311" i="4"/>
  <c r="R311" i="4"/>
  <c r="Q311" i="4"/>
  <c r="P311" i="4"/>
  <c r="G311" i="4"/>
  <c r="I311" i="4" s="1"/>
  <c r="B311" i="4"/>
  <c r="J311" i="4" s="1"/>
  <c r="X310" i="4"/>
  <c r="W310" i="4"/>
  <c r="T310" i="4"/>
  <c r="R310" i="4"/>
  <c r="Q310" i="4"/>
  <c r="M310" i="4"/>
  <c r="O310" i="4" s="1"/>
  <c r="G310" i="4"/>
  <c r="I310" i="4" s="1"/>
  <c r="B310" i="4"/>
  <c r="J310" i="4" s="1"/>
  <c r="X309" i="4"/>
  <c r="W309" i="4"/>
  <c r="T309" i="4"/>
  <c r="R309" i="4"/>
  <c r="Q309" i="4"/>
  <c r="M309" i="4"/>
  <c r="O309" i="4" s="1"/>
  <c r="G309" i="4"/>
  <c r="I309" i="4" s="1"/>
  <c r="B309" i="4"/>
  <c r="J309" i="4" s="1"/>
  <c r="X308" i="4"/>
  <c r="W308" i="4"/>
  <c r="T308" i="4"/>
  <c r="R308" i="4"/>
  <c r="Q308" i="4"/>
  <c r="M308" i="4"/>
  <c r="P308" i="4" s="1"/>
  <c r="G308" i="4"/>
  <c r="I308" i="4" s="1"/>
  <c r="B308" i="4"/>
  <c r="J308" i="4" s="1"/>
  <c r="X307" i="4"/>
  <c r="W307" i="4"/>
  <c r="T307" i="4"/>
  <c r="R307" i="4"/>
  <c r="Q307" i="4"/>
  <c r="O307" i="4"/>
  <c r="G307" i="4"/>
  <c r="I307" i="4" s="1"/>
  <c r="B307" i="4"/>
  <c r="J307" i="4" s="1"/>
  <c r="X306" i="4"/>
  <c r="W306" i="4"/>
  <c r="T306" i="4"/>
  <c r="R306" i="4"/>
  <c r="Q306" i="4"/>
  <c r="M306" i="4"/>
  <c r="O306" i="4" s="1"/>
  <c r="G306" i="4"/>
  <c r="I306" i="4" s="1"/>
  <c r="B306" i="4"/>
  <c r="J306" i="4" s="1"/>
  <c r="X305" i="4"/>
  <c r="W305" i="4"/>
  <c r="T305" i="4"/>
  <c r="R305" i="4"/>
  <c r="Q305" i="4"/>
  <c r="O305" i="4"/>
  <c r="G305" i="4"/>
  <c r="I305" i="4" s="1"/>
  <c r="B305" i="4"/>
  <c r="J305" i="4" s="1"/>
  <c r="X304" i="4"/>
  <c r="W304" i="4"/>
  <c r="T304" i="4"/>
  <c r="R304" i="4"/>
  <c r="Q304" i="4"/>
  <c r="M304" i="4"/>
  <c r="P304" i="4" s="1"/>
  <c r="G304" i="4"/>
  <c r="I304" i="4" s="1"/>
  <c r="B304" i="4"/>
  <c r="J304" i="4" s="1"/>
  <c r="X303" i="4"/>
  <c r="W303" i="4"/>
  <c r="T303" i="4"/>
  <c r="R303" i="4"/>
  <c r="Q303" i="4"/>
  <c r="M303" i="4"/>
  <c r="O303" i="4" s="1"/>
  <c r="G303" i="4"/>
  <c r="I303" i="4" s="1"/>
  <c r="B303" i="4"/>
  <c r="J303" i="4" s="1"/>
  <c r="X302" i="4"/>
  <c r="W302" i="4"/>
  <c r="T302" i="4"/>
  <c r="R302" i="4"/>
  <c r="Q302" i="4"/>
  <c r="M302" i="4"/>
  <c r="O302" i="4" s="1"/>
  <c r="G302" i="4"/>
  <c r="I302" i="4" s="1"/>
  <c r="B302" i="4"/>
  <c r="J302" i="4" s="1"/>
  <c r="X301" i="4"/>
  <c r="W301" i="4"/>
  <c r="T301" i="4"/>
  <c r="R301" i="4"/>
  <c r="Q301" i="4"/>
  <c r="O301" i="4"/>
  <c r="G301" i="4"/>
  <c r="I301" i="4" s="1"/>
  <c r="B301" i="4"/>
  <c r="J301" i="4" s="1"/>
  <c r="X300" i="4"/>
  <c r="W300" i="4"/>
  <c r="T300" i="4"/>
  <c r="R300" i="4"/>
  <c r="Q300" i="4"/>
  <c r="M300" i="4"/>
  <c r="P300" i="4" s="1"/>
  <c r="G300" i="4"/>
  <c r="I300" i="4" s="1"/>
  <c r="B300" i="4"/>
  <c r="J300" i="4" s="1"/>
  <c r="X299" i="4"/>
  <c r="W299" i="4"/>
  <c r="T299" i="4"/>
  <c r="R299" i="4"/>
  <c r="Q299" i="4"/>
  <c r="O299" i="4"/>
  <c r="G299" i="4"/>
  <c r="I299" i="4" s="1"/>
  <c r="B299" i="4"/>
  <c r="J299" i="4" s="1"/>
  <c r="X298" i="4"/>
  <c r="W298" i="4"/>
  <c r="T298" i="4"/>
  <c r="R298" i="4"/>
  <c r="Q298" i="4"/>
  <c r="O298" i="4"/>
  <c r="G298" i="4"/>
  <c r="I298" i="4" s="1"/>
  <c r="B298" i="4"/>
  <c r="J298" i="4" s="1"/>
  <c r="X297" i="4"/>
  <c r="W297" i="4"/>
  <c r="T297" i="4"/>
  <c r="R297" i="4"/>
  <c r="Q297" i="4"/>
  <c r="P297" i="4"/>
  <c r="G297" i="4"/>
  <c r="I297" i="4" s="1"/>
  <c r="B297" i="4"/>
  <c r="J297" i="4" s="1"/>
  <c r="X296" i="4"/>
  <c r="W296" i="4"/>
  <c r="T296" i="4"/>
  <c r="R296" i="4"/>
  <c r="Q296" i="4"/>
  <c r="M296" i="4"/>
  <c r="O296" i="4" s="1"/>
  <c r="G296" i="4"/>
  <c r="I296" i="4" s="1"/>
  <c r="B296" i="4"/>
  <c r="J296" i="4" s="1"/>
  <c r="X295" i="4"/>
  <c r="W295" i="4"/>
  <c r="T295" i="4"/>
  <c r="R295" i="4"/>
  <c r="Q295" i="4"/>
  <c r="M295" i="4"/>
  <c r="O295" i="4" s="1"/>
  <c r="G295" i="4"/>
  <c r="I295" i="4" s="1"/>
  <c r="B295" i="4"/>
  <c r="J295" i="4" s="1"/>
  <c r="X294" i="4"/>
  <c r="W294" i="4"/>
  <c r="T294" i="4"/>
  <c r="R294" i="4"/>
  <c r="Q294" i="4"/>
  <c r="M294" i="4"/>
  <c r="O294" i="4" s="1"/>
  <c r="G294" i="4"/>
  <c r="I294" i="4" s="1"/>
  <c r="B294" i="4"/>
  <c r="J294" i="4" s="1"/>
  <c r="X293" i="4"/>
  <c r="W293" i="4"/>
  <c r="T293" i="4"/>
  <c r="R293" i="4"/>
  <c r="Q293" i="4"/>
  <c r="P293" i="4"/>
  <c r="G293" i="4"/>
  <c r="I293" i="4" s="1"/>
  <c r="B293" i="4"/>
  <c r="J293" i="4" s="1"/>
  <c r="X292" i="4"/>
  <c r="W292" i="4"/>
  <c r="T292" i="4"/>
  <c r="R292" i="4"/>
  <c r="Q292" i="4"/>
  <c r="M292" i="4"/>
  <c r="O292" i="4" s="1"/>
  <c r="G292" i="4"/>
  <c r="I292" i="4" s="1"/>
  <c r="B292" i="4"/>
  <c r="J292" i="4" s="1"/>
  <c r="S296" i="4" l="1"/>
  <c r="S314" i="4"/>
  <c r="S315" i="4"/>
  <c r="S316" i="4"/>
  <c r="S317" i="4"/>
  <c r="S318" i="4"/>
  <c r="S319" i="4"/>
  <c r="S297" i="4"/>
  <c r="S298" i="4"/>
  <c r="S299" i="4"/>
  <c r="S300" i="4"/>
  <c r="S301" i="4"/>
  <c r="S302" i="4"/>
  <c r="S303" i="4"/>
  <c r="S304" i="4"/>
  <c r="S305" i="4"/>
  <c r="S306" i="4"/>
  <c r="S307" i="4"/>
  <c r="S308" i="4"/>
  <c r="S309" i="4"/>
  <c r="S310" i="4"/>
  <c r="S311" i="4"/>
  <c r="S312" i="4"/>
  <c r="S313" i="4"/>
  <c r="S292" i="4"/>
  <c r="S293" i="4"/>
  <c r="S294" i="4"/>
  <c r="S295" i="4"/>
  <c r="O297" i="4"/>
  <c r="P303" i="4"/>
  <c r="N301" i="4"/>
  <c r="P307" i="4"/>
  <c r="N292" i="4"/>
  <c r="O304" i="4"/>
  <c r="N307" i="4"/>
  <c r="N294" i="4"/>
  <c r="N299" i="4"/>
  <c r="P299" i="4"/>
  <c r="N309" i="4"/>
  <c r="O314" i="4"/>
  <c r="P292" i="4"/>
  <c r="O293" i="4"/>
  <c r="P294" i="4"/>
  <c r="N296" i="4"/>
  <c r="N305" i="4"/>
  <c r="O308" i="4"/>
  <c r="P309" i="4"/>
  <c r="N311" i="4"/>
  <c r="N313" i="4"/>
  <c r="P296" i="4"/>
  <c r="P305" i="4"/>
  <c r="P313" i="4"/>
  <c r="N317" i="4"/>
  <c r="O300" i="4"/>
  <c r="P301" i="4"/>
  <c r="N303" i="4"/>
  <c r="N315" i="4"/>
  <c r="N293" i="4"/>
  <c r="P295" i="4"/>
  <c r="N297" i="4"/>
  <c r="P298" i="4"/>
  <c r="N300" i="4"/>
  <c r="P302" i="4"/>
  <c r="N304" i="4"/>
  <c r="P306" i="4"/>
  <c r="N308" i="4"/>
  <c r="P310" i="4"/>
  <c r="O311" i="4"/>
  <c r="N312" i="4"/>
  <c r="P314" i="4"/>
  <c r="O315" i="4"/>
  <c r="N316" i="4"/>
  <c r="P318" i="4"/>
  <c r="O319" i="4"/>
  <c r="O312" i="4"/>
  <c r="O316" i="4"/>
  <c r="P319" i="4"/>
  <c r="N295" i="4"/>
  <c r="N298" i="4"/>
  <c r="N302" i="4"/>
  <c r="N306" i="4"/>
  <c r="N310" i="4"/>
  <c r="O317" i="4"/>
  <c r="N318" i="4"/>
  <c r="K293" i="4"/>
  <c r="K316" i="4"/>
  <c r="K297" i="4"/>
  <c r="K304" i="4"/>
  <c r="K312" i="4"/>
  <c r="K292" i="4"/>
  <c r="K294" i="4"/>
  <c r="K301" i="4"/>
  <c r="K305" i="4"/>
  <c r="K309" i="4"/>
  <c r="K313" i="4"/>
  <c r="K317" i="4"/>
  <c r="K300" i="4"/>
  <c r="K308" i="4"/>
  <c r="K295" i="4"/>
  <c r="K298" i="4"/>
  <c r="K302" i="4"/>
  <c r="K306" i="4"/>
  <c r="K310" i="4"/>
  <c r="K314" i="4"/>
  <c r="K318" i="4"/>
  <c r="K296" i="4"/>
  <c r="K299" i="4"/>
  <c r="K303" i="4"/>
  <c r="K307" i="4"/>
  <c r="K311" i="4"/>
  <c r="K315" i="4"/>
  <c r="K319" i="4"/>
  <c r="G272" i="4"/>
  <c r="U297" i="4" l="1"/>
  <c r="U306" i="4"/>
  <c r="U319" i="4"/>
  <c r="U300" i="4"/>
  <c r="U293" i="4"/>
  <c r="U303" i="4"/>
  <c r="U310" i="4"/>
  <c r="U295" i="4"/>
  <c r="U301" i="4"/>
  <c r="U313" i="4"/>
  <c r="U307" i="4"/>
  <c r="U314" i="4"/>
  <c r="U308" i="4"/>
  <c r="U299" i="4"/>
  <c r="U298" i="4"/>
  <c r="U309" i="4"/>
  <c r="U294" i="4"/>
  <c r="U296" i="4"/>
  <c r="U305" i="4"/>
  <c r="U292" i="4"/>
  <c r="U316" i="4"/>
  <c r="U315" i="4"/>
  <c r="U317" i="4"/>
  <c r="U312" i="4"/>
  <c r="U311" i="4"/>
  <c r="U318" i="4"/>
  <c r="U302" i="4"/>
  <c r="U304" i="4"/>
  <c r="G280" i="4"/>
  <c r="R35" i="17" l="1"/>
  <c r="P35" i="17"/>
  <c r="O35" i="17"/>
  <c r="N35" i="17"/>
  <c r="M35" i="17"/>
  <c r="L35" i="17"/>
  <c r="F35" i="17"/>
  <c r="R34" i="17"/>
  <c r="P34" i="17"/>
  <c r="O34" i="17"/>
  <c r="N34" i="17"/>
  <c r="M34" i="17"/>
  <c r="L34" i="17"/>
  <c r="J34" i="17"/>
  <c r="H34" i="17"/>
  <c r="R33" i="17"/>
  <c r="P33" i="17"/>
  <c r="O33" i="17"/>
  <c r="N33" i="17"/>
  <c r="M33" i="17"/>
  <c r="L33" i="17"/>
  <c r="I33" i="17"/>
  <c r="H33" i="17"/>
  <c r="F33" i="17"/>
  <c r="E33" i="17"/>
  <c r="R32" i="17"/>
  <c r="P32" i="17"/>
  <c r="O32" i="17"/>
  <c r="N32" i="17"/>
  <c r="M32" i="17"/>
  <c r="L32" i="17"/>
  <c r="R31" i="17"/>
  <c r="P31" i="17"/>
  <c r="O31" i="17"/>
  <c r="N31" i="17"/>
  <c r="M31" i="17"/>
  <c r="L31" i="17"/>
  <c r="E31" i="17"/>
  <c r="R30" i="17"/>
  <c r="P30" i="17"/>
  <c r="O30" i="17"/>
  <c r="N30" i="17"/>
  <c r="M30" i="17"/>
  <c r="L30" i="17"/>
  <c r="R29" i="17"/>
  <c r="P29" i="17"/>
  <c r="O29" i="17"/>
  <c r="N29" i="17"/>
  <c r="M29" i="17"/>
  <c r="L29" i="17"/>
  <c r="F29" i="17"/>
  <c r="D29" i="17"/>
  <c r="R28" i="17"/>
  <c r="P28" i="17"/>
  <c r="O28" i="17"/>
  <c r="N28" i="17"/>
  <c r="M28" i="17"/>
  <c r="L28" i="17"/>
  <c r="R27" i="17"/>
  <c r="P27" i="17"/>
  <c r="O27" i="17"/>
  <c r="N27" i="17"/>
  <c r="M27" i="17"/>
  <c r="L27" i="17"/>
  <c r="R26" i="17"/>
  <c r="P26" i="17"/>
  <c r="O26" i="17"/>
  <c r="N26" i="17"/>
  <c r="M26" i="17"/>
  <c r="L26" i="17"/>
  <c r="J26" i="17"/>
  <c r="I26" i="17"/>
  <c r="H26" i="17"/>
  <c r="R25" i="17"/>
  <c r="P25" i="17"/>
  <c r="O25" i="17"/>
  <c r="N25" i="17"/>
  <c r="M25" i="17"/>
  <c r="L25" i="17"/>
  <c r="R24" i="17"/>
  <c r="P24" i="17"/>
  <c r="O24" i="17"/>
  <c r="N24" i="17"/>
  <c r="M24" i="17"/>
  <c r="L24" i="17"/>
  <c r="R23" i="17"/>
  <c r="P23" i="17"/>
  <c r="O23" i="17"/>
  <c r="N23" i="17"/>
  <c r="M23" i="17"/>
  <c r="L23" i="17"/>
  <c r="R22" i="17"/>
  <c r="P22" i="17"/>
  <c r="O22" i="17"/>
  <c r="N22" i="17"/>
  <c r="M22" i="17"/>
  <c r="L22" i="17"/>
  <c r="D22" i="17"/>
  <c r="B22" i="17"/>
  <c r="R17" i="17"/>
  <c r="P17" i="17"/>
  <c r="O17" i="17"/>
  <c r="N17" i="17"/>
  <c r="M17" i="17"/>
  <c r="L17" i="17"/>
  <c r="R16" i="17"/>
  <c r="P16" i="17"/>
  <c r="O16" i="17"/>
  <c r="N16" i="17"/>
  <c r="M16" i="17"/>
  <c r="L16" i="17"/>
  <c r="R15" i="17"/>
  <c r="P15" i="17"/>
  <c r="O15" i="17"/>
  <c r="N15" i="17"/>
  <c r="M15" i="17"/>
  <c r="L15" i="17"/>
  <c r="J15" i="17"/>
  <c r="I15" i="17"/>
  <c r="H15" i="17"/>
  <c r="F15" i="17"/>
  <c r="D15" i="17"/>
  <c r="B15" i="17"/>
  <c r="R14" i="17"/>
  <c r="P14" i="17"/>
  <c r="O14" i="17"/>
  <c r="N14" i="17"/>
  <c r="M14" i="17"/>
  <c r="L14" i="17"/>
  <c r="B14" i="17"/>
  <c r="R13" i="17"/>
  <c r="P13" i="17"/>
  <c r="O13" i="17"/>
  <c r="N13" i="17"/>
  <c r="M13" i="17"/>
  <c r="L13" i="17"/>
  <c r="R12" i="17"/>
  <c r="P12" i="17"/>
  <c r="O12" i="17"/>
  <c r="N12" i="17"/>
  <c r="M12" i="17"/>
  <c r="L12" i="17"/>
  <c r="R11" i="17"/>
  <c r="P11" i="17"/>
  <c r="O11" i="17"/>
  <c r="N11" i="17"/>
  <c r="M11" i="17"/>
  <c r="L11" i="17"/>
  <c r="K11" i="17"/>
  <c r="G11" i="17"/>
  <c r="R10" i="17"/>
  <c r="P10" i="17"/>
  <c r="O10" i="17"/>
  <c r="N10" i="17"/>
  <c r="M10" i="17"/>
  <c r="L10" i="17"/>
  <c r="R9" i="17"/>
  <c r="P9" i="17"/>
  <c r="O9" i="17"/>
  <c r="N9" i="17"/>
  <c r="M9" i="17"/>
  <c r="L9" i="17"/>
  <c r="R8" i="17"/>
  <c r="P8" i="17"/>
  <c r="O8" i="17"/>
  <c r="N8" i="17"/>
  <c r="M8" i="17"/>
  <c r="L8" i="17"/>
  <c r="R7" i="17"/>
  <c r="P7" i="17"/>
  <c r="O7" i="17"/>
  <c r="N7" i="17"/>
  <c r="M7" i="17"/>
  <c r="L7" i="17"/>
  <c r="R6" i="17"/>
  <c r="P6" i="17"/>
  <c r="O6" i="17"/>
  <c r="N6" i="17"/>
  <c r="M6" i="17"/>
  <c r="L6" i="17"/>
  <c r="R5" i="17"/>
  <c r="P5" i="17"/>
  <c r="O5" i="17"/>
  <c r="N5" i="17"/>
  <c r="M5" i="17"/>
  <c r="L5" i="17"/>
  <c r="R4" i="17"/>
  <c r="P4" i="17"/>
  <c r="O4" i="17"/>
  <c r="N4" i="17"/>
  <c r="M4" i="17"/>
  <c r="L4" i="17"/>
  <c r="R3" i="17"/>
  <c r="P3" i="17"/>
  <c r="O3" i="17"/>
  <c r="N3" i="17"/>
  <c r="M3" i="17"/>
  <c r="L3" i="17"/>
  <c r="C3" i="17"/>
  <c r="Q43" i="20"/>
  <c r="P43" i="20"/>
  <c r="O43" i="20"/>
  <c r="N43" i="20"/>
  <c r="M43" i="20"/>
  <c r="L43" i="20"/>
  <c r="K43" i="20"/>
  <c r="J43" i="20"/>
  <c r="I43" i="20"/>
  <c r="H43" i="20"/>
  <c r="G43" i="20"/>
  <c r="F43" i="20"/>
  <c r="Q42" i="20"/>
  <c r="P42" i="20"/>
  <c r="O42" i="20"/>
  <c r="N42" i="20"/>
  <c r="M42" i="20"/>
  <c r="L42" i="20"/>
  <c r="K42" i="20"/>
  <c r="J42" i="20"/>
  <c r="I42" i="20"/>
  <c r="H42" i="20"/>
  <c r="G42" i="20"/>
  <c r="F42" i="20"/>
  <c r="Q41" i="20"/>
  <c r="P41" i="20"/>
  <c r="O41" i="20"/>
  <c r="N41" i="20"/>
  <c r="M41" i="20"/>
  <c r="L41" i="20"/>
  <c r="K41" i="20"/>
  <c r="J41" i="20"/>
  <c r="I41" i="20"/>
  <c r="H41" i="20"/>
  <c r="G41" i="20"/>
  <c r="F41" i="20"/>
  <c r="Q40" i="20"/>
  <c r="P40" i="20"/>
  <c r="O40" i="20"/>
  <c r="N40" i="20"/>
  <c r="M40" i="20"/>
  <c r="L40" i="20"/>
  <c r="K40" i="20"/>
  <c r="J40" i="20"/>
  <c r="I40" i="20"/>
  <c r="H40" i="20"/>
  <c r="G40" i="20"/>
  <c r="F40" i="20"/>
  <c r="S2" i="20"/>
  <c r="Q2" i="20"/>
  <c r="P2" i="20"/>
  <c r="O2" i="20"/>
  <c r="N2" i="20"/>
  <c r="M2" i="20"/>
  <c r="P43" i="22"/>
  <c r="O43" i="22"/>
  <c r="N43" i="22"/>
  <c r="M43" i="22"/>
  <c r="L43" i="22"/>
  <c r="K43" i="22"/>
  <c r="J43" i="22"/>
  <c r="I43" i="22"/>
  <c r="H43" i="22"/>
  <c r="P42" i="22"/>
  <c r="O42" i="22"/>
  <c r="N42" i="22"/>
  <c r="M42" i="22"/>
  <c r="L42" i="22"/>
  <c r="K42" i="22"/>
  <c r="J42" i="22"/>
  <c r="I42" i="22"/>
  <c r="H42" i="22"/>
  <c r="P41" i="22"/>
  <c r="O41" i="22"/>
  <c r="N41" i="22"/>
  <c r="M41" i="22"/>
  <c r="L41" i="22"/>
  <c r="K41" i="22"/>
  <c r="J41" i="22"/>
  <c r="I41" i="22"/>
  <c r="H41" i="22"/>
  <c r="P40" i="22"/>
  <c r="O40" i="22"/>
  <c r="N40" i="22"/>
  <c r="M40" i="22"/>
  <c r="L40" i="22"/>
  <c r="K40" i="22"/>
  <c r="J40" i="22"/>
  <c r="I40" i="22"/>
  <c r="H40" i="22"/>
  <c r="T2" i="22"/>
  <c r="S2" i="22"/>
  <c r="Q2" i="22"/>
  <c r="P2" i="22"/>
  <c r="O2" i="22"/>
  <c r="N2" i="22"/>
  <c r="M2" i="22"/>
  <c r="L2" i="22"/>
  <c r="K2" i="22"/>
  <c r="J2" i="22"/>
  <c r="I2" i="22"/>
  <c r="H2" i="22"/>
  <c r="G2" i="22"/>
  <c r="F2" i="22"/>
  <c r="E2" i="22"/>
  <c r="D2" i="22"/>
  <c r="C2" i="22"/>
  <c r="Q32" i="13"/>
  <c r="P32" i="13"/>
  <c r="O32" i="13"/>
  <c r="N32" i="13"/>
  <c r="M32" i="13"/>
  <c r="L32" i="13"/>
  <c r="K32" i="13"/>
  <c r="J32" i="13"/>
  <c r="I32" i="13"/>
  <c r="H32" i="13"/>
  <c r="G32" i="13"/>
  <c r="F32" i="13"/>
  <c r="E32" i="13"/>
  <c r="D32" i="13"/>
  <c r="C32" i="13"/>
  <c r="Q31" i="13"/>
  <c r="P31" i="13"/>
  <c r="O31" i="13"/>
  <c r="N31" i="13"/>
  <c r="M31" i="13"/>
  <c r="L31" i="13"/>
  <c r="K31" i="13"/>
  <c r="J31" i="13"/>
  <c r="I31" i="13"/>
  <c r="H31" i="13"/>
  <c r="G31" i="13"/>
  <c r="F31" i="13"/>
  <c r="E31" i="13"/>
  <c r="D31" i="13"/>
  <c r="C31" i="13"/>
  <c r="Q30" i="13"/>
  <c r="P30" i="13"/>
  <c r="O30" i="13"/>
  <c r="N30" i="13"/>
  <c r="M30" i="13"/>
  <c r="L30" i="13"/>
  <c r="K30" i="13"/>
  <c r="J30" i="13"/>
  <c r="I30" i="13"/>
  <c r="H30" i="13"/>
  <c r="G30" i="13"/>
  <c r="F30" i="13"/>
  <c r="E30" i="13"/>
  <c r="D30" i="13"/>
  <c r="C30" i="13"/>
  <c r="T29" i="13"/>
  <c r="Q29" i="13"/>
  <c r="P29" i="13"/>
  <c r="O29" i="13"/>
  <c r="N29" i="13"/>
  <c r="M29" i="13"/>
  <c r="L29" i="13"/>
  <c r="K29" i="13"/>
  <c r="J29" i="13"/>
  <c r="I29" i="13"/>
  <c r="H29" i="13"/>
  <c r="G29" i="13"/>
  <c r="F29" i="13"/>
  <c r="E29" i="13"/>
  <c r="D29" i="13"/>
  <c r="C29" i="13"/>
  <c r="T28" i="13"/>
  <c r="Q28" i="13"/>
  <c r="P28" i="13"/>
  <c r="O28" i="13"/>
  <c r="N28" i="13"/>
  <c r="M28" i="13"/>
  <c r="L28" i="13"/>
  <c r="K28" i="13"/>
  <c r="J28" i="13"/>
  <c r="I28" i="13"/>
  <c r="H28" i="13"/>
  <c r="G28" i="13"/>
  <c r="F28" i="13"/>
  <c r="E28" i="13"/>
  <c r="D28" i="13"/>
  <c r="C28" i="13"/>
  <c r="T27" i="13"/>
  <c r="Q27" i="13"/>
  <c r="P27" i="13"/>
  <c r="O27" i="13"/>
  <c r="N27" i="13"/>
  <c r="M27" i="13"/>
  <c r="L27" i="13"/>
  <c r="K27" i="13"/>
  <c r="J27" i="13"/>
  <c r="I27" i="13"/>
  <c r="H27" i="13"/>
  <c r="G27" i="13"/>
  <c r="F27" i="13"/>
  <c r="E27" i="13"/>
  <c r="D27" i="13"/>
  <c r="C27" i="13"/>
  <c r="T26" i="13"/>
  <c r="Q26" i="13"/>
  <c r="P26" i="13"/>
  <c r="O26" i="13"/>
  <c r="N26" i="13"/>
  <c r="M26" i="13"/>
  <c r="L26" i="13"/>
  <c r="K26" i="13"/>
  <c r="J26" i="13"/>
  <c r="I26" i="13"/>
  <c r="H26" i="13"/>
  <c r="G26" i="13"/>
  <c r="F26" i="13"/>
  <c r="E26" i="13"/>
  <c r="D26" i="13"/>
  <c r="C26" i="13"/>
  <c r="T25" i="13"/>
  <c r="Q25" i="13"/>
  <c r="P25" i="13"/>
  <c r="O25" i="13"/>
  <c r="N25" i="13"/>
  <c r="M25" i="13"/>
  <c r="L25" i="13"/>
  <c r="K25" i="13"/>
  <c r="J25" i="13"/>
  <c r="I25" i="13"/>
  <c r="H25" i="13"/>
  <c r="G25" i="13"/>
  <c r="F25" i="13"/>
  <c r="E25" i="13"/>
  <c r="D25" i="13"/>
  <c r="C25" i="13"/>
  <c r="T2" i="13"/>
  <c r="Q2" i="13"/>
  <c r="P2" i="13"/>
  <c r="O2" i="13"/>
  <c r="N2" i="13"/>
  <c r="M2" i="13"/>
  <c r="T2" i="12"/>
  <c r="Q2" i="12"/>
  <c r="P2" i="12"/>
  <c r="O2" i="12"/>
  <c r="N2" i="12"/>
  <c r="M2" i="12"/>
  <c r="U2" i="8"/>
  <c r="T2" i="8"/>
  <c r="P2" i="8"/>
  <c r="O2" i="8"/>
  <c r="N2" i="8"/>
  <c r="M2" i="8"/>
  <c r="X291" i="4"/>
  <c r="W291" i="4"/>
  <c r="T291" i="4"/>
  <c r="R291" i="4"/>
  <c r="Q291" i="4"/>
  <c r="M291" i="4"/>
  <c r="P291" i="4" s="1"/>
  <c r="G291" i="4"/>
  <c r="I291" i="4" s="1"/>
  <c r="B291" i="4"/>
  <c r="J291" i="4" s="1"/>
  <c r="X290" i="4"/>
  <c r="W290" i="4"/>
  <c r="T290" i="4"/>
  <c r="R290" i="4"/>
  <c r="Q290" i="4"/>
  <c r="M290" i="4"/>
  <c r="P290" i="4" s="1"/>
  <c r="G290" i="4"/>
  <c r="I290" i="4" s="1"/>
  <c r="B290" i="4"/>
  <c r="J290" i="4" s="1"/>
  <c r="X289" i="4"/>
  <c r="W289" i="4"/>
  <c r="T289" i="4"/>
  <c r="R289" i="4"/>
  <c r="Q289" i="4"/>
  <c r="P289" i="4"/>
  <c r="G289" i="4"/>
  <c r="I289" i="4" s="1"/>
  <c r="B289" i="4"/>
  <c r="J289" i="4" s="1"/>
  <c r="X288" i="4"/>
  <c r="W288" i="4"/>
  <c r="T288" i="4"/>
  <c r="R288" i="4"/>
  <c r="Q288" i="4"/>
  <c r="M288" i="4"/>
  <c r="P288" i="4" s="1"/>
  <c r="G288" i="4"/>
  <c r="I288" i="4" s="1"/>
  <c r="B288" i="4"/>
  <c r="J288" i="4" s="1"/>
  <c r="X287" i="4"/>
  <c r="W287" i="4"/>
  <c r="T287" i="4"/>
  <c r="R287" i="4"/>
  <c r="Q287" i="4"/>
  <c r="P287" i="4"/>
  <c r="G287" i="4"/>
  <c r="I287" i="4" s="1"/>
  <c r="B287" i="4"/>
  <c r="J287" i="4" s="1"/>
  <c r="X286" i="4"/>
  <c r="W286" i="4"/>
  <c r="T286" i="4"/>
  <c r="R286" i="4"/>
  <c r="Q286" i="4"/>
  <c r="O286" i="4"/>
  <c r="P286" i="4"/>
  <c r="G286" i="4"/>
  <c r="I286" i="4" s="1"/>
  <c r="B286" i="4"/>
  <c r="J286" i="4" s="1"/>
  <c r="X285" i="4"/>
  <c r="W285" i="4"/>
  <c r="T285" i="4"/>
  <c r="R285" i="4"/>
  <c r="Q285" i="4"/>
  <c r="M285" i="4"/>
  <c r="P285" i="4" s="1"/>
  <c r="G285" i="4"/>
  <c r="I285" i="4" s="1"/>
  <c r="B285" i="4"/>
  <c r="J285" i="4" s="1"/>
  <c r="X284" i="4"/>
  <c r="W284" i="4"/>
  <c r="T284" i="4"/>
  <c r="R284" i="4"/>
  <c r="Q284" i="4"/>
  <c r="N284" i="4"/>
  <c r="P284" i="4"/>
  <c r="G284" i="4"/>
  <c r="I284" i="4" s="1"/>
  <c r="B284" i="4"/>
  <c r="J284" i="4" s="1"/>
  <c r="X283" i="4"/>
  <c r="W283" i="4"/>
  <c r="T283" i="4"/>
  <c r="R283" i="4"/>
  <c r="Q283" i="4"/>
  <c r="P283" i="4"/>
  <c r="G283" i="4"/>
  <c r="I283" i="4" s="1"/>
  <c r="B283" i="4"/>
  <c r="J283" i="4" s="1"/>
  <c r="X282" i="4"/>
  <c r="W282" i="4"/>
  <c r="T282" i="4"/>
  <c r="R282" i="4"/>
  <c r="Q282" i="4"/>
  <c r="M282" i="4"/>
  <c r="P282" i="4" s="1"/>
  <c r="G282" i="4"/>
  <c r="I282" i="4" s="1"/>
  <c r="B282" i="4"/>
  <c r="J282" i="4" s="1"/>
  <c r="X281" i="4"/>
  <c r="W281" i="4"/>
  <c r="T281" i="4"/>
  <c r="R281" i="4"/>
  <c r="Q281" i="4"/>
  <c r="M281" i="4"/>
  <c r="P281" i="4" s="1"/>
  <c r="G281" i="4"/>
  <c r="I281" i="4" s="1"/>
  <c r="B281" i="4"/>
  <c r="X280" i="4"/>
  <c r="W280" i="4"/>
  <c r="T280" i="4"/>
  <c r="R280" i="4"/>
  <c r="Q280" i="4"/>
  <c r="M280" i="4"/>
  <c r="P280" i="4" s="1"/>
  <c r="I280" i="4"/>
  <c r="B280" i="4"/>
  <c r="J280" i="4" s="1"/>
  <c r="X279" i="4"/>
  <c r="W279" i="4"/>
  <c r="T279" i="4"/>
  <c r="R279" i="4"/>
  <c r="Q279" i="4"/>
  <c r="M279" i="4"/>
  <c r="P279" i="4" s="1"/>
  <c r="G279" i="4"/>
  <c r="I279" i="4" s="1"/>
  <c r="B279" i="4"/>
  <c r="J279" i="4" s="1"/>
  <c r="X278" i="4"/>
  <c r="W278" i="4"/>
  <c r="T278" i="4"/>
  <c r="R278" i="4"/>
  <c r="Q278" i="4"/>
  <c r="O278" i="4"/>
  <c r="N278" i="4"/>
  <c r="P278" i="4"/>
  <c r="G278" i="4"/>
  <c r="I278" i="4" s="1"/>
  <c r="B278" i="4"/>
  <c r="J278" i="4" s="1"/>
  <c r="X277" i="4"/>
  <c r="W277" i="4"/>
  <c r="T277" i="4"/>
  <c r="R277" i="4"/>
  <c r="Q277" i="4"/>
  <c r="M277" i="4"/>
  <c r="O277" i="4" s="1"/>
  <c r="G277" i="4"/>
  <c r="I277" i="4" s="1"/>
  <c r="B277" i="4"/>
  <c r="J277" i="4" s="1"/>
  <c r="X276" i="4"/>
  <c r="W276" i="4"/>
  <c r="T276" i="4"/>
  <c r="R276" i="4"/>
  <c r="Q276" i="4"/>
  <c r="M276" i="4"/>
  <c r="O276" i="4" s="1"/>
  <c r="G276" i="4"/>
  <c r="I276" i="4" s="1"/>
  <c r="B276" i="4"/>
  <c r="J276" i="4" s="1"/>
  <c r="X275" i="4"/>
  <c r="W275" i="4"/>
  <c r="T275" i="4"/>
  <c r="R275" i="4"/>
  <c r="Q275" i="4"/>
  <c r="P275" i="4"/>
  <c r="O275" i="4"/>
  <c r="N275" i="4"/>
  <c r="G275" i="4"/>
  <c r="I275" i="4" s="1"/>
  <c r="B275" i="4"/>
  <c r="J275" i="4" s="1"/>
  <c r="X274" i="4"/>
  <c r="W274" i="4"/>
  <c r="T274" i="4"/>
  <c r="R274" i="4"/>
  <c r="Q274" i="4"/>
  <c r="M274" i="4"/>
  <c r="O274" i="4" s="1"/>
  <c r="G274" i="4"/>
  <c r="I274" i="4" s="1"/>
  <c r="B274" i="4"/>
  <c r="J274" i="4" s="1"/>
  <c r="X273" i="4"/>
  <c r="W273" i="4"/>
  <c r="T273" i="4"/>
  <c r="R273" i="4"/>
  <c r="Q273" i="4"/>
  <c r="M273" i="4"/>
  <c r="O273" i="4" s="1"/>
  <c r="G273" i="4"/>
  <c r="I273" i="4" s="1"/>
  <c r="B273" i="4"/>
  <c r="J273" i="4" s="1"/>
  <c r="X272" i="4"/>
  <c r="W272" i="4"/>
  <c r="T272" i="4"/>
  <c r="R272" i="4"/>
  <c r="Q272" i="4"/>
  <c r="M272" i="4"/>
  <c r="I272" i="4"/>
  <c r="B272" i="4"/>
  <c r="X271" i="4"/>
  <c r="W271" i="4"/>
  <c r="T271" i="4"/>
  <c r="R271" i="4"/>
  <c r="Q271" i="4"/>
  <c r="P271" i="4"/>
  <c r="O271" i="4"/>
  <c r="N271" i="4"/>
  <c r="G271" i="4"/>
  <c r="I271" i="4" s="1"/>
  <c r="B271" i="4"/>
  <c r="X270" i="4"/>
  <c r="W270" i="4"/>
  <c r="T270" i="4"/>
  <c r="R270" i="4"/>
  <c r="Q270" i="4"/>
  <c r="M270" i="4"/>
  <c r="O270" i="4" s="1"/>
  <c r="G270" i="4"/>
  <c r="I270" i="4" s="1"/>
  <c r="B270" i="4"/>
  <c r="X269" i="4"/>
  <c r="W269" i="4"/>
  <c r="T269" i="4"/>
  <c r="R269" i="4"/>
  <c r="Q269" i="4"/>
  <c r="M269" i="4"/>
  <c r="O269" i="4" s="1"/>
  <c r="G269" i="4"/>
  <c r="I269" i="4" s="1"/>
  <c r="B269" i="4"/>
  <c r="X268" i="4"/>
  <c r="W268" i="4"/>
  <c r="T268" i="4"/>
  <c r="R268" i="4"/>
  <c r="Q268" i="4"/>
  <c r="M268" i="4"/>
  <c r="O268" i="4" s="1"/>
  <c r="G268" i="4"/>
  <c r="I268" i="4" s="1"/>
  <c r="B268" i="4"/>
  <c r="X267" i="4"/>
  <c r="W267" i="4"/>
  <c r="T267" i="4"/>
  <c r="R267" i="4"/>
  <c r="Q267" i="4"/>
  <c r="P267" i="4"/>
  <c r="O267" i="4"/>
  <c r="N267" i="4"/>
  <c r="G267" i="4"/>
  <c r="I267" i="4" s="1"/>
  <c r="B267" i="4"/>
  <c r="J267" i="4" s="1"/>
  <c r="X266" i="4"/>
  <c r="W266" i="4"/>
  <c r="T266" i="4"/>
  <c r="R266" i="4"/>
  <c r="Q266" i="4"/>
  <c r="P266" i="4"/>
  <c r="O266" i="4"/>
  <c r="N266" i="4"/>
  <c r="G266" i="4"/>
  <c r="I266" i="4" s="1"/>
  <c r="B266" i="4"/>
  <c r="J266" i="4" s="1"/>
  <c r="X265" i="4"/>
  <c r="W265" i="4"/>
  <c r="T265" i="4"/>
  <c r="R265" i="4"/>
  <c r="Q265" i="4"/>
  <c r="M265" i="4"/>
  <c r="O265" i="4" s="1"/>
  <c r="G265" i="4"/>
  <c r="I265" i="4" s="1"/>
  <c r="B265" i="4"/>
  <c r="X264" i="4"/>
  <c r="W264" i="4"/>
  <c r="T264" i="4"/>
  <c r="R264" i="4"/>
  <c r="Q264" i="4"/>
  <c r="M264" i="4"/>
  <c r="O264" i="4" s="1"/>
  <c r="G264" i="4"/>
  <c r="I264" i="4" s="1"/>
  <c r="B264" i="4"/>
  <c r="X263" i="4"/>
  <c r="W263" i="4"/>
  <c r="T263" i="4"/>
  <c r="R263" i="4"/>
  <c r="Q263" i="4"/>
  <c r="P263" i="4"/>
  <c r="O263" i="4"/>
  <c r="N263" i="4"/>
  <c r="G263" i="4"/>
  <c r="I263" i="4" s="1"/>
  <c r="B263" i="4"/>
  <c r="J263" i="4" s="1"/>
  <c r="X262" i="4"/>
  <c r="W262" i="4"/>
  <c r="T262" i="4"/>
  <c r="R262" i="4"/>
  <c r="Q262" i="4"/>
  <c r="M262" i="4"/>
  <c r="G262" i="4"/>
  <c r="I262" i="4" s="1"/>
  <c r="B262" i="4"/>
  <c r="J262" i="4" s="1"/>
  <c r="X261" i="4"/>
  <c r="W261" i="4"/>
  <c r="T261" i="4"/>
  <c r="R261" i="4"/>
  <c r="Q261" i="4"/>
  <c r="P261" i="4"/>
  <c r="O261" i="4"/>
  <c r="N261" i="4"/>
  <c r="L261" i="4"/>
  <c r="G261" i="4"/>
  <c r="I261" i="4" s="1"/>
  <c r="B261" i="4"/>
  <c r="J261" i="4" s="1"/>
  <c r="X260" i="4"/>
  <c r="W260" i="4"/>
  <c r="T260" i="4"/>
  <c r="R260" i="4"/>
  <c r="Q260" i="4"/>
  <c r="P260" i="4"/>
  <c r="O260" i="4"/>
  <c r="N260" i="4"/>
  <c r="G260" i="4"/>
  <c r="I260" i="4" s="1"/>
  <c r="B260" i="4"/>
  <c r="X259" i="4"/>
  <c r="W259" i="4"/>
  <c r="T259" i="4"/>
  <c r="R259" i="4"/>
  <c r="Q259" i="4"/>
  <c r="P259" i="4"/>
  <c r="O259" i="4"/>
  <c r="N259" i="4"/>
  <c r="G259" i="4"/>
  <c r="I259" i="4" s="1"/>
  <c r="B259" i="4"/>
  <c r="J259" i="4" s="1"/>
  <c r="X258" i="4"/>
  <c r="W258" i="4"/>
  <c r="T258" i="4"/>
  <c r="R258" i="4"/>
  <c r="Q258" i="4"/>
  <c r="P258" i="4"/>
  <c r="O258" i="4"/>
  <c r="N258" i="4"/>
  <c r="G258" i="4"/>
  <c r="I258" i="4" s="1"/>
  <c r="B258" i="4"/>
  <c r="J258" i="4" s="1"/>
  <c r="X257" i="4"/>
  <c r="W257" i="4"/>
  <c r="T257" i="4"/>
  <c r="R257" i="4"/>
  <c r="Q257" i="4"/>
  <c r="M257" i="4"/>
  <c r="O257" i="4" s="1"/>
  <c r="G257" i="4"/>
  <c r="I257" i="4" s="1"/>
  <c r="B257" i="4"/>
  <c r="X256" i="4"/>
  <c r="W256" i="4"/>
  <c r="T256" i="4"/>
  <c r="R256" i="4"/>
  <c r="Q256" i="4"/>
  <c r="M256" i="4"/>
  <c r="O256" i="4" s="1"/>
  <c r="G256" i="4"/>
  <c r="I256" i="4" s="1"/>
  <c r="B256" i="4"/>
  <c r="X255" i="4"/>
  <c r="W255" i="4"/>
  <c r="T255" i="4"/>
  <c r="R255" i="4"/>
  <c r="Q255" i="4"/>
  <c r="P255" i="4"/>
  <c r="O255" i="4"/>
  <c r="N255" i="4"/>
  <c r="G255" i="4"/>
  <c r="I255" i="4" s="1"/>
  <c r="B255" i="4"/>
  <c r="J255" i="4" s="1"/>
  <c r="X254" i="4"/>
  <c r="W254" i="4"/>
  <c r="T254" i="4"/>
  <c r="R254" i="4"/>
  <c r="Q254" i="4"/>
  <c r="P254" i="4"/>
  <c r="O254" i="4"/>
  <c r="N254" i="4"/>
  <c r="G254" i="4"/>
  <c r="I254" i="4" s="1"/>
  <c r="B254" i="4"/>
  <c r="X253" i="4"/>
  <c r="W253" i="4"/>
  <c r="T253" i="4"/>
  <c r="R253" i="4"/>
  <c r="Q253" i="4"/>
  <c r="P253" i="4"/>
  <c r="O253" i="4"/>
  <c r="N253" i="4"/>
  <c r="G253" i="4"/>
  <c r="I253" i="4" s="1"/>
  <c r="B253" i="4"/>
  <c r="J253" i="4" s="1"/>
  <c r="X252" i="4"/>
  <c r="W252" i="4"/>
  <c r="T252" i="4"/>
  <c r="R252" i="4"/>
  <c r="Q252" i="4"/>
  <c r="P252" i="4"/>
  <c r="O252" i="4"/>
  <c r="N252" i="4"/>
  <c r="G252" i="4"/>
  <c r="I252" i="4" s="1"/>
  <c r="B252" i="4"/>
  <c r="J252" i="4" s="1"/>
  <c r="X251" i="4"/>
  <c r="W251" i="4"/>
  <c r="T251" i="4"/>
  <c r="R251" i="4"/>
  <c r="Q251" i="4"/>
  <c r="P251" i="4"/>
  <c r="O251" i="4"/>
  <c r="N251" i="4"/>
  <c r="G251" i="4"/>
  <c r="I251" i="4" s="1"/>
  <c r="B251" i="4"/>
  <c r="J251" i="4" s="1"/>
  <c r="X250" i="4"/>
  <c r="W250" i="4"/>
  <c r="T250" i="4"/>
  <c r="R250" i="4"/>
  <c r="Q250" i="4"/>
  <c r="M250" i="4"/>
  <c r="G250" i="4"/>
  <c r="I250" i="4" s="1"/>
  <c r="B250" i="4"/>
  <c r="J250" i="4" s="1"/>
  <c r="X249" i="4"/>
  <c r="W249" i="4"/>
  <c r="T249" i="4"/>
  <c r="R249" i="4"/>
  <c r="Q249" i="4"/>
  <c r="M249" i="4"/>
  <c r="G249" i="4"/>
  <c r="I249" i="4" s="1"/>
  <c r="B249" i="4"/>
  <c r="J249" i="4" s="1"/>
  <c r="X248" i="4"/>
  <c r="W248" i="4"/>
  <c r="T248" i="4"/>
  <c r="R248" i="4"/>
  <c r="Q248" i="4"/>
  <c r="M248" i="4"/>
  <c r="G248" i="4"/>
  <c r="I248" i="4" s="1"/>
  <c r="B248" i="4"/>
  <c r="J248" i="4" s="1"/>
  <c r="X247" i="4"/>
  <c r="W247" i="4"/>
  <c r="T247" i="4"/>
  <c r="R247" i="4"/>
  <c r="Q247" i="4"/>
  <c r="M247" i="4"/>
  <c r="N247" i="4" s="1"/>
  <c r="G247" i="4"/>
  <c r="I247" i="4" s="1"/>
  <c r="B247" i="4"/>
  <c r="J247" i="4" s="1"/>
  <c r="X246" i="4"/>
  <c r="W246" i="4"/>
  <c r="T246" i="4"/>
  <c r="R246" i="4"/>
  <c r="Q246" i="4"/>
  <c r="P246" i="4"/>
  <c r="O246" i="4"/>
  <c r="N246" i="4"/>
  <c r="G246" i="4"/>
  <c r="I246" i="4" s="1"/>
  <c r="B246" i="4"/>
  <c r="X245" i="4"/>
  <c r="W245" i="4"/>
  <c r="T245" i="4"/>
  <c r="R245" i="4"/>
  <c r="Q245" i="4"/>
  <c r="P245" i="4"/>
  <c r="O245" i="4"/>
  <c r="N245" i="4"/>
  <c r="G245" i="4"/>
  <c r="I245" i="4" s="1"/>
  <c r="B245" i="4"/>
  <c r="X244" i="4"/>
  <c r="W244" i="4"/>
  <c r="T244" i="4"/>
  <c r="R244" i="4"/>
  <c r="Q244" i="4"/>
  <c r="P244" i="4"/>
  <c r="O244" i="4"/>
  <c r="N244" i="4"/>
  <c r="G244" i="4"/>
  <c r="I244" i="4" s="1"/>
  <c r="B244" i="4"/>
  <c r="J244" i="4" s="1"/>
  <c r="X243" i="4"/>
  <c r="W243" i="4"/>
  <c r="T243" i="4"/>
  <c r="R243" i="4"/>
  <c r="Q243" i="4"/>
  <c r="P243" i="4"/>
  <c r="O243" i="4"/>
  <c r="N243" i="4"/>
  <c r="G243" i="4"/>
  <c r="I243" i="4" s="1"/>
  <c r="B243" i="4"/>
  <c r="J243" i="4" s="1"/>
  <c r="X242" i="4"/>
  <c r="W242" i="4"/>
  <c r="T242" i="4"/>
  <c r="R242" i="4"/>
  <c r="Q242" i="4"/>
  <c r="M242" i="4"/>
  <c r="N242" i="4" s="1"/>
  <c r="G242" i="4"/>
  <c r="I242" i="4" s="1"/>
  <c r="B242" i="4"/>
  <c r="J242" i="4" s="1"/>
  <c r="X241" i="4"/>
  <c r="W241" i="4"/>
  <c r="T241" i="4"/>
  <c r="R241" i="4"/>
  <c r="Q241" i="4"/>
  <c r="P241" i="4"/>
  <c r="O241" i="4"/>
  <c r="N241" i="4"/>
  <c r="G241" i="4"/>
  <c r="I241" i="4" s="1"/>
  <c r="B241" i="4"/>
  <c r="X240" i="4"/>
  <c r="W240" i="4"/>
  <c r="T240" i="4"/>
  <c r="R240" i="4"/>
  <c r="Q240" i="4"/>
  <c r="M240" i="4"/>
  <c r="P240" i="4" s="1"/>
  <c r="G240" i="4"/>
  <c r="I240" i="4" s="1"/>
  <c r="B240" i="4"/>
  <c r="X239" i="4"/>
  <c r="W239" i="4"/>
  <c r="T239" i="4"/>
  <c r="R239" i="4"/>
  <c r="Q239" i="4"/>
  <c r="P239" i="4"/>
  <c r="O239" i="4"/>
  <c r="N239" i="4"/>
  <c r="G239" i="4"/>
  <c r="I239" i="4" s="1"/>
  <c r="B239" i="4"/>
  <c r="J239" i="4" s="1"/>
  <c r="X238" i="4"/>
  <c r="W238" i="4"/>
  <c r="T238" i="4"/>
  <c r="R238" i="4"/>
  <c r="Q238" i="4"/>
  <c r="P238" i="4"/>
  <c r="O238" i="4"/>
  <c r="N238" i="4"/>
  <c r="G238" i="4"/>
  <c r="I238" i="4" s="1"/>
  <c r="B238" i="4"/>
  <c r="J238" i="4" s="1"/>
  <c r="X237" i="4"/>
  <c r="W237" i="4"/>
  <c r="T237" i="4"/>
  <c r="R237" i="4"/>
  <c r="Q237" i="4"/>
  <c r="M237" i="4"/>
  <c r="N237" i="4" s="1"/>
  <c r="G237" i="4"/>
  <c r="I237" i="4" s="1"/>
  <c r="B237" i="4"/>
  <c r="X236" i="4"/>
  <c r="W236" i="4"/>
  <c r="T236" i="4"/>
  <c r="R236" i="4"/>
  <c r="Q236" i="4"/>
  <c r="M236" i="4"/>
  <c r="P236" i="4" s="1"/>
  <c r="I236" i="4"/>
  <c r="G236" i="4"/>
  <c r="B236" i="4"/>
  <c r="J236" i="4" s="1"/>
  <c r="X235" i="4"/>
  <c r="W235" i="4"/>
  <c r="T235" i="4"/>
  <c r="R235" i="4"/>
  <c r="Q235" i="4"/>
  <c r="P235" i="4"/>
  <c r="O235" i="4"/>
  <c r="N235" i="4"/>
  <c r="G235" i="4"/>
  <c r="I235" i="4" s="1"/>
  <c r="B235" i="4"/>
  <c r="J235" i="4" s="1"/>
  <c r="X234" i="4"/>
  <c r="W234" i="4"/>
  <c r="T234" i="4"/>
  <c r="R234" i="4"/>
  <c r="Q234" i="4"/>
  <c r="M234" i="4"/>
  <c r="P234" i="4" s="1"/>
  <c r="G234" i="4"/>
  <c r="I234" i="4" s="1"/>
  <c r="B234" i="4"/>
  <c r="J234" i="4" s="1"/>
  <c r="X233" i="4"/>
  <c r="W233" i="4"/>
  <c r="T233" i="4"/>
  <c r="R233" i="4"/>
  <c r="Q233" i="4"/>
  <c r="M233" i="4"/>
  <c r="P233" i="4" s="1"/>
  <c r="G233" i="4"/>
  <c r="I233" i="4" s="1"/>
  <c r="B233" i="4"/>
  <c r="J233" i="4" s="1"/>
  <c r="X232" i="4"/>
  <c r="W232" i="4"/>
  <c r="T232" i="4"/>
  <c r="R232" i="4"/>
  <c r="Q232" i="4"/>
  <c r="P232" i="4"/>
  <c r="O232" i="4"/>
  <c r="N232" i="4"/>
  <c r="G232" i="4"/>
  <c r="I232" i="4" s="1"/>
  <c r="B232" i="4"/>
  <c r="J232" i="4" s="1"/>
  <c r="X231" i="4"/>
  <c r="W231" i="4"/>
  <c r="T231" i="4"/>
  <c r="R231" i="4"/>
  <c r="Q231" i="4"/>
  <c r="M231" i="4"/>
  <c r="O231" i="4" s="1"/>
  <c r="G231" i="4"/>
  <c r="I231" i="4" s="1"/>
  <c r="B231" i="4"/>
  <c r="X230" i="4"/>
  <c r="W230" i="4"/>
  <c r="T230" i="4"/>
  <c r="R230" i="4"/>
  <c r="Q230" i="4"/>
  <c r="P230" i="4"/>
  <c r="O230" i="4"/>
  <c r="N230" i="4"/>
  <c r="G230" i="4"/>
  <c r="I230" i="4" s="1"/>
  <c r="B230" i="4"/>
  <c r="X229" i="4"/>
  <c r="W229" i="4"/>
  <c r="T229" i="4"/>
  <c r="R229" i="4"/>
  <c r="Q229" i="4"/>
  <c r="M229" i="4"/>
  <c r="N229" i="4" s="1"/>
  <c r="G229" i="4"/>
  <c r="I229" i="4" s="1"/>
  <c r="B229" i="4"/>
  <c r="J229" i="4" s="1"/>
  <c r="X228" i="4"/>
  <c r="W228" i="4"/>
  <c r="T228" i="4"/>
  <c r="R228" i="4"/>
  <c r="Q228" i="4"/>
  <c r="M228" i="4"/>
  <c r="N228" i="4" s="1"/>
  <c r="G228" i="4"/>
  <c r="I228" i="4" s="1"/>
  <c r="B228" i="4"/>
  <c r="J228" i="4" s="1"/>
  <c r="X227" i="4"/>
  <c r="W227" i="4"/>
  <c r="T227" i="4"/>
  <c r="R227" i="4"/>
  <c r="Q227" i="4"/>
  <c r="P227" i="4"/>
  <c r="O227" i="4"/>
  <c r="N227" i="4"/>
  <c r="G227" i="4"/>
  <c r="I227" i="4" s="1"/>
  <c r="B227" i="4"/>
  <c r="J227" i="4" s="1"/>
  <c r="X226" i="4"/>
  <c r="W226" i="4"/>
  <c r="T226" i="4"/>
  <c r="R226" i="4"/>
  <c r="Q226" i="4"/>
  <c r="P226" i="4"/>
  <c r="O226" i="4"/>
  <c r="N226" i="4"/>
  <c r="G226" i="4"/>
  <c r="I226" i="4" s="1"/>
  <c r="B226" i="4"/>
  <c r="J226" i="4" s="1"/>
  <c r="X225" i="4"/>
  <c r="W225" i="4"/>
  <c r="T225" i="4"/>
  <c r="R225" i="4"/>
  <c r="Q225" i="4"/>
  <c r="P225" i="4"/>
  <c r="O225" i="4"/>
  <c r="N225" i="4"/>
  <c r="G225" i="4"/>
  <c r="I225" i="4" s="1"/>
  <c r="B225" i="4"/>
  <c r="J225" i="4" s="1"/>
  <c r="X224" i="4"/>
  <c r="W224" i="4"/>
  <c r="T224" i="4"/>
  <c r="R224" i="4"/>
  <c r="Q224" i="4"/>
  <c r="P224" i="4"/>
  <c r="O224" i="4"/>
  <c r="N224" i="4"/>
  <c r="G224" i="4"/>
  <c r="I224" i="4" s="1"/>
  <c r="B224" i="4"/>
  <c r="J224" i="4" s="1"/>
  <c r="X223" i="4"/>
  <c r="W223" i="4"/>
  <c r="T223" i="4"/>
  <c r="R223" i="4"/>
  <c r="Q223" i="4"/>
  <c r="M223" i="4"/>
  <c r="N223" i="4" s="1"/>
  <c r="G223" i="4"/>
  <c r="I223" i="4" s="1"/>
  <c r="B223" i="4"/>
  <c r="X222" i="4"/>
  <c r="W222" i="4"/>
  <c r="T222" i="4"/>
  <c r="R222" i="4"/>
  <c r="Q222" i="4"/>
  <c r="M222" i="4"/>
  <c r="G222" i="4"/>
  <c r="I222" i="4" s="1"/>
  <c r="B222" i="4"/>
  <c r="X221" i="4"/>
  <c r="W221" i="4"/>
  <c r="T221" i="4"/>
  <c r="R221" i="4"/>
  <c r="Q221" i="4"/>
  <c r="M221" i="4"/>
  <c r="N221" i="4" s="1"/>
  <c r="G221" i="4"/>
  <c r="I221" i="4" s="1"/>
  <c r="B221" i="4"/>
  <c r="X220" i="4"/>
  <c r="W220" i="4"/>
  <c r="T220" i="4"/>
  <c r="R220" i="4"/>
  <c r="Q220" i="4"/>
  <c r="M220" i="4"/>
  <c r="G220" i="4"/>
  <c r="I220" i="4" s="1"/>
  <c r="B220" i="4"/>
  <c r="X219" i="4"/>
  <c r="W219" i="4"/>
  <c r="T219" i="4"/>
  <c r="R219" i="4"/>
  <c r="Q219" i="4"/>
  <c r="M219" i="4"/>
  <c r="N219" i="4" s="1"/>
  <c r="G219" i="4"/>
  <c r="I219" i="4" s="1"/>
  <c r="B219" i="4"/>
  <c r="X218" i="4"/>
  <c r="W218" i="4"/>
  <c r="T218" i="4"/>
  <c r="R218" i="4"/>
  <c r="Q218" i="4"/>
  <c r="P218" i="4"/>
  <c r="O218" i="4"/>
  <c r="N218" i="4"/>
  <c r="G218" i="4"/>
  <c r="I218" i="4" s="1"/>
  <c r="B218" i="4"/>
  <c r="J218" i="4" s="1"/>
  <c r="X217" i="4"/>
  <c r="W217" i="4"/>
  <c r="T217" i="4"/>
  <c r="R217" i="4"/>
  <c r="Q217" i="4"/>
  <c r="M217" i="4"/>
  <c r="P217" i="4" s="1"/>
  <c r="G217" i="4"/>
  <c r="I217" i="4" s="1"/>
  <c r="B217" i="4"/>
  <c r="J217" i="4" s="1"/>
  <c r="K217" i="4" s="1"/>
  <c r="X216" i="4"/>
  <c r="W216" i="4"/>
  <c r="T216" i="4"/>
  <c r="R216" i="4"/>
  <c r="Q216" i="4"/>
  <c r="M216" i="4"/>
  <c r="P216" i="4" s="1"/>
  <c r="G216" i="4"/>
  <c r="I216" i="4" s="1"/>
  <c r="B216" i="4"/>
  <c r="J216" i="4" s="1"/>
  <c r="X215" i="4"/>
  <c r="W215" i="4"/>
  <c r="T215" i="4"/>
  <c r="R215" i="4"/>
  <c r="Q215" i="4"/>
  <c r="M215" i="4"/>
  <c r="G215" i="4"/>
  <c r="I215" i="4" s="1"/>
  <c r="B215" i="4"/>
  <c r="J215" i="4" s="1"/>
  <c r="X214" i="4"/>
  <c r="W214" i="4"/>
  <c r="T214" i="4"/>
  <c r="R214" i="4"/>
  <c r="Q214" i="4"/>
  <c r="M214" i="4"/>
  <c r="P214" i="4" s="1"/>
  <c r="G214" i="4"/>
  <c r="I214" i="4" s="1"/>
  <c r="B214" i="4"/>
  <c r="J214" i="4" s="1"/>
  <c r="X213" i="4"/>
  <c r="W213" i="4"/>
  <c r="T213" i="4"/>
  <c r="R213" i="4"/>
  <c r="Q213" i="4"/>
  <c r="P213" i="4"/>
  <c r="O213" i="4"/>
  <c r="N213" i="4"/>
  <c r="G213" i="4"/>
  <c r="I213" i="4" s="1"/>
  <c r="B213" i="4"/>
  <c r="J213" i="4" s="1"/>
  <c r="X212" i="4"/>
  <c r="W212" i="4"/>
  <c r="T212" i="4"/>
  <c r="R212" i="4"/>
  <c r="Q212" i="4"/>
  <c r="P212" i="4"/>
  <c r="O212" i="4"/>
  <c r="N212" i="4"/>
  <c r="G212" i="4"/>
  <c r="I212" i="4" s="1"/>
  <c r="B212" i="4"/>
  <c r="X211" i="4"/>
  <c r="W211" i="4"/>
  <c r="T211" i="4"/>
  <c r="R211" i="4"/>
  <c r="Q211" i="4"/>
  <c r="M211" i="4"/>
  <c r="N211" i="4" s="1"/>
  <c r="G211" i="4"/>
  <c r="I211" i="4" s="1"/>
  <c r="B211" i="4"/>
  <c r="X210" i="4"/>
  <c r="W210" i="4"/>
  <c r="T210" i="4"/>
  <c r="R210" i="4"/>
  <c r="Q210" i="4"/>
  <c r="M210" i="4"/>
  <c r="N210" i="4" s="1"/>
  <c r="G210" i="4"/>
  <c r="I210" i="4" s="1"/>
  <c r="B210" i="4"/>
  <c r="X209" i="4"/>
  <c r="W209" i="4"/>
  <c r="T209" i="4"/>
  <c r="R209" i="4"/>
  <c r="Q209" i="4"/>
  <c r="P209" i="4"/>
  <c r="O209" i="4"/>
  <c r="N209" i="4"/>
  <c r="G209" i="4"/>
  <c r="I209" i="4" s="1"/>
  <c r="B209" i="4"/>
  <c r="J209" i="4" s="1"/>
  <c r="X208" i="4"/>
  <c r="W208" i="4"/>
  <c r="T208" i="4"/>
  <c r="R208" i="4"/>
  <c r="Q208" i="4"/>
  <c r="M208" i="4"/>
  <c r="P208" i="4" s="1"/>
  <c r="G208" i="4"/>
  <c r="I208" i="4" s="1"/>
  <c r="B208" i="4"/>
  <c r="J208" i="4" s="1"/>
  <c r="X207" i="4"/>
  <c r="W207" i="4"/>
  <c r="T207" i="4"/>
  <c r="R207" i="4"/>
  <c r="Q207" i="4"/>
  <c r="M207" i="4"/>
  <c r="P207" i="4" s="1"/>
  <c r="G207" i="4"/>
  <c r="I207" i="4" s="1"/>
  <c r="B207" i="4"/>
  <c r="J207" i="4" s="1"/>
  <c r="X206" i="4"/>
  <c r="W206" i="4"/>
  <c r="T206" i="4"/>
  <c r="R206" i="4"/>
  <c r="Q206" i="4"/>
  <c r="M206" i="4"/>
  <c r="G206" i="4"/>
  <c r="I206" i="4" s="1"/>
  <c r="B206" i="4"/>
  <c r="X205" i="4"/>
  <c r="W205" i="4"/>
  <c r="T205" i="4"/>
  <c r="R205" i="4"/>
  <c r="Q205" i="4"/>
  <c r="M205" i="4"/>
  <c r="O205" i="4" s="1"/>
  <c r="G205" i="4"/>
  <c r="I205" i="4" s="1"/>
  <c r="B205" i="4"/>
  <c r="J205" i="4" s="1"/>
  <c r="X204" i="4"/>
  <c r="W204" i="4"/>
  <c r="T204" i="4"/>
  <c r="R204" i="4"/>
  <c r="Q204" i="4"/>
  <c r="M204" i="4"/>
  <c r="O204" i="4" s="1"/>
  <c r="G204" i="4"/>
  <c r="I204" i="4" s="1"/>
  <c r="B204" i="4"/>
  <c r="J204" i="4" s="1"/>
  <c r="X203" i="4"/>
  <c r="W203" i="4"/>
  <c r="T203" i="4"/>
  <c r="R203" i="4"/>
  <c r="Q203" i="4"/>
  <c r="M203" i="4"/>
  <c r="O203" i="4" s="1"/>
  <c r="G203" i="4"/>
  <c r="I203" i="4" s="1"/>
  <c r="B203" i="4"/>
  <c r="J203" i="4" s="1"/>
  <c r="X202" i="4"/>
  <c r="W202" i="4"/>
  <c r="T202" i="4"/>
  <c r="R202" i="4"/>
  <c r="Q202" i="4"/>
  <c r="P202" i="4"/>
  <c r="O202" i="4"/>
  <c r="N202" i="4"/>
  <c r="G202" i="4"/>
  <c r="I202" i="4" s="1"/>
  <c r="B202" i="4"/>
  <c r="J202" i="4" s="1"/>
  <c r="X201" i="4"/>
  <c r="W201" i="4"/>
  <c r="T201" i="4"/>
  <c r="R201" i="4"/>
  <c r="Q201" i="4"/>
  <c r="M201" i="4"/>
  <c r="P201" i="4" s="1"/>
  <c r="G201" i="4"/>
  <c r="I201" i="4" s="1"/>
  <c r="B201" i="4"/>
  <c r="X200" i="4"/>
  <c r="W200" i="4"/>
  <c r="T200" i="4"/>
  <c r="R200" i="4"/>
  <c r="Q200" i="4"/>
  <c r="M200" i="4"/>
  <c r="P200" i="4" s="1"/>
  <c r="G200" i="4"/>
  <c r="I200" i="4" s="1"/>
  <c r="B200" i="4"/>
  <c r="X199" i="4"/>
  <c r="W199" i="4"/>
  <c r="T199" i="4"/>
  <c r="R199" i="4"/>
  <c r="Q199" i="4"/>
  <c r="M199" i="4"/>
  <c r="P199" i="4" s="1"/>
  <c r="G199" i="4"/>
  <c r="I199" i="4" s="1"/>
  <c r="B199" i="4"/>
  <c r="X198" i="4"/>
  <c r="W198" i="4"/>
  <c r="T198" i="4"/>
  <c r="R198" i="4"/>
  <c r="Q198" i="4"/>
  <c r="P198" i="4"/>
  <c r="O198" i="4"/>
  <c r="N198" i="4"/>
  <c r="G198" i="4"/>
  <c r="I198" i="4" s="1"/>
  <c r="B198" i="4"/>
  <c r="J198" i="4" s="1"/>
  <c r="X197" i="4"/>
  <c r="W197" i="4"/>
  <c r="T197" i="4"/>
  <c r="R197" i="4"/>
  <c r="Q197" i="4"/>
  <c r="P197" i="4"/>
  <c r="O197" i="4"/>
  <c r="N197" i="4"/>
  <c r="G197" i="4"/>
  <c r="I197" i="4" s="1"/>
  <c r="B197" i="4"/>
  <c r="X196" i="4"/>
  <c r="W196" i="4"/>
  <c r="T196" i="4"/>
  <c r="R196" i="4"/>
  <c r="Q196" i="4"/>
  <c r="O196" i="4"/>
  <c r="M196" i="4"/>
  <c r="G196" i="4"/>
  <c r="I196" i="4" s="1"/>
  <c r="B196" i="4"/>
  <c r="X195" i="4"/>
  <c r="W195" i="4"/>
  <c r="T195" i="4"/>
  <c r="R195" i="4"/>
  <c r="Q195" i="4"/>
  <c r="M195" i="4"/>
  <c r="N195" i="4" s="1"/>
  <c r="G195" i="4"/>
  <c r="I195" i="4" s="1"/>
  <c r="B195" i="4"/>
  <c r="X194" i="4"/>
  <c r="W194" i="4"/>
  <c r="T194" i="4"/>
  <c r="R194" i="4"/>
  <c r="Q194" i="4"/>
  <c r="M194" i="4"/>
  <c r="N194" i="4" s="1"/>
  <c r="G194" i="4"/>
  <c r="I194" i="4" s="1"/>
  <c r="B194" i="4"/>
  <c r="X193" i="4"/>
  <c r="W193" i="4"/>
  <c r="T193" i="4"/>
  <c r="R193" i="4"/>
  <c r="Q193" i="4"/>
  <c r="M193" i="4"/>
  <c r="N193" i="4" s="1"/>
  <c r="G193" i="4"/>
  <c r="I193" i="4" s="1"/>
  <c r="B193" i="4"/>
  <c r="X192" i="4"/>
  <c r="W192" i="4"/>
  <c r="T192" i="4"/>
  <c r="R192" i="4"/>
  <c r="Q192" i="4"/>
  <c r="M192" i="4"/>
  <c r="N192" i="4" s="1"/>
  <c r="G192" i="4"/>
  <c r="I192" i="4" s="1"/>
  <c r="B192" i="4"/>
  <c r="X191" i="4"/>
  <c r="W191" i="4"/>
  <c r="T191" i="4"/>
  <c r="R191" i="4"/>
  <c r="Q191" i="4"/>
  <c r="M191" i="4"/>
  <c r="N191" i="4" s="1"/>
  <c r="G191" i="4"/>
  <c r="I191" i="4" s="1"/>
  <c r="B191" i="4"/>
  <c r="X190" i="4"/>
  <c r="W190" i="4"/>
  <c r="T190" i="4"/>
  <c r="R190" i="4"/>
  <c r="Q190" i="4"/>
  <c r="M190" i="4"/>
  <c r="N190" i="4" s="1"/>
  <c r="G190" i="4"/>
  <c r="I190" i="4" s="1"/>
  <c r="B190" i="4"/>
  <c r="X189" i="4"/>
  <c r="W189" i="4"/>
  <c r="T189" i="4"/>
  <c r="R189" i="4"/>
  <c r="Q189" i="4"/>
  <c r="M189" i="4"/>
  <c r="N189" i="4" s="1"/>
  <c r="G189" i="4"/>
  <c r="I189" i="4" s="1"/>
  <c r="B189" i="4"/>
  <c r="X188" i="4"/>
  <c r="W188" i="4"/>
  <c r="T188" i="4"/>
  <c r="R188" i="4"/>
  <c r="Q188" i="4"/>
  <c r="P188" i="4"/>
  <c r="O188" i="4"/>
  <c r="N188" i="4"/>
  <c r="G188" i="4"/>
  <c r="I188" i="4" s="1"/>
  <c r="B188" i="4"/>
  <c r="J188" i="4" s="1"/>
  <c r="X187" i="4"/>
  <c r="W187" i="4"/>
  <c r="T187" i="4"/>
  <c r="R187" i="4"/>
  <c r="Q187" i="4"/>
  <c r="P187" i="4"/>
  <c r="O187" i="4"/>
  <c r="N187" i="4"/>
  <c r="G187" i="4"/>
  <c r="I187" i="4" s="1"/>
  <c r="B187" i="4"/>
  <c r="J187" i="4" s="1"/>
  <c r="X186" i="4"/>
  <c r="W186" i="4"/>
  <c r="T186" i="4"/>
  <c r="R186" i="4"/>
  <c r="Q186" i="4"/>
  <c r="M186" i="4"/>
  <c r="G186" i="4"/>
  <c r="I186" i="4" s="1"/>
  <c r="B186" i="4"/>
  <c r="X185" i="4"/>
  <c r="W185" i="4"/>
  <c r="T185" i="4"/>
  <c r="R185" i="4"/>
  <c r="Q185" i="4"/>
  <c r="P185" i="4"/>
  <c r="O185" i="4"/>
  <c r="N185" i="4"/>
  <c r="G185" i="4"/>
  <c r="I185" i="4" s="1"/>
  <c r="B185" i="4"/>
  <c r="X184" i="4"/>
  <c r="W184" i="4"/>
  <c r="T184" i="4"/>
  <c r="R184" i="4"/>
  <c r="Q184" i="4"/>
  <c r="P184" i="4"/>
  <c r="O184" i="4"/>
  <c r="N184" i="4"/>
  <c r="G184" i="4"/>
  <c r="I184" i="4" s="1"/>
  <c r="B184" i="4"/>
  <c r="J184" i="4" s="1"/>
  <c r="X183" i="4"/>
  <c r="W183" i="4"/>
  <c r="T183" i="4"/>
  <c r="R183" i="4"/>
  <c r="Q183" i="4"/>
  <c r="P183" i="4"/>
  <c r="O183" i="4"/>
  <c r="N183" i="4"/>
  <c r="G183" i="4"/>
  <c r="I183" i="4" s="1"/>
  <c r="B183" i="4"/>
  <c r="J183" i="4" s="1"/>
  <c r="X182" i="4"/>
  <c r="W182" i="4"/>
  <c r="T182" i="4"/>
  <c r="R182" i="4"/>
  <c r="Q182" i="4"/>
  <c r="P182" i="4"/>
  <c r="O182" i="4"/>
  <c r="N182" i="4"/>
  <c r="G182" i="4"/>
  <c r="I182" i="4" s="1"/>
  <c r="B182" i="4"/>
  <c r="J182" i="4" s="1"/>
  <c r="X181" i="4"/>
  <c r="W181" i="4"/>
  <c r="T181" i="4"/>
  <c r="R181" i="4"/>
  <c r="Q181" i="4"/>
  <c r="M181" i="4"/>
  <c r="P181" i="4" s="1"/>
  <c r="G181" i="4"/>
  <c r="I181" i="4" s="1"/>
  <c r="B181" i="4"/>
  <c r="X180" i="4"/>
  <c r="W180" i="4"/>
  <c r="T180" i="4"/>
  <c r="R180" i="4"/>
  <c r="Q180" i="4"/>
  <c r="M180" i="4"/>
  <c r="G180" i="4"/>
  <c r="I180" i="4" s="1"/>
  <c r="B180" i="4"/>
  <c r="X179" i="4"/>
  <c r="W179" i="4"/>
  <c r="T179" i="4"/>
  <c r="R179" i="4"/>
  <c r="Q179" i="4"/>
  <c r="M179" i="4"/>
  <c r="O179" i="4" s="1"/>
  <c r="G179" i="4"/>
  <c r="I179" i="4" s="1"/>
  <c r="B179" i="4"/>
  <c r="X178" i="4"/>
  <c r="W178" i="4"/>
  <c r="T178" i="4"/>
  <c r="R178" i="4"/>
  <c r="Q178" i="4"/>
  <c r="M178" i="4"/>
  <c r="N178" i="4" s="1"/>
  <c r="G178" i="4"/>
  <c r="I178" i="4" s="1"/>
  <c r="B178" i="4"/>
  <c r="X177" i="4"/>
  <c r="W177" i="4"/>
  <c r="T177" i="4"/>
  <c r="R177" i="4"/>
  <c r="Q177" i="4"/>
  <c r="M177" i="4"/>
  <c r="P177" i="4" s="1"/>
  <c r="G177" i="4"/>
  <c r="I177" i="4" s="1"/>
  <c r="B177" i="4"/>
  <c r="X176" i="4"/>
  <c r="W176" i="4"/>
  <c r="T176" i="4"/>
  <c r="R176" i="4"/>
  <c r="Q176" i="4"/>
  <c r="M176" i="4"/>
  <c r="O176" i="4" s="1"/>
  <c r="G176" i="4"/>
  <c r="I176" i="4" s="1"/>
  <c r="B176" i="4"/>
  <c r="X175" i="4"/>
  <c r="W175" i="4"/>
  <c r="T175" i="4"/>
  <c r="R175" i="4"/>
  <c r="Q175" i="4"/>
  <c r="M175" i="4"/>
  <c r="O175" i="4" s="1"/>
  <c r="G175" i="4"/>
  <c r="I175" i="4" s="1"/>
  <c r="B175" i="4"/>
  <c r="X174" i="4"/>
  <c r="W174" i="4"/>
  <c r="T174" i="4"/>
  <c r="R174" i="4"/>
  <c r="Q174" i="4"/>
  <c r="M174" i="4"/>
  <c r="N174" i="4" s="1"/>
  <c r="G174" i="4"/>
  <c r="I174" i="4" s="1"/>
  <c r="B174" i="4"/>
  <c r="X173" i="4"/>
  <c r="W173" i="4"/>
  <c r="T173" i="4"/>
  <c r="R173" i="4"/>
  <c r="Q173" i="4"/>
  <c r="M173" i="4"/>
  <c r="G173" i="4"/>
  <c r="I173" i="4" s="1"/>
  <c r="B173" i="4"/>
  <c r="X172" i="4"/>
  <c r="W172" i="4"/>
  <c r="T172" i="4"/>
  <c r="R172" i="4"/>
  <c r="Q172" i="4"/>
  <c r="M172" i="4"/>
  <c r="O172" i="4" s="1"/>
  <c r="G172" i="4"/>
  <c r="I172" i="4" s="1"/>
  <c r="B172" i="4"/>
  <c r="X171" i="4"/>
  <c r="W171" i="4"/>
  <c r="T171" i="4"/>
  <c r="R171" i="4"/>
  <c r="Q171" i="4"/>
  <c r="P171" i="4"/>
  <c r="O171" i="4"/>
  <c r="N171" i="4"/>
  <c r="G171" i="4"/>
  <c r="I171" i="4" s="1"/>
  <c r="B171" i="4"/>
  <c r="X170" i="4"/>
  <c r="W170" i="4"/>
  <c r="T170" i="4"/>
  <c r="R170" i="4"/>
  <c r="Q170" i="4"/>
  <c r="P170" i="4"/>
  <c r="O170" i="4"/>
  <c r="N170" i="4"/>
  <c r="G170" i="4"/>
  <c r="I170" i="4" s="1"/>
  <c r="B170" i="4"/>
  <c r="J170" i="4" s="1"/>
  <c r="X169" i="4"/>
  <c r="W169" i="4"/>
  <c r="T169" i="4"/>
  <c r="R169" i="4"/>
  <c r="Q169" i="4"/>
  <c r="P169" i="4"/>
  <c r="O169" i="4"/>
  <c r="N169" i="4"/>
  <c r="G169" i="4"/>
  <c r="I169" i="4" s="1"/>
  <c r="B169" i="4"/>
  <c r="J169" i="4" s="1"/>
  <c r="X168" i="4"/>
  <c r="W168" i="4"/>
  <c r="T168" i="4"/>
  <c r="R168" i="4"/>
  <c r="Q168" i="4"/>
  <c r="M168" i="4"/>
  <c r="G168" i="4"/>
  <c r="I168" i="4" s="1"/>
  <c r="B168" i="4"/>
  <c r="X167" i="4"/>
  <c r="W167" i="4"/>
  <c r="T167" i="4"/>
  <c r="R167" i="4"/>
  <c r="Q167" i="4"/>
  <c r="P167" i="4"/>
  <c r="O167" i="4"/>
  <c r="N167" i="4"/>
  <c r="G167" i="4"/>
  <c r="I167" i="4" s="1"/>
  <c r="B167" i="4"/>
  <c r="J167" i="4" s="1"/>
  <c r="X166" i="4"/>
  <c r="W166" i="4"/>
  <c r="T166" i="4"/>
  <c r="R166" i="4"/>
  <c r="Q166" i="4"/>
  <c r="M166" i="4"/>
  <c r="N166" i="4" s="1"/>
  <c r="G166" i="4"/>
  <c r="I166" i="4" s="1"/>
  <c r="B166" i="4"/>
  <c r="X165" i="4"/>
  <c r="W165" i="4"/>
  <c r="T165" i="4"/>
  <c r="R165" i="4"/>
  <c r="Q165" i="4"/>
  <c r="P165" i="4"/>
  <c r="O165" i="4"/>
  <c r="N165" i="4"/>
  <c r="G165" i="4"/>
  <c r="I165" i="4" s="1"/>
  <c r="B165" i="4"/>
  <c r="J165" i="4" s="1"/>
  <c r="X164" i="4"/>
  <c r="W164" i="4"/>
  <c r="T164" i="4"/>
  <c r="R164" i="4"/>
  <c r="Q164" i="4"/>
  <c r="M164" i="4"/>
  <c r="O164" i="4" s="1"/>
  <c r="G164" i="4"/>
  <c r="I164" i="4" s="1"/>
  <c r="B164" i="4"/>
  <c r="J164" i="4" s="1"/>
  <c r="X163" i="4"/>
  <c r="W163" i="4"/>
  <c r="T163" i="4"/>
  <c r="R163" i="4"/>
  <c r="Q163" i="4"/>
  <c r="P163" i="4"/>
  <c r="O163" i="4"/>
  <c r="N163" i="4"/>
  <c r="G163" i="4"/>
  <c r="I163" i="4" s="1"/>
  <c r="B163" i="4"/>
  <c r="J163" i="4" s="1"/>
  <c r="X162" i="4"/>
  <c r="W162" i="4"/>
  <c r="T162" i="4"/>
  <c r="R162" i="4"/>
  <c r="Q162" i="4"/>
  <c r="M162" i="4"/>
  <c r="P162" i="4" s="1"/>
  <c r="G162" i="4"/>
  <c r="I162" i="4" s="1"/>
  <c r="B162" i="4"/>
  <c r="J162" i="4" s="1"/>
  <c r="X161" i="4"/>
  <c r="W161" i="4"/>
  <c r="T161" i="4"/>
  <c r="R161" i="4"/>
  <c r="Q161" i="4"/>
  <c r="M161" i="4"/>
  <c r="G161" i="4"/>
  <c r="I161" i="4" s="1"/>
  <c r="B161" i="4"/>
  <c r="X160" i="4"/>
  <c r="W160" i="4"/>
  <c r="T160" i="4"/>
  <c r="R160" i="4"/>
  <c r="Q160" i="4"/>
  <c r="P160" i="4"/>
  <c r="O160" i="4"/>
  <c r="N160" i="4"/>
  <c r="G160" i="4"/>
  <c r="I160" i="4" s="1"/>
  <c r="B160" i="4"/>
  <c r="J160" i="4" s="1"/>
  <c r="X159" i="4"/>
  <c r="W159" i="4"/>
  <c r="T159" i="4"/>
  <c r="R159" i="4"/>
  <c r="Q159" i="4"/>
  <c r="P159" i="4"/>
  <c r="O159" i="4"/>
  <c r="N159" i="4"/>
  <c r="G159" i="4"/>
  <c r="I159" i="4" s="1"/>
  <c r="B159" i="4"/>
  <c r="J159" i="4" s="1"/>
  <c r="X158" i="4"/>
  <c r="W158" i="4"/>
  <c r="T158" i="4"/>
  <c r="R158" i="4"/>
  <c r="Q158" i="4"/>
  <c r="M158" i="4"/>
  <c r="O158" i="4" s="1"/>
  <c r="G158" i="4"/>
  <c r="I158" i="4" s="1"/>
  <c r="B158" i="4"/>
  <c r="X157" i="4"/>
  <c r="W157" i="4"/>
  <c r="T157" i="4"/>
  <c r="R157" i="4"/>
  <c r="Q157" i="4"/>
  <c r="P157" i="4"/>
  <c r="O157" i="4"/>
  <c r="N157" i="4"/>
  <c r="G157" i="4"/>
  <c r="I157" i="4" s="1"/>
  <c r="B157" i="4"/>
  <c r="J157" i="4" s="1"/>
  <c r="X156" i="4"/>
  <c r="W156" i="4"/>
  <c r="T156" i="4"/>
  <c r="R156" i="4"/>
  <c r="Q156" i="4"/>
  <c r="M156" i="4"/>
  <c r="N156" i="4" s="1"/>
  <c r="G156" i="4"/>
  <c r="I156" i="4" s="1"/>
  <c r="B156" i="4"/>
  <c r="J156" i="4" s="1"/>
  <c r="X155" i="4"/>
  <c r="W155" i="4"/>
  <c r="T155" i="4"/>
  <c r="R155" i="4"/>
  <c r="Q155" i="4"/>
  <c r="P155" i="4"/>
  <c r="O155" i="4"/>
  <c r="N155" i="4"/>
  <c r="G155" i="4"/>
  <c r="I155" i="4" s="1"/>
  <c r="B155" i="4"/>
  <c r="J155" i="4" s="1"/>
  <c r="X154" i="4"/>
  <c r="W154" i="4"/>
  <c r="T154" i="4"/>
  <c r="R154" i="4"/>
  <c r="Q154" i="4"/>
  <c r="P154" i="4"/>
  <c r="O154" i="4"/>
  <c r="N154" i="4"/>
  <c r="G154" i="4"/>
  <c r="I154" i="4" s="1"/>
  <c r="B154" i="4"/>
  <c r="J154" i="4" s="1"/>
  <c r="X153" i="4"/>
  <c r="W153" i="4"/>
  <c r="T153" i="4"/>
  <c r="R153" i="4"/>
  <c r="Q153" i="4"/>
  <c r="P153" i="4"/>
  <c r="O153" i="4"/>
  <c r="N153" i="4"/>
  <c r="G153" i="4"/>
  <c r="I153" i="4" s="1"/>
  <c r="B153" i="4"/>
  <c r="J153" i="4" s="1"/>
  <c r="X152" i="4"/>
  <c r="W152" i="4"/>
  <c r="T152" i="4"/>
  <c r="R152" i="4"/>
  <c r="Q152" i="4"/>
  <c r="M152" i="4"/>
  <c r="O152" i="4" s="1"/>
  <c r="G152" i="4"/>
  <c r="I152" i="4" s="1"/>
  <c r="B152" i="4"/>
  <c r="X151" i="4"/>
  <c r="W151" i="4"/>
  <c r="T151" i="4"/>
  <c r="R151" i="4"/>
  <c r="Q151" i="4"/>
  <c r="P151" i="4"/>
  <c r="O151" i="4"/>
  <c r="N151" i="4"/>
  <c r="G151" i="4"/>
  <c r="I151" i="4" s="1"/>
  <c r="B151" i="4"/>
  <c r="X150" i="4"/>
  <c r="W150" i="4"/>
  <c r="T150" i="4"/>
  <c r="R150" i="4"/>
  <c r="Q150" i="4"/>
  <c r="P150" i="4"/>
  <c r="O150" i="4"/>
  <c r="N150" i="4"/>
  <c r="G150" i="4"/>
  <c r="I150" i="4" s="1"/>
  <c r="B150" i="4"/>
  <c r="J150" i="4" s="1"/>
  <c r="X149" i="4"/>
  <c r="W149" i="4"/>
  <c r="T149" i="4"/>
  <c r="R149" i="4"/>
  <c r="Q149" i="4"/>
  <c r="P149" i="4"/>
  <c r="O149" i="4"/>
  <c r="N149" i="4"/>
  <c r="G149" i="4"/>
  <c r="I149" i="4" s="1"/>
  <c r="B149" i="4"/>
  <c r="J149" i="4" s="1"/>
  <c r="X148" i="4"/>
  <c r="W148" i="4"/>
  <c r="T148" i="4"/>
  <c r="R148" i="4"/>
  <c r="Q148" i="4"/>
  <c r="P148" i="4"/>
  <c r="O148" i="4"/>
  <c r="N148" i="4"/>
  <c r="G148" i="4"/>
  <c r="I148" i="4" s="1"/>
  <c r="B148" i="4"/>
  <c r="J148" i="4" s="1"/>
  <c r="X147" i="4"/>
  <c r="W147" i="4"/>
  <c r="T147" i="4"/>
  <c r="R147" i="4"/>
  <c r="Q147" i="4"/>
  <c r="M147" i="4"/>
  <c r="P147" i="4" s="1"/>
  <c r="G147" i="4"/>
  <c r="I147" i="4" s="1"/>
  <c r="B147" i="4"/>
  <c r="J147" i="4" s="1"/>
  <c r="X146" i="4"/>
  <c r="W146" i="4"/>
  <c r="T146" i="4"/>
  <c r="R146" i="4"/>
  <c r="Q146" i="4"/>
  <c r="M146" i="4"/>
  <c r="O146" i="4" s="1"/>
  <c r="G146" i="4"/>
  <c r="I146" i="4" s="1"/>
  <c r="B146" i="4"/>
  <c r="J146" i="4" s="1"/>
  <c r="X145" i="4"/>
  <c r="W145" i="4"/>
  <c r="T145" i="4"/>
  <c r="R145" i="4"/>
  <c r="Q145" i="4"/>
  <c r="P145" i="4"/>
  <c r="O145" i="4"/>
  <c r="N145" i="4"/>
  <c r="G145" i="4"/>
  <c r="I145" i="4" s="1"/>
  <c r="B145" i="4"/>
  <c r="J145" i="4" s="1"/>
  <c r="X144" i="4"/>
  <c r="W144" i="4"/>
  <c r="T144" i="4"/>
  <c r="R144" i="4"/>
  <c r="Q144" i="4"/>
  <c r="M144" i="4"/>
  <c r="O144" i="4" s="1"/>
  <c r="G144" i="4"/>
  <c r="I144" i="4" s="1"/>
  <c r="B144" i="4"/>
  <c r="J144" i="4" s="1"/>
  <c r="X143" i="4"/>
  <c r="W143" i="4"/>
  <c r="T143" i="4"/>
  <c r="R143" i="4"/>
  <c r="Q143" i="4"/>
  <c r="M143" i="4"/>
  <c r="P143" i="4" s="1"/>
  <c r="G143" i="4"/>
  <c r="I143" i="4" s="1"/>
  <c r="B143" i="4"/>
  <c r="J143" i="4" s="1"/>
  <c r="X142" i="4"/>
  <c r="W142" i="4"/>
  <c r="T142" i="4"/>
  <c r="R142" i="4"/>
  <c r="Q142" i="4"/>
  <c r="P142" i="4"/>
  <c r="O142" i="4"/>
  <c r="N142" i="4"/>
  <c r="G142" i="4"/>
  <c r="I142" i="4" s="1"/>
  <c r="B142" i="4"/>
  <c r="J142" i="4" s="1"/>
  <c r="X141" i="4"/>
  <c r="W141" i="4"/>
  <c r="T141" i="4"/>
  <c r="R141" i="4"/>
  <c r="Q141" i="4"/>
  <c r="M141" i="4"/>
  <c r="P141" i="4" s="1"/>
  <c r="G141" i="4"/>
  <c r="I141" i="4" s="1"/>
  <c r="B141" i="4"/>
  <c r="J141" i="4" s="1"/>
  <c r="X140" i="4"/>
  <c r="W140" i="4"/>
  <c r="T140" i="4"/>
  <c r="R140" i="4"/>
  <c r="Q140" i="4"/>
  <c r="P140" i="4"/>
  <c r="O140" i="4"/>
  <c r="N140" i="4"/>
  <c r="G140" i="4"/>
  <c r="I140" i="4" s="1"/>
  <c r="B140" i="4"/>
  <c r="J140" i="4" s="1"/>
  <c r="X139" i="4"/>
  <c r="W139" i="4"/>
  <c r="T139" i="4"/>
  <c r="R139" i="4"/>
  <c r="Q139" i="4"/>
  <c r="P139" i="4"/>
  <c r="O139" i="4"/>
  <c r="N139" i="4"/>
  <c r="G139" i="4"/>
  <c r="I139" i="4" s="1"/>
  <c r="B139" i="4"/>
  <c r="J139" i="4" s="1"/>
  <c r="X138" i="4"/>
  <c r="W138" i="4"/>
  <c r="T138" i="4"/>
  <c r="R138" i="4"/>
  <c r="Q138" i="4"/>
  <c r="M138" i="4"/>
  <c r="G138" i="4"/>
  <c r="I138" i="4" s="1"/>
  <c r="B138" i="4"/>
  <c r="J138" i="4" s="1"/>
  <c r="X137" i="4"/>
  <c r="W137" i="4"/>
  <c r="T137" i="4"/>
  <c r="R137" i="4"/>
  <c r="Q137" i="4"/>
  <c r="M137" i="4"/>
  <c r="O137" i="4" s="1"/>
  <c r="G137" i="4"/>
  <c r="I137" i="4" s="1"/>
  <c r="B137" i="4"/>
  <c r="J137" i="4" s="1"/>
  <c r="X136" i="4"/>
  <c r="W136" i="4"/>
  <c r="T136" i="4"/>
  <c r="R136" i="4"/>
  <c r="Q136" i="4"/>
  <c r="M136" i="4"/>
  <c r="P136" i="4" s="1"/>
  <c r="G136" i="4"/>
  <c r="I136" i="4" s="1"/>
  <c r="B136" i="4"/>
  <c r="J136" i="4" s="1"/>
  <c r="X135" i="4"/>
  <c r="W135" i="4"/>
  <c r="T135" i="4"/>
  <c r="R135" i="4"/>
  <c r="Q135" i="4"/>
  <c r="M135" i="4"/>
  <c r="P135" i="4" s="1"/>
  <c r="G135" i="4"/>
  <c r="I135" i="4" s="1"/>
  <c r="B135" i="4"/>
  <c r="J135" i="4" s="1"/>
  <c r="X134" i="4"/>
  <c r="W134" i="4"/>
  <c r="T134" i="4"/>
  <c r="R134" i="4"/>
  <c r="Q134" i="4"/>
  <c r="M134" i="4"/>
  <c r="P134" i="4" s="1"/>
  <c r="G134" i="4"/>
  <c r="I134" i="4" s="1"/>
  <c r="B134" i="4"/>
  <c r="J134" i="4" s="1"/>
  <c r="X133" i="4"/>
  <c r="W133" i="4"/>
  <c r="T133" i="4"/>
  <c r="R133" i="4"/>
  <c r="Q133" i="4"/>
  <c r="M133" i="4"/>
  <c r="G133" i="4"/>
  <c r="I133" i="4" s="1"/>
  <c r="B133" i="4"/>
  <c r="X132" i="4"/>
  <c r="W132" i="4"/>
  <c r="T132" i="4"/>
  <c r="R132" i="4"/>
  <c r="Q132" i="4"/>
  <c r="M132" i="4"/>
  <c r="P132" i="4" s="1"/>
  <c r="G132" i="4"/>
  <c r="I132" i="4" s="1"/>
  <c r="B132" i="4"/>
  <c r="J132" i="4" s="1"/>
  <c r="X131" i="4"/>
  <c r="W131" i="4"/>
  <c r="T131" i="4"/>
  <c r="R131" i="4"/>
  <c r="Q131" i="4"/>
  <c r="P131" i="4"/>
  <c r="O131" i="4"/>
  <c r="N131" i="4"/>
  <c r="G131" i="4"/>
  <c r="I131" i="4" s="1"/>
  <c r="B131" i="4"/>
  <c r="J131" i="4" s="1"/>
  <c r="X130" i="4"/>
  <c r="W130" i="4"/>
  <c r="T130" i="4"/>
  <c r="R130" i="4"/>
  <c r="Q130" i="4"/>
  <c r="M130" i="4"/>
  <c r="G130" i="4"/>
  <c r="I130" i="4" s="1"/>
  <c r="B130" i="4"/>
  <c r="J130" i="4" s="1"/>
  <c r="X129" i="4"/>
  <c r="W129" i="4"/>
  <c r="T129" i="4"/>
  <c r="R129" i="4"/>
  <c r="Q129" i="4"/>
  <c r="M129" i="4"/>
  <c r="P129" i="4" s="1"/>
  <c r="G129" i="4"/>
  <c r="I129" i="4" s="1"/>
  <c r="B129" i="4"/>
  <c r="J129" i="4" s="1"/>
  <c r="X128" i="4"/>
  <c r="W128" i="4"/>
  <c r="T128" i="4"/>
  <c r="R128" i="4"/>
  <c r="Q128" i="4"/>
  <c r="M128" i="4"/>
  <c r="P128" i="4" s="1"/>
  <c r="G128" i="4"/>
  <c r="I128" i="4" s="1"/>
  <c r="B128" i="4"/>
  <c r="J128" i="4" s="1"/>
  <c r="X127" i="4"/>
  <c r="W127" i="4"/>
  <c r="T127" i="4"/>
  <c r="R127" i="4"/>
  <c r="Q127" i="4"/>
  <c r="P127" i="4"/>
  <c r="O127" i="4"/>
  <c r="N127" i="4"/>
  <c r="G127" i="4"/>
  <c r="I127" i="4" s="1"/>
  <c r="B127" i="4"/>
  <c r="J127" i="4" s="1"/>
  <c r="X126" i="4"/>
  <c r="W126" i="4"/>
  <c r="T126" i="4"/>
  <c r="R126" i="4"/>
  <c r="Q126" i="4"/>
  <c r="P126" i="4"/>
  <c r="O126" i="4"/>
  <c r="N126" i="4"/>
  <c r="G126" i="4"/>
  <c r="I126" i="4" s="1"/>
  <c r="B126" i="4"/>
  <c r="J126" i="4" s="1"/>
  <c r="X125" i="4"/>
  <c r="W125" i="4"/>
  <c r="T125" i="4"/>
  <c r="R125" i="4"/>
  <c r="Q125" i="4"/>
  <c r="M125" i="4"/>
  <c r="P125" i="4" s="1"/>
  <c r="G125" i="4"/>
  <c r="I125" i="4" s="1"/>
  <c r="B125" i="4"/>
  <c r="J125" i="4" s="1"/>
  <c r="X124" i="4"/>
  <c r="W124" i="4"/>
  <c r="T124" i="4"/>
  <c r="R124" i="4"/>
  <c r="Q124" i="4"/>
  <c r="M124" i="4"/>
  <c r="O124" i="4" s="1"/>
  <c r="G124" i="4"/>
  <c r="I124" i="4" s="1"/>
  <c r="B124" i="4"/>
  <c r="X123" i="4"/>
  <c r="W123" i="4"/>
  <c r="T123" i="4"/>
  <c r="R123" i="4"/>
  <c r="Q123" i="4"/>
  <c r="P123" i="4"/>
  <c r="O123" i="4"/>
  <c r="N123" i="4"/>
  <c r="G123" i="4"/>
  <c r="I123" i="4" s="1"/>
  <c r="B123" i="4"/>
  <c r="J123" i="4" s="1"/>
  <c r="X122" i="4"/>
  <c r="W122" i="4"/>
  <c r="T122" i="4"/>
  <c r="R122" i="4"/>
  <c r="Q122" i="4"/>
  <c r="P122" i="4"/>
  <c r="O122" i="4"/>
  <c r="N122" i="4"/>
  <c r="G122" i="4"/>
  <c r="I122" i="4" s="1"/>
  <c r="B122" i="4"/>
  <c r="J122" i="4" s="1"/>
  <c r="X121" i="4"/>
  <c r="W121" i="4"/>
  <c r="T121" i="4"/>
  <c r="R121" i="4"/>
  <c r="Q121" i="4"/>
  <c r="M121" i="4"/>
  <c r="G121" i="4"/>
  <c r="I121" i="4" s="1"/>
  <c r="B121" i="4"/>
  <c r="J121" i="4" s="1"/>
  <c r="X120" i="4"/>
  <c r="W120" i="4"/>
  <c r="T120" i="4"/>
  <c r="R120" i="4"/>
  <c r="Q120" i="4"/>
  <c r="M120" i="4"/>
  <c r="G120" i="4"/>
  <c r="I120" i="4" s="1"/>
  <c r="B120" i="4"/>
  <c r="J120" i="4" s="1"/>
  <c r="X119" i="4"/>
  <c r="W119" i="4"/>
  <c r="T119" i="4"/>
  <c r="R119" i="4"/>
  <c r="Q119" i="4"/>
  <c r="P119" i="4"/>
  <c r="O119" i="4"/>
  <c r="N119" i="4"/>
  <c r="G119" i="4"/>
  <c r="I119" i="4" s="1"/>
  <c r="B119" i="4"/>
  <c r="J119" i="4" s="1"/>
  <c r="X118" i="4"/>
  <c r="W118" i="4"/>
  <c r="T118" i="4"/>
  <c r="R118" i="4"/>
  <c r="Q118" i="4"/>
  <c r="M118" i="4"/>
  <c r="O118" i="4" s="1"/>
  <c r="G118" i="4"/>
  <c r="I118" i="4" s="1"/>
  <c r="B118" i="4"/>
  <c r="J118" i="4" s="1"/>
  <c r="X117" i="4"/>
  <c r="W117" i="4"/>
  <c r="T117" i="4"/>
  <c r="R117" i="4"/>
  <c r="Q117" i="4"/>
  <c r="P117" i="4"/>
  <c r="O117" i="4"/>
  <c r="N117" i="4"/>
  <c r="G117" i="4"/>
  <c r="I117" i="4" s="1"/>
  <c r="B117" i="4"/>
  <c r="J117" i="4" s="1"/>
  <c r="X116" i="4"/>
  <c r="W116" i="4"/>
  <c r="T116" i="4"/>
  <c r="R116" i="4"/>
  <c r="Q116" i="4"/>
  <c r="M116" i="4"/>
  <c r="G116" i="4"/>
  <c r="I116" i="4" s="1"/>
  <c r="B116" i="4"/>
  <c r="J116" i="4" s="1"/>
  <c r="X115" i="4"/>
  <c r="W115" i="4"/>
  <c r="T115" i="4"/>
  <c r="R115" i="4"/>
  <c r="Q115" i="4"/>
  <c r="M115" i="4"/>
  <c r="G115" i="4"/>
  <c r="I115" i="4" s="1"/>
  <c r="B115" i="4"/>
  <c r="J115" i="4" s="1"/>
  <c r="X114" i="4"/>
  <c r="W114" i="4"/>
  <c r="T114" i="4"/>
  <c r="R114" i="4"/>
  <c r="Q114" i="4"/>
  <c r="P114" i="4"/>
  <c r="O114" i="4"/>
  <c r="N114" i="4"/>
  <c r="G114" i="4"/>
  <c r="I114" i="4" s="1"/>
  <c r="B114" i="4"/>
  <c r="J114" i="4" s="1"/>
  <c r="X113" i="4"/>
  <c r="W113" i="4"/>
  <c r="T113" i="4"/>
  <c r="R113" i="4"/>
  <c r="Q113" i="4"/>
  <c r="M113" i="4"/>
  <c r="G113" i="4"/>
  <c r="I113" i="4" s="1"/>
  <c r="B113" i="4"/>
  <c r="X112" i="4"/>
  <c r="W112" i="4"/>
  <c r="T112" i="4"/>
  <c r="R112" i="4"/>
  <c r="Q112" i="4"/>
  <c r="M112" i="4"/>
  <c r="N112" i="4" s="1"/>
  <c r="G112" i="4"/>
  <c r="I112" i="4" s="1"/>
  <c r="B112" i="4"/>
  <c r="J112" i="4" s="1"/>
  <c r="X111" i="4"/>
  <c r="W111" i="4"/>
  <c r="T111" i="4"/>
  <c r="R111" i="4"/>
  <c r="Q111" i="4"/>
  <c r="M111" i="4"/>
  <c r="P111" i="4" s="1"/>
  <c r="G111" i="4"/>
  <c r="I111" i="4" s="1"/>
  <c r="B111" i="4"/>
  <c r="X110" i="4"/>
  <c r="W110" i="4"/>
  <c r="T110" i="4"/>
  <c r="R110" i="4"/>
  <c r="Q110" i="4"/>
  <c r="M110" i="4"/>
  <c r="O110" i="4" s="1"/>
  <c r="G110" i="4"/>
  <c r="I110" i="4" s="1"/>
  <c r="B110" i="4"/>
  <c r="J110" i="4" s="1"/>
  <c r="X109" i="4"/>
  <c r="W109" i="4"/>
  <c r="T109" i="4"/>
  <c r="R109" i="4"/>
  <c r="Q109" i="4"/>
  <c r="M109" i="4"/>
  <c r="P109" i="4" s="1"/>
  <c r="G109" i="4"/>
  <c r="I109" i="4" s="1"/>
  <c r="B109" i="4"/>
  <c r="J109" i="4" s="1"/>
  <c r="X108" i="4"/>
  <c r="W108" i="4"/>
  <c r="T108" i="4"/>
  <c r="R108" i="4"/>
  <c r="Q108" i="4"/>
  <c r="P108" i="4"/>
  <c r="O108" i="4"/>
  <c r="N108" i="4"/>
  <c r="G108" i="4"/>
  <c r="I108" i="4" s="1"/>
  <c r="B108" i="4"/>
  <c r="X107" i="4"/>
  <c r="W107" i="4"/>
  <c r="T107" i="4"/>
  <c r="R107" i="4"/>
  <c r="Q107" i="4"/>
  <c r="M107" i="4"/>
  <c r="N107" i="4" s="1"/>
  <c r="G107" i="4"/>
  <c r="I107" i="4" s="1"/>
  <c r="B107" i="4"/>
  <c r="J107" i="4" s="1"/>
  <c r="X106" i="4"/>
  <c r="W106" i="4"/>
  <c r="T106" i="4"/>
  <c r="R106" i="4"/>
  <c r="Q106" i="4"/>
  <c r="M106" i="4"/>
  <c r="O106" i="4" s="1"/>
  <c r="G106" i="4"/>
  <c r="I106" i="4" s="1"/>
  <c r="B106" i="4"/>
  <c r="J106" i="4" s="1"/>
  <c r="X105" i="4"/>
  <c r="W105" i="4"/>
  <c r="T105" i="4"/>
  <c r="R105" i="4"/>
  <c r="Q105" i="4"/>
  <c r="P105" i="4"/>
  <c r="O105" i="4"/>
  <c r="N105" i="4"/>
  <c r="G105" i="4"/>
  <c r="I105" i="4" s="1"/>
  <c r="B105" i="4"/>
  <c r="J105" i="4" s="1"/>
  <c r="X104" i="4"/>
  <c r="W104" i="4"/>
  <c r="T104" i="4"/>
  <c r="R104" i="4"/>
  <c r="Q104" i="4"/>
  <c r="P104" i="4"/>
  <c r="O104" i="4"/>
  <c r="N104" i="4"/>
  <c r="G104" i="4"/>
  <c r="I104" i="4" s="1"/>
  <c r="B104" i="4"/>
  <c r="J104" i="4" s="1"/>
  <c r="X103" i="4"/>
  <c r="W103" i="4"/>
  <c r="T103" i="4"/>
  <c r="R103" i="4"/>
  <c r="Q103" i="4"/>
  <c r="P103" i="4"/>
  <c r="O103" i="4"/>
  <c r="N103" i="4"/>
  <c r="G103" i="4"/>
  <c r="I103" i="4" s="1"/>
  <c r="B103" i="4"/>
  <c r="J103" i="4" s="1"/>
  <c r="X102" i="4"/>
  <c r="W102" i="4"/>
  <c r="T102" i="4"/>
  <c r="R102" i="4"/>
  <c r="Q102" i="4"/>
  <c r="P102" i="4"/>
  <c r="O102" i="4"/>
  <c r="N102" i="4"/>
  <c r="G102" i="4"/>
  <c r="I102" i="4" s="1"/>
  <c r="B102" i="4"/>
  <c r="J102" i="4" s="1"/>
  <c r="X101" i="4"/>
  <c r="W101" i="4"/>
  <c r="T101" i="4"/>
  <c r="R101" i="4"/>
  <c r="Q101" i="4"/>
  <c r="M101" i="4"/>
  <c r="P101" i="4" s="1"/>
  <c r="G101" i="4"/>
  <c r="I101" i="4" s="1"/>
  <c r="B101" i="4"/>
  <c r="J101" i="4" s="1"/>
  <c r="X100" i="4"/>
  <c r="W100" i="4"/>
  <c r="T100" i="4"/>
  <c r="R100" i="4"/>
  <c r="Q100" i="4"/>
  <c r="P100" i="4"/>
  <c r="O100" i="4"/>
  <c r="N100" i="4"/>
  <c r="G100" i="4"/>
  <c r="I100" i="4" s="1"/>
  <c r="B100" i="4"/>
  <c r="J100" i="4" s="1"/>
  <c r="X99" i="4"/>
  <c r="W99" i="4"/>
  <c r="T99" i="4"/>
  <c r="R99" i="4"/>
  <c r="Q99" i="4"/>
  <c r="P99" i="4"/>
  <c r="O99" i="4"/>
  <c r="N99" i="4"/>
  <c r="G99" i="4"/>
  <c r="I99" i="4" s="1"/>
  <c r="B99" i="4"/>
  <c r="J99" i="4" s="1"/>
  <c r="X98" i="4"/>
  <c r="W98" i="4"/>
  <c r="T98" i="4"/>
  <c r="R98" i="4"/>
  <c r="Q98" i="4"/>
  <c r="M98" i="4"/>
  <c r="N98" i="4" s="1"/>
  <c r="G98" i="4"/>
  <c r="I98" i="4" s="1"/>
  <c r="B98" i="4"/>
  <c r="J98" i="4" s="1"/>
  <c r="X97" i="4"/>
  <c r="W97" i="4"/>
  <c r="T97" i="4"/>
  <c r="R97" i="4"/>
  <c r="Q97" i="4"/>
  <c r="P97" i="4"/>
  <c r="O97" i="4"/>
  <c r="N97" i="4"/>
  <c r="G97" i="4"/>
  <c r="I97" i="4" s="1"/>
  <c r="B97" i="4"/>
  <c r="J97" i="4" s="1"/>
  <c r="X96" i="4"/>
  <c r="W96" i="4"/>
  <c r="T96" i="4"/>
  <c r="R96" i="4"/>
  <c r="Q96" i="4"/>
  <c r="P96" i="4"/>
  <c r="O96" i="4"/>
  <c r="N96" i="4"/>
  <c r="G96" i="4"/>
  <c r="I96" i="4" s="1"/>
  <c r="B96" i="4"/>
  <c r="J96" i="4" s="1"/>
  <c r="X95" i="4"/>
  <c r="W95" i="4"/>
  <c r="T95" i="4"/>
  <c r="R95" i="4"/>
  <c r="Q95" i="4"/>
  <c r="P95" i="4"/>
  <c r="O95" i="4"/>
  <c r="N95" i="4"/>
  <c r="G95" i="4"/>
  <c r="I95" i="4" s="1"/>
  <c r="B95" i="4"/>
  <c r="J95" i="4" s="1"/>
  <c r="X94" i="4"/>
  <c r="W94" i="4"/>
  <c r="T94" i="4"/>
  <c r="R94" i="4"/>
  <c r="Q94" i="4"/>
  <c r="M94" i="4"/>
  <c r="N94" i="4" s="1"/>
  <c r="G94" i="4"/>
  <c r="I94" i="4" s="1"/>
  <c r="B94" i="4"/>
  <c r="J94" i="4" s="1"/>
  <c r="X93" i="4"/>
  <c r="W93" i="4"/>
  <c r="T93" i="4"/>
  <c r="R93" i="4"/>
  <c r="Q93" i="4"/>
  <c r="M93" i="4"/>
  <c r="O93" i="4" s="1"/>
  <c r="G93" i="4"/>
  <c r="I93" i="4" s="1"/>
  <c r="B93" i="4"/>
  <c r="J93" i="4" s="1"/>
  <c r="X92" i="4"/>
  <c r="W92" i="4"/>
  <c r="T92" i="4"/>
  <c r="R92" i="4"/>
  <c r="Q92" i="4"/>
  <c r="P92" i="4"/>
  <c r="O92" i="4"/>
  <c r="N92" i="4"/>
  <c r="G92" i="4"/>
  <c r="I92" i="4" s="1"/>
  <c r="B92" i="4"/>
  <c r="J92" i="4" s="1"/>
  <c r="X91" i="4"/>
  <c r="W91" i="4"/>
  <c r="T91" i="4"/>
  <c r="R91" i="4"/>
  <c r="Q91" i="4"/>
  <c r="P91" i="4"/>
  <c r="O91" i="4"/>
  <c r="N91" i="4"/>
  <c r="G91" i="4"/>
  <c r="I91" i="4" s="1"/>
  <c r="B91" i="4"/>
  <c r="J91" i="4" s="1"/>
  <c r="X90" i="4"/>
  <c r="W90" i="4"/>
  <c r="T90" i="4"/>
  <c r="R90" i="4"/>
  <c r="Q90" i="4"/>
  <c r="P90" i="4"/>
  <c r="O90" i="4"/>
  <c r="N90" i="4"/>
  <c r="G90" i="4"/>
  <c r="I90" i="4" s="1"/>
  <c r="B90" i="4"/>
  <c r="J90" i="4" s="1"/>
  <c r="X89" i="4"/>
  <c r="W89" i="4"/>
  <c r="T89" i="4"/>
  <c r="R89" i="4"/>
  <c r="Q89" i="4"/>
  <c r="P89" i="4"/>
  <c r="O89" i="4"/>
  <c r="N89" i="4"/>
  <c r="G89" i="4"/>
  <c r="I89" i="4" s="1"/>
  <c r="B89" i="4"/>
  <c r="J89" i="4" s="1"/>
  <c r="X88" i="4"/>
  <c r="W88" i="4"/>
  <c r="T88" i="4"/>
  <c r="R88" i="4"/>
  <c r="Q88" i="4"/>
  <c r="M88" i="4"/>
  <c r="P88" i="4" s="1"/>
  <c r="G88" i="4"/>
  <c r="I88" i="4" s="1"/>
  <c r="B88" i="4"/>
  <c r="J88" i="4" s="1"/>
  <c r="X87" i="4"/>
  <c r="W87" i="4"/>
  <c r="T87" i="4"/>
  <c r="R87" i="4"/>
  <c r="Q87" i="4"/>
  <c r="M87" i="4"/>
  <c r="O87" i="4" s="1"/>
  <c r="G87" i="4"/>
  <c r="I87" i="4" s="1"/>
  <c r="B87" i="4"/>
  <c r="J87" i="4" s="1"/>
  <c r="X86" i="4"/>
  <c r="W86" i="4"/>
  <c r="T86" i="4"/>
  <c r="S86" i="4"/>
  <c r="R86" i="4"/>
  <c r="Q86" i="4"/>
  <c r="P86" i="4"/>
  <c r="O86" i="4"/>
  <c r="N86" i="4"/>
  <c r="B86" i="4"/>
  <c r="J86" i="4" s="1"/>
  <c r="K86" i="4" s="1"/>
  <c r="X85" i="4"/>
  <c r="W85" i="4"/>
  <c r="T85" i="4"/>
  <c r="R85" i="4"/>
  <c r="Q85" i="4"/>
  <c r="P85" i="4"/>
  <c r="O85" i="4"/>
  <c r="N85" i="4"/>
  <c r="G85" i="4"/>
  <c r="I85" i="4" s="1"/>
  <c r="B85" i="4"/>
  <c r="J85" i="4" s="1"/>
  <c r="X84" i="4"/>
  <c r="W84" i="4"/>
  <c r="T84" i="4"/>
  <c r="R84" i="4"/>
  <c r="Q84" i="4"/>
  <c r="M84" i="4"/>
  <c r="O84" i="4" s="1"/>
  <c r="G84" i="4"/>
  <c r="I84" i="4" s="1"/>
  <c r="B84" i="4"/>
  <c r="X83" i="4"/>
  <c r="W83" i="4"/>
  <c r="T83" i="4"/>
  <c r="R83" i="4"/>
  <c r="Q83" i="4"/>
  <c r="P83" i="4"/>
  <c r="O83" i="4"/>
  <c r="N83" i="4"/>
  <c r="G83" i="4"/>
  <c r="I83" i="4" s="1"/>
  <c r="B83" i="4"/>
  <c r="J83" i="4" s="1"/>
  <c r="X82" i="4"/>
  <c r="W82" i="4"/>
  <c r="T82" i="4"/>
  <c r="R82" i="4"/>
  <c r="Q82" i="4"/>
  <c r="M82" i="4"/>
  <c r="G82" i="4"/>
  <c r="I82" i="4" s="1"/>
  <c r="B82" i="4"/>
  <c r="X81" i="4"/>
  <c r="W81" i="4"/>
  <c r="T81" i="4"/>
  <c r="R81" i="4"/>
  <c r="Q81" i="4"/>
  <c r="M81" i="4"/>
  <c r="G81" i="4"/>
  <c r="I81" i="4" s="1"/>
  <c r="B81" i="4"/>
  <c r="J81" i="4" s="1"/>
  <c r="X80" i="4"/>
  <c r="W80" i="4"/>
  <c r="T80" i="4"/>
  <c r="R80" i="4"/>
  <c r="Q80" i="4"/>
  <c r="M80" i="4"/>
  <c r="P80" i="4" s="1"/>
  <c r="G80" i="4"/>
  <c r="I80" i="4" s="1"/>
  <c r="B80" i="4"/>
  <c r="J80" i="4" s="1"/>
  <c r="X79" i="4"/>
  <c r="W79" i="4"/>
  <c r="T79" i="4"/>
  <c r="R79" i="4"/>
  <c r="Q79" i="4"/>
  <c r="P79" i="4"/>
  <c r="O79" i="4"/>
  <c r="N79" i="4"/>
  <c r="G79" i="4"/>
  <c r="I79" i="4" s="1"/>
  <c r="B79" i="4"/>
  <c r="J79" i="4" s="1"/>
  <c r="X78" i="4"/>
  <c r="W78" i="4"/>
  <c r="T78" i="4"/>
  <c r="R78" i="4"/>
  <c r="Q78" i="4"/>
  <c r="M78" i="4"/>
  <c r="G78" i="4"/>
  <c r="I78" i="4" s="1"/>
  <c r="B78" i="4"/>
  <c r="J78" i="4" s="1"/>
  <c r="X77" i="4"/>
  <c r="W77" i="4"/>
  <c r="T77" i="4"/>
  <c r="R77" i="4"/>
  <c r="Q77" i="4"/>
  <c r="M77" i="4"/>
  <c r="P77" i="4" s="1"/>
  <c r="G77" i="4"/>
  <c r="I77" i="4" s="1"/>
  <c r="B77" i="4"/>
  <c r="J77" i="4" s="1"/>
  <c r="X76" i="4"/>
  <c r="W76" i="4"/>
  <c r="T76" i="4"/>
  <c r="R76" i="4"/>
  <c r="Q76" i="4"/>
  <c r="P76" i="4"/>
  <c r="O76" i="4"/>
  <c r="N76" i="4"/>
  <c r="G76" i="4"/>
  <c r="I76" i="4" s="1"/>
  <c r="B76" i="4"/>
  <c r="J76" i="4" s="1"/>
  <c r="X75" i="4"/>
  <c r="W75" i="4"/>
  <c r="T75" i="4"/>
  <c r="R75" i="4"/>
  <c r="Q75" i="4"/>
  <c r="M75" i="4"/>
  <c r="N75" i="4" s="1"/>
  <c r="G75" i="4"/>
  <c r="I75" i="4" s="1"/>
  <c r="B75" i="4"/>
  <c r="X74" i="4"/>
  <c r="W74" i="4"/>
  <c r="T74" i="4"/>
  <c r="R74" i="4"/>
  <c r="Q74" i="4"/>
  <c r="M74" i="4"/>
  <c r="G74" i="4"/>
  <c r="I74" i="4" s="1"/>
  <c r="B74" i="4"/>
  <c r="X73" i="4"/>
  <c r="W73" i="4"/>
  <c r="T73" i="4"/>
  <c r="R73" i="4"/>
  <c r="Q73" i="4"/>
  <c r="M73" i="4"/>
  <c r="N73" i="4" s="1"/>
  <c r="G73" i="4"/>
  <c r="I73" i="4" s="1"/>
  <c r="B73" i="4"/>
  <c r="X72" i="4"/>
  <c r="W72" i="4"/>
  <c r="T72" i="4"/>
  <c r="R72" i="4"/>
  <c r="Q72" i="4"/>
  <c r="M72" i="4"/>
  <c r="N72" i="4" s="1"/>
  <c r="G72" i="4"/>
  <c r="I72" i="4" s="1"/>
  <c r="B72" i="4"/>
  <c r="J72" i="4" s="1"/>
  <c r="X71" i="4"/>
  <c r="W71" i="4"/>
  <c r="T71" i="4"/>
  <c r="R71" i="4"/>
  <c r="Q71" i="4"/>
  <c r="P71" i="4"/>
  <c r="O71" i="4"/>
  <c r="N71" i="4"/>
  <c r="G71" i="4"/>
  <c r="I71" i="4" s="1"/>
  <c r="B71" i="4"/>
  <c r="J71" i="4" s="1"/>
  <c r="X70" i="4"/>
  <c r="W70" i="4"/>
  <c r="T70" i="4"/>
  <c r="R70" i="4"/>
  <c r="Q70" i="4"/>
  <c r="M70" i="4"/>
  <c r="P70" i="4" s="1"/>
  <c r="G70" i="4"/>
  <c r="I70" i="4" s="1"/>
  <c r="B70" i="4"/>
  <c r="J70" i="4" s="1"/>
  <c r="X69" i="4"/>
  <c r="W69" i="4"/>
  <c r="T69" i="4"/>
  <c r="R69" i="4"/>
  <c r="Q69" i="4"/>
  <c r="M69" i="4"/>
  <c r="P69" i="4" s="1"/>
  <c r="G69" i="4"/>
  <c r="I69" i="4" s="1"/>
  <c r="B69" i="4"/>
  <c r="J69" i="4" s="1"/>
  <c r="X68" i="4"/>
  <c r="W68" i="4"/>
  <c r="T68" i="4"/>
  <c r="R68" i="4"/>
  <c r="Q68" i="4"/>
  <c r="M68" i="4"/>
  <c r="N68" i="4" s="1"/>
  <c r="G68" i="4"/>
  <c r="I68" i="4" s="1"/>
  <c r="B68" i="4"/>
  <c r="J68" i="4" s="1"/>
  <c r="X67" i="4"/>
  <c r="W67" i="4"/>
  <c r="T67" i="4"/>
  <c r="R67" i="4"/>
  <c r="Q67" i="4"/>
  <c r="P67" i="4"/>
  <c r="O67" i="4"/>
  <c r="N67" i="4"/>
  <c r="G67" i="4"/>
  <c r="I67" i="4" s="1"/>
  <c r="B67" i="4"/>
  <c r="X66" i="4"/>
  <c r="W66" i="4"/>
  <c r="T66" i="4"/>
  <c r="R66" i="4"/>
  <c r="Q66" i="4"/>
  <c r="P66" i="4"/>
  <c r="O66" i="4"/>
  <c r="N66" i="4"/>
  <c r="G66" i="4"/>
  <c r="I66" i="4" s="1"/>
  <c r="B66" i="4"/>
  <c r="J66" i="4" s="1"/>
  <c r="X65" i="4"/>
  <c r="W65" i="4"/>
  <c r="T65" i="4"/>
  <c r="R65" i="4"/>
  <c r="Q65" i="4"/>
  <c r="M65" i="4"/>
  <c r="P65" i="4" s="1"/>
  <c r="G65" i="4"/>
  <c r="I65" i="4" s="1"/>
  <c r="B65" i="4"/>
  <c r="J65" i="4" s="1"/>
  <c r="X64" i="4"/>
  <c r="W64" i="4"/>
  <c r="T64" i="4"/>
  <c r="R64" i="4"/>
  <c r="Q64" i="4"/>
  <c r="P64" i="4"/>
  <c r="O64" i="4"/>
  <c r="N64" i="4"/>
  <c r="G64" i="4"/>
  <c r="I64" i="4" s="1"/>
  <c r="B64" i="4"/>
  <c r="J64" i="4" s="1"/>
  <c r="X63" i="4"/>
  <c r="W63" i="4"/>
  <c r="T63" i="4"/>
  <c r="R63" i="4"/>
  <c r="Q63" i="4"/>
  <c r="P63" i="4"/>
  <c r="O63" i="4"/>
  <c r="N63" i="4"/>
  <c r="G63" i="4"/>
  <c r="I63" i="4" s="1"/>
  <c r="B63" i="4"/>
  <c r="J63" i="4" s="1"/>
  <c r="X62" i="4"/>
  <c r="W62" i="4"/>
  <c r="T62" i="4"/>
  <c r="R62" i="4"/>
  <c r="Q62" i="4"/>
  <c r="P62" i="4"/>
  <c r="O62" i="4"/>
  <c r="N62" i="4"/>
  <c r="G62" i="4"/>
  <c r="I62" i="4" s="1"/>
  <c r="B62" i="4"/>
  <c r="X61" i="4"/>
  <c r="W61" i="4"/>
  <c r="T61" i="4"/>
  <c r="R61" i="4"/>
  <c r="Q61" i="4"/>
  <c r="M61" i="4"/>
  <c r="N61" i="4" s="1"/>
  <c r="G61" i="4"/>
  <c r="I61" i="4" s="1"/>
  <c r="B61" i="4"/>
  <c r="X60" i="4"/>
  <c r="W60" i="4"/>
  <c r="T60" i="4"/>
  <c r="R60" i="4"/>
  <c r="Q60" i="4"/>
  <c r="P60" i="4"/>
  <c r="O60" i="4"/>
  <c r="N60" i="4"/>
  <c r="G60" i="4"/>
  <c r="I60" i="4" s="1"/>
  <c r="B60" i="4"/>
  <c r="J60" i="4" s="1"/>
  <c r="X59" i="4"/>
  <c r="W59" i="4"/>
  <c r="T59" i="4"/>
  <c r="S59" i="4"/>
  <c r="R59" i="4"/>
  <c r="Q59" i="4"/>
  <c r="P59" i="4"/>
  <c r="O59" i="4"/>
  <c r="N59" i="4"/>
  <c r="B59" i="4"/>
  <c r="J59" i="4" s="1"/>
  <c r="K59" i="4" s="1"/>
  <c r="X58" i="4"/>
  <c r="W58" i="4"/>
  <c r="T58" i="4"/>
  <c r="R58" i="4"/>
  <c r="Q58" i="4"/>
  <c r="P58" i="4"/>
  <c r="O58" i="4"/>
  <c r="N58" i="4"/>
  <c r="G58" i="4"/>
  <c r="I58" i="4" s="1"/>
  <c r="B58" i="4"/>
  <c r="J58" i="4" s="1"/>
  <c r="X57" i="4"/>
  <c r="W57" i="4"/>
  <c r="T57" i="4"/>
  <c r="R57" i="4"/>
  <c r="Q57" i="4"/>
  <c r="P57" i="4"/>
  <c r="O57" i="4"/>
  <c r="N57" i="4"/>
  <c r="G57" i="4"/>
  <c r="I57" i="4" s="1"/>
  <c r="B57" i="4"/>
  <c r="X56" i="4"/>
  <c r="W56" i="4"/>
  <c r="T56" i="4"/>
  <c r="R56" i="4"/>
  <c r="Q56" i="4"/>
  <c r="M56" i="4"/>
  <c r="O56" i="4" s="1"/>
  <c r="G56" i="4"/>
  <c r="I56" i="4" s="1"/>
  <c r="B56" i="4"/>
  <c r="X55" i="4"/>
  <c r="W55" i="4"/>
  <c r="T55" i="4"/>
  <c r="R55" i="4"/>
  <c r="Q55" i="4"/>
  <c r="P55" i="4"/>
  <c r="O55" i="4"/>
  <c r="N55" i="4"/>
  <c r="G55" i="4"/>
  <c r="I55" i="4" s="1"/>
  <c r="B55" i="4"/>
  <c r="X54" i="4"/>
  <c r="W54" i="4"/>
  <c r="T54" i="4"/>
  <c r="R54" i="4"/>
  <c r="Q54" i="4"/>
  <c r="P54" i="4"/>
  <c r="O54" i="4"/>
  <c r="N54" i="4"/>
  <c r="G54" i="4"/>
  <c r="I54" i="4" s="1"/>
  <c r="B54" i="4"/>
  <c r="J54" i="4" s="1"/>
  <c r="X53" i="4"/>
  <c r="W53" i="4"/>
  <c r="T53" i="4"/>
  <c r="R53" i="4"/>
  <c r="Q53" i="4"/>
  <c r="P53" i="4"/>
  <c r="O53" i="4"/>
  <c r="N53" i="4"/>
  <c r="G53" i="4"/>
  <c r="I53" i="4" s="1"/>
  <c r="B53" i="4"/>
  <c r="J53" i="4" s="1"/>
  <c r="X52" i="4"/>
  <c r="W52" i="4"/>
  <c r="T52" i="4"/>
  <c r="R52" i="4"/>
  <c r="Q52" i="4"/>
  <c r="M52" i="4"/>
  <c r="P52" i="4" s="1"/>
  <c r="G52" i="4"/>
  <c r="I52" i="4" s="1"/>
  <c r="B52" i="4"/>
  <c r="J52" i="4" s="1"/>
  <c r="X51" i="4"/>
  <c r="W51" i="4"/>
  <c r="T51" i="4"/>
  <c r="R51" i="4"/>
  <c r="Q51" i="4"/>
  <c r="P51" i="4"/>
  <c r="O51" i="4"/>
  <c r="N51" i="4"/>
  <c r="G51" i="4"/>
  <c r="I51" i="4" s="1"/>
  <c r="B51" i="4"/>
  <c r="J51" i="4" s="1"/>
  <c r="X50" i="4"/>
  <c r="W50" i="4"/>
  <c r="T50" i="4"/>
  <c r="R50" i="4"/>
  <c r="Q50" i="4"/>
  <c r="M50" i="4"/>
  <c r="O50" i="4" s="1"/>
  <c r="G50" i="4"/>
  <c r="I50" i="4" s="1"/>
  <c r="B50" i="4"/>
  <c r="X49" i="4"/>
  <c r="W49" i="4"/>
  <c r="T49" i="4"/>
  <c r="R49" i="4"/>
  <c r="Q49" i="4"/>
  <c r="M49" i="4"/>
  <c r="O49" i="4" s="1"/>
  <c r="G49" i="4"/>
  <c r="I49" i="4" s="1"/>
  <c r="B49" i="4"/>
  <c r="X48" i="4"/>
  <c r="W48" i="4"/>
  <c r="T48" i="4"/>
  <c r="R48" i="4"/>
  <c r="Q48" i="4"/>
  <c r="M48" i="4"/>
  <c r="O48" i="4" s="1"/>
  <c r="G48" i="4"/>
  <c r="I48" i="4" s="1"/>
  <c r="B48" i="4"/>
  <c r="X47" i="4"/>
  <c r="W47" i="4"/>
  <c r="T47" i="4"/>
  <c r="R47" i="4"/>
  <c r="Q47" i="4"/>
  <c r="P47" i="4"/>
  <c r="O47" i="4"/>
  <c r="N47" i="4"/>
  <c r="G47" i="4"/>
  <c r="I47" i="4" s="1"/>
  <c r="B47" i="4"/>
  <c r="J47" i="4" s="1"/>
  <c r="X46" i="4"/>
  <c r="W46" i="4"/>
  <c r="T46" i="4"/>
  <c r="R46" i="4"/>
  <c r="Q46" i="4"/>
  <c r="M46" i="4"/>
  <c r="G46" i="4"/>
  <c r="I46" i="4" s="1"/>
  <c r="B46" i="4"/>
  <c r="J46" i="4" s="1"/>
  <c r="X45" i="4"/>
  <c r="W45" i="4"/>
  <c r="T45" i="4"/>
  <c r="R45" i="4"/>
  <c r="Q45" i="4"/>
  <c r="P45" i="4"/>
  <c r="O45" i="4"/>
  <c r="N45" i="4"/>
  <c r="G45" i="4"/>
  <c r="I45" i="4" s="1"/>
  <c r="B45" i="4"/>
  <c r="J45" i="4" s="1"/>
  <c r="X44" i="4"/>
  <c r="W44" i="4"/>
  <c r="T44" i="4"/>
  <c r="R44" i="4"/>
  <c r="Q44" i="4"/>
  <c r="M44" i="4"/>
  <c r="G44" i="4"/>
  <c r="I44" i="4" s="1"/>
  <c r="B44" i="4"/>
  <c r="X43" i="4"/>
  <c r="W43" i="4"/>
  <c r="T43" i="4"/>
  <c r="R43" i="4"/>
  <c r="Q43" i="4"/>
  <c r="M43" i="4"/>
  <c r="O43" i="4" s="1"/>
  <c r="G43" i="4"/>
  <c r="I43" i="4" s="1"/>
  <c r="B43" i="4"/>
  <c r="X42" i="4"/>
  <c r="W42" i="4"/>
  <c r="T42" i="4"/>
  <c r="R42" i="4"/>
  <c r="Q42" i="4"/>
  <c r="M42" i="4"/>
  <c r="G42" i="4"/>
  <c r="I42" i="4" s="1"/>
  <c r="B42" i="4"/>
  <c r="X41" i="4"/>
  <c r="W41" i="4"/>
  <c r="T41" i="4"/>
  <c r="R41" i="4"/>
  <c r="Q41" i="4"/>
  <c r="P41" i="4"/>
  <c r="O41" i="4"/>
  <c r="N41" i="4"/>
  <c r="G41" i="4"/>
  <c r="I41" i="4" s="1"/>
  <c r="B41" i="4"/>
  <c r="J41" i="4" s="1"/>
  <c r="X40" i="4"/>
  <c r="W40" i="4"/>
  <c r="T40" i="4"/>
  <c r="S40" i="4"/>
  <c r="R40" i="4"/>
  <c r="Q40" i="4"/>
  <c r="P40" i="4"/>
  <c r="O40" i="4"/>
  <c r="N40" i="4"/>
  <c r="B40" i="4"/>
  <c r="J40" i="4" s="1"/>
  <c r="K40" i="4" s="1"/>
  <c r="X39" i="4"/>
  <c r="W39" i="4"/>
  <c r="T39" i="4"/>
  <c r="R39" i="4"/>
  <c r="Q39" i="4"/>
  <c r="M39" i="4"/>
  <c r="P39" i="4" s="1"/>
  <c r="G39" i="4"/>
  <c r="I39" i="4" s="1"/>
  <c r="B39" i="4"/>
  <c r="J39" i="4" s="1"/>
  <c r="X38" i="4"/>
  <c r="W38" i="4"/>
  <c r="T38" i="4"/>
  <c r="R38" i="4"/>
  <c r="Q38" i="4"/>
  <c r="M38" i="4"/>
  <c r="P38" i="4" s="1"/>
  <c r="G38" i="4"/>
  <c r="I38" i="4" s="1"/>
  <c r="B38" i="4"/>
  <c r="J38" i="4" s="1"/>
  <c r="X37" i="4"/>
  <c r="W37" i="4"/>
  <c r="T37" i="4"/>
  <c r="R37" i="4"/>
  <c r="Q37" i="4"/>
  <c r="M37" i="4"/>
  <c r="P37" i="4" s="1"/>
  <c r="G37" i="4"/>
  <c r="I37" i="4" s="1"/>
  <c r="B37" i="4"/>
  <c r="J37" i="4" s="1"/>
  <c r="X36" i="4"/>
  <c r="W36" i="4"/>
  <c r="T36" i="4"/>
  <c r="R36" i="4"/>
  <c r="Q36" i="4"/>
  <c r="P36" i="4"/>
  <c r="O36" i="4"/>
  <c r="N36" i="4"/>
  <c r="G36" i="4"/>
  <c r="I36" i="4" s="1"/>
  <c r="B36" i="4"/>
  <c r="J36" i="4" s="1"/>
  <c r="X35" i="4"/>
  <c r="W35" i="4"/>
  <c r="T35" i="4"/>
  <c r="R35" i="4"/>
  <c r="Q35" i="4"/>
  <c r="P35" i="4"/>
  <c r="O35" i="4"/>
  <c r="N35" i="4"/>
  <c r="G35" i="4"/>
  <c r="I35" i="4" s="1"/>
  <c r="B35" i="4"/>
  <c r="J35" i="4" s="1"/>
  <c r="X34" i="4"/>
  <c r="W34" i="4"/>
  <c r="T34" i="4"/>
  <c r="R34" i="4"/>
  <c r="Q34" i="4"/>
  <c r="P34" i="4"/>
  <c r="O34" i="4"/>
  <c r="N34" i="4"/>
  <c r="G34" i="4"/>
  <c r="I34" i="4" s="1"/>
  <c r="B34" i="4"/>
  <c r="J34" i="4" s="1"/>
  <c r="X33" i="4"/>
  <c r="W33" i="4"/>
  <c r="T33" i="4"/>
  <c r="R33" i="4"/>
  <c r="Q33" i="4"/>
  <c r="M33" i="4"/>
  <c r="N33" i="4" s="1"/>
  <c r="G33" i="4"/>
  <c r="I33" i="4" s="1"/>
  <c r="B33" i="4"/>
  <c r="J33" i="4" s="1"/>
  <c r="X32" i="4"/>
  <c r="W32" i="4"/>
  <c r="T32" i="4"/>
  <c r="R32" i="4"/>
  <c r="Q32" i="4"/>
  <c r="P32" i="4"/>
  <c r="O32" i="4"/>
  <c r="N32" i="4"/>
  <c r="G32" i="4"/>
  <c r="I32" i="4" s="1"/>
  <c r="B32" i="4"/>
  <c r="J32" i="4" s="1"/>
  <c r="X31" i="4"/>
  <c r="W31" i="4"/>
  <c r="T31" i="4"/>
  <c r="R31" i="4"/>
  <c r="Q31" i="4"/>
  <c r="P31" i="4"/>
  <c r="O31" i="4"/>
  <c r="N31" i="4"/>
  <c r="G31" i="4"/>
  <c r="I31" i="4" s="1"/>
  <c r="B31" i="4"/>
  <c r="J31" i="4" s="1"/>
  <c r="X30" i="4"/>
  <c r="W30" i="4"/>
  <c r="T30" i="4"/>
  <c r="R30" i="4"/>
  <c r="Q30" i="4"/>
  <c r="M30" i="4"/>
  <c r="P30" i="4" s="1"/>
  <c r="G30" i="4"/>
  <c r="I30" i="4" s="1"/>
  <c r="B30" i="4"/>
  <c r="X29" i="4"/>
  <c r="W29" i="4"/>
  <c r="T29" i="4"/>
  <c r="R29" i="4"/>
  <c r="Q29" i="4"/>
  <c r="P29" i="4"/>
  <c r="O29" i="4"/>
  <c r="N29" i="4"/>
  <c r="G29" i="4"/>
  <c r="I29" i="4" s="1"/>
  <c r="B29" i="4"/>
  <c r="J29" i="4" s="1"/>
  <c r="X28" i="4"/>
  <c r="W28" i="4"/>
  <c r="T28" i="4"/>
  <c r="R28" i="4"/>
  <c r="Q28" i="4"/>
  <c r="P28" i="4"/>
  <c r="O28" i="4"/>
  <c r="N28" i="4"/>
  <c r="G28" i="4"/>
  <c r="I28" i="4" s="1"/>
  <c r="B28" i="4"/>
  <c r="X27" i="4"/>
  <c r="W27" i="4"/>
  <c r="T27" i="4"/>
  <c r="R27" i="4"/>
  <c r="Q27" i="4"/>
  <c r="M27" i="4"/>
  <c r="N27" i="4" s="1"/>
  <c r="G27" i="4"/>
  <c r="I27" i="4" s="1"/>
  <c r="B27" i="4"/>
  <c r="J27" i="4" s="1"/>
  <c r="X26" i="4"/>
  <c r="W26" i="4"/>
  <c r="T26" i="4"/>
  <c r="R26" i="4"/>
  <c r="Q26" i="4"/>
  <c r="M26" i="4"/>
  <c r="G26" i="4"/>
  <c r="I26" i="4" s="1"/>
  <c r="B26" i="4"/>
  <c r="J26" i="4" s="1"/>
  <c r="X25" i="4"/>
  <c r="W25" i="4"/>
  <c r="T25" i="4"/>
  <c r="R25" i="4"/>
  <c r="Q25" i="4"/>
  <c r="P25" i="4"/>
  <c r="O25" i="4"/>
  <c r="N25" i="4"/>
  <c r="G25" i="4"/>
  <c r="I25" i="4" s="1"/>
  <c r="B25" i="4"/>
  <c r="J25" i="4" s="1"/>
  <c r="X24" i="4"/>
  <c r="W24" i="4"/>
  <c r="T24" i="4"/>
  <c r="R24" i="4"/>
  <c r="Q24" i="4"/>
  <c r="P24" i="4"/>
  <c r="O24" i="4"/>
  <c r="N24" i="4"/>
  <c r="G24" i="4"/>
  <c r="I24" i="4" s="1"/>
  <c r="B24" i="4"/>
  <c r="J24" i="4" s="1"/>
  <c r="X23" i="4"/>
  <c r="W23" i="4"/>
  <c r="T23" i="4"/>
  <c r="R23" i="4"/>
  <c r="Q23" i="4"/>
  <c r="M23" i="4"/>
  <c r="G23" i="4"/>
  <c r="I23" i="4" s="1"/>
  <c r="B23" i="4"/>
  <c r="X22" i="4"/>
  <c r="W22" i="4"/>
  <c r="T22" i="4"/>
  <c r="R22" i="4"/>
  <c r="Q22" i="4"/>
  <c r="P22" i="4"/>
  <c r="O22" i="4"/>
  <c r="N22" i="4"/>
  <c r="G22" i="4"/>
  <c r="I22" i="4" s="1"/>
  <c r="B22" i="4"/>
  <c r="J22" i="4" s="1"/>
  <c r="X21" i="4"/>
  <c r="W21" i="4"/>
  <c r="T21" i="4"/>
  <c r="R21" i="4"/>
  <c r="Q21" i="4"/>
  <c r="M21" i="4"/>
  <c r="G21" i="4"/>
  <c r="I21" i="4" s="1"/>
  <c r="B21" i="4"/>
  <c r="J21" i="4" s="1"/>
  <c r="X20" i="4"/>
  <c r="W20" i="4"/>
  <c r="T20" i="4"/>
  <c r="R20" i="4"/>
  <c r="Q20" i="4"/>
  <c r="P20" i="4"/>
  <c r="O20" i="4"/>
  <c r="N20" i="4"/>
  <c r="G20" i="4"/>
  <c r="I20" i="4" s="1"/>
  <c r="B20" i="4"/>
  <c r="J20" i="4" s="1"/>
  <c r="X19" i="4"/>
  <c r="W19" i="4"/>
  <c r="T19" i="4"/>
  <c r="R19" i="4"/>
  <c r="Q19" i="4"/>
  <c r="P19" i="4"/>
  <c r="O19" i="4"/>
  <c r="N19" i="4"/>
  <c r="G19" i="4"/>
  <c r="I19" i="4" s="1"/>
  <c r="B19" i="4"/>
  <c r="J19" i="4" s="1"/>
  <c r="X18" i="4"/>
  <c r="W18" i="4"/>
  <c r="T18" i="4"/>
  <c r="R18" i="4"/>
  <c r="Q18" i="4"/>
  <c r="M18" i="4"/>
  <c r="P18" i="4" s="1"/>
  <c r="G18" i="4"/>
  <c r="I18" i="4" s="1"/>
  <c r="B18" i="4"/>
  <c r="J18" i="4" s="1"/>
  <c r="X17" i="4"/>
  <c r="W17" i="4"/>
  <c r="T17" i="4"/>
  <c r="R17" i="4"/>
  <c r="Q17" i="4"/>
  <c r="M17" i="4"/>
  <c r="P17" i="4" s="1"/>
  <c r="G17" i="4"/>
  <c r="I17" i="4" s="1"/>
  <c r="B17" i="4"/>
  <c r="J17" i="4" s="1"/>
  <c r="X16" i="4"/>
  <c r="W16" i="4"/>
  <c r="T16" i="4"/>
  <c r="R16" i="4"/>
  <c r="Q16" i="4"/>
  <c r="P16" i="4"/>
  <c r="O16" i="4"/>
  <c r="N16" i="4"/>
  <c r="G16" i="4"/>
  <c r="I16" i="4" s="1"/>
  <c r="B16" i="4"/>
  <c r="J16" i="4" s="1"/>
  <c r="X15" i="4"/>
  <c r="W15" i="4"/>
  <c r="T15" i="4"/>
  <c r="R15" i="4"/>
  <c r="Q15" i="4"/>
  <c r="P15" i="4"/>
  <c r="O15" i="4"/>
  <c r="N15" i="4"/>
  <c r="G15" i="4"/>
  <c r="I15" i="4" s="1"/>
  <c r="B15" i="4"/>
  <c r="J15" i="4" s="1"/>
  <c r="X14" i="4"/>
  <c r="W14" i="4"/>
  <c r="T14" i="4"/>
  <c r="R14" i="4"/>
  <c r="Q14" i="4"/>
  <c r="M14" i="4"/>
  <c r="N14" i="4" s="1"/>
  <c r="G14" i="4"/>
  <c r="I14" i="4" s="1"/>
  <c r="B14" i="4"/>
  <c r="X13" i="4"/>
  <c r="W13" i="4"/>
  <c r="T13" i="4"/>
  <c r="R13" i="4"/>
  <c r="Q13" i="4"/>
  <c r="M13" i="4"/>
  <c r="O13" i="4" s="1"/>
  <c r="G13" i="4"/>
  <c r="I13" i="4" s="1"/>
  <c r="B13" i="4"/>
  <c r="X12" i="4"/>
  <c r="W12" i="4"/>
  <c r="T12" i="4"/>
  <c r="R12" i="4"/>
  <c r="Q12" i="4"/>
  <c r="P12" i="4"/>
  <c r="O12" i="4"/>
  <c r="N12" i="4"/>
  <c r="G12" i="4"/>
  <c r="I12" i="4" s="1"/>
  <c r="B12" i="4"/>
  <c r="J12" i="4" s="1"/>
  <c r="X11" i="4"/>
  <c r="W11" i="4"/>
  <c r="T11" i="4"/>
  <c r="R11" i="4"/>
  <c r="Q11" i="4"/>
  <c r="M11" i="4"/>
  <c r="P11" i="4" s="1"/>
  <c r="G11" i="4"/>
  <c r="I11" i="4" s="1"/>
  <c r="B11" i="4"/>
  <c r="J11" i="4" s="1"/>
  <c r="X10" i="4"/>
  <c r="W10" i="4"/>
  <c r="T10" i="4"/>
  <c r="R10" i="4"/>
  <c r="Q10" i="4"/>
  <c r="M10" i="4"/>
  <c r="P10" i="4" s="1"/>
  <c r="G10" i="4"/>
  <c r="I10" i="4" s="1"/>
  <c r="B10" i="4"/>
  <c r="J10" i="4" s="1"/>
  <c r="X9" i="4"/>
  <c r="W9" i="4"/>
  <c r="T9" i="4"/>
  <c r="R9" i="4"/>
  <c r="Q9" i="4"/>
  <c r="M9" i="4"/>
  <c r="P9" i="4" s="1"/>
  <c r="G9" i="4"/>
  <c r="I9" i="4" s="1"/>
  <c r="B9" i="4"/>
  <c r="J9" i="4" s="1"/>
  <c r="X8" i="4"/>
  <c r="W8" i="4"/>
  <c r="T8" i="4"/>
  <c r="R8" i="4"/>
  <c r="Q8" i="4"/>
  <c r="P8" i="4"/>
  <c r="O8" i="4"/>
  <c r="N8" i="4"/>
  <c r="G8" i="4"/>
  <c r="I8" i="4" s="1"/>
  <c r="B8" i="4"/>
  <c r="J8" i="4" s="1"/>
  <c r="X7" i="4"/>
  <c r="W7" i="4"/>
  <c r="T7" i="4"/>
  <c r="R7" i="4"/>
  <c r="Q7" i="4"/>
  <c r="M7" i="4"/>
  <c r="P7" i="4" s="1"/>
  <c r="G7" i="4"/>
  <c r="I7" i="4" s="1"/>
  <c r="B7" i="4"/>
  <c r="S7" i="4" s="1"/>
  <c r="X6" i="4"/>
  <c r="W6" i="4"/>
  <c r="T6" i="4"/>
  <c r="R6" i="4"/>
  <c r="Q6" i="4"/>
  <c r="M6" i="4"/>
  <c r="P6" i="4" s="1"/>
  <c r="G6" i="4"/>
  <c r="I6" i="4" s="1"/>
  <c r="B6" i="4"/>
  <c r="S6" i="4" s="1"/>
  <c r="X5" i="4"/>
  <c r="W5" i="4"/>
  <c r="T5" i="4"/>
  <c r="R5" i="4"/>
  <c r="Q5" i="4"/>
  <c r="M5" i="4"/>
  <c r="P5" i="4" s="1"/>
  <c r="G5" i="4"/>
  <c r="I5" i="4" s="1"/>
  <c r="B5" i="4"/>
  <c r="S5" i="4" s="1"/>
  <c r="X4" i="4"/>
  <c r="W4" i="4"/>
  <c r="T4" i="4"/>
  <c r="R4" i="4"/>
  <c r="Q4" i="4"/>
  <c r="P4" i="4"/>
  <c r="O4" i="4"/>
  <c r="N4" i="4"/>
  <c r="G4" i="4"/>
  <c r="I4" i="4" s="1"/>
  <c r="B4" i="4"/>
  <c r="J4" i="4" s="1"/>
  <c r="X3" i="4"/>
  <c r="W3" i="4"/>
  <c r="T3" i="4"/>
  <c r="R3" i="4"/>
  <c r="Q3" i="4"/>
  <c r="M3" i="4"/>
  <c r="O3" i="4" s="1"/>
  <c r="G3" i="4"/>
  <c r="I3" i="4" s="1"/>
  <c r="B3" i="4"/>
  <c r="X2" i="4"/>
  <c r="W2" i="4"/>
  <c r="T2" i="4"/>
  <c r="R2" i="4"/>
  <c r="Q2" i="4"/>
  <c r="P2" i="4"/>
  <c r="O2" i="4"/>
  <c r="N2" i="4"/>
  <c r="G2" i="4"/>
  <c r="I2" i="4" s="1"/>
  <c r="B2" i="4"/>
  <c r="J2" i="4" s="1"/>
  <c r="T41" i="3"/>
  <c r="T40" i="3"/>
  <c r="T39" i="3"/>
  <c r="T38" i="3"/>
  <c r="T37" i="3"/>
  <c r="T36" i="3"/>
  <c r="T35" i="3"/>
  <c r="T34" i="3"/>
  <c r="T33" i="3"/>
  <c r="T32" i="3"/>
  <c r="T31" i="3"/>
  <c r="T30" i="3"/>
  <c r="T29" i="3"/>
  <c r="T28" i="3"/>
  <c r="T27" i="3"/>
  <c r="T26" i="3"/>
  <c r="T25" i="3"/>
  <c r="T24" i="3"/>
  <c r="T23" i="3"/>
  <c r="T22" i="3"/>
  <c r="T21" i="3"/>
  <c r="T20" i="3"/>
  <c r="T19" i="3"/>
  <c r="T18" i="3"/>
  <c r="T17" i="3"/>
  <c r="T16" i="3"/>
  <c r="T15" i="3"/>
  <c r="T14" i="3"/>
  <c r="T13" i="3"/>
  <c r="M13" i="3"/>
  <c r="M14" i="3" s="1"/>
  <c r="M15" i="3" s="1"/>
  <c r="M16" i="3" s="1"/>
  <c r="T12" i="3"/>
  <c r="N12" i="3"/>
  <c r="N13" i="3" s="1"/>
  <c r="N14" i="3" s="1"/>
  <c r="N15" i="3" s="1"/>
  <c r="N16" i="3" s="1"/>
  <c r="M12" i="3"/>
  <c r="T11" i="3"/>
  <c r="N11" i="3"/>
  <c r="M11" i="3"/>
  <c r="T10" i="3"/>
  <c r="N10" i="3"/>
  <c r="M10" i="3"/>
  <c r="T9" i="3"/>
  <c r="N9" i="3"/>
  <c r="M9" i="3"/>
  <c r="T8" i="3"/>
  <c r="N8" i="3"/>
  <c r="M8" i="3"/>
  <c r="T7" i="3"/>
  <c r="N7" i="3"/>
  <c r="M7" i="3"/>
  <c r="T6" i="3"/>
  <c r="N6" i="3"/>
  <c r="M6" i="3"/>
  <c r="T5" i="3"/>
  <c r="N5" i="3"/>
  <c r="M5" i="3"/>
  <c r="T4" i="3"/>
  <c r="N4" i="3"/>
  <c r="M4" i="3"/>
  <c r="N3" i="3"/>
  <c r="M3" i="3"/>
  <c r="N2" i="3"/>
  <c r="O21" i="17" l="1"/>
  <c r="O2" i="17"/>
  <c r="N2" i="17"/>
  <c r="N21" i="17"/>
  <c r="M21" i="17"/>
  <c r="M2" i="17"/>
  <c r="S112" i="4"/>
  <c r="K98" i="4"/>
  <c r="L2" i="17"/>
  <c r="L21" i="17"/>
  <c r="S287" i="4"/>
  <c r="S288" i="4"/>
  <c r="S289" i="4"/>
  <c r="S290" i="4"/>
  <c r="S291" i="4"/>
  <c r="S226" i="4"/>
  <c r="S282" i="4"/>
  <c r="S283" i="4"/>
  <c r="S284" i="4"/>
  <c r="S72" i="4"/>
  <c r="N87" i="4"/>
  <c r="S143" i="4"/>
  <c r="S37" i="4"/>
  <c r="K105" i="4"/>
  <c r="O27" i="4"/>
  <c r="P87" i="4"/>
  <c r="S68" i="4"/>
  <c r="S70" i="4"/>
  <c r="K167" i="4"/>
  <c r="S94" i="4"/>
  <c r="N56" i="4"/>
  <c r="N146" i="4"/>
  <c r="N231" i="4"/>
  <c r="P56" i="4"/>
  <c r="N84" i="4"/>
  <c r="N175" i="4"/>
  <c r="P270" i="4"/>
  <c r="O285" i="4"/>
  <c r="P27" i="4"/>
  <c r="K46" i="4"/>
  <c r="S96" i="4"/>
  <c r="K104" i="4"/>
  <c r="K142" i="4"/>
  <c r="K39" i="4"/>
  <c r="N264" i="4"/>
  <c r="S278" i="4"/>
  <c r="O281" i="4"/>
  <c r="K18" i="4"/>
  <c r="P93" i="4"/>
  <c r="K123" i="4"/>
  <c r="N216" i="4"/>
  <c r="S281" i="4"/>
  <c r="S71" i="4"/>
  <c r="P72" i="4"/>
  <c r="S97" i="4"/>
  <c r="S272" i="4"/>
  <c r="O75" i="4"/>
  <c r="K76" i="4"/>
  <c r="N77" i="4"/>
  <c r="N80" i="4"/>
  <c r="S87" i="4"/>
  <c r="O98" i="4"/>
  <c r="S102" i="4"/>
  <c r="N106" i="4"/>
  <c r="O109" i="4"/>
  <c r="K131" i="4"/>
  <c r="N256" i="4"/>
  <c r="S39" i="4"/>
  <c r="P50" i="4"/>
  <c r="O52" i="4"/>
  <c r="S58" i="4"/>
  <c r="O73" i="4"/>
  <c r="P75" i="4"/>
  <c r="O80" i="4"/>
  <c r="S89" i="4"/>
  <c r="K91" i="4"/>
  <c r="S91" i="4"/>
  <c r="S93" i="4"/>
  <c r="P94" i="4"/>
  <c r="P98" i="4"/>
  <c r="P106" i="4"/>
  <c r="N141" i="4"/>
  <c r="N143" i="4"/>
  <c r="S145" i="4"/>
  <c r="S169" i="4"/>
  <c r="P172" i="4"/>
  <c r="S207" i="4"/>
  <c r="O237" i="4"/>
  <c r="P256" i="4"/>
  <c r="P276" i="4"/>
  <c r="S33" i="4"/>
  <c r="N52" i="4"/>
  <c r="N9" i="4"/>
  <c r="O14" i="4"/>
  <c r="O9" i="4"/>
  <c r="P14" i="4"/>
  <c r="N37" i="4"/>
  <c r="S45" i="4"/>
  <c r="O61" i="4"/>
  <c r="S63" i="4"/>
  <c r="K69" i="4"/>
  <c r="P73" i="4"/>
  <c r="K83" i="4"/>
  <c r="S85" i="4"/>
  <c r="N88" i="4"/>
  <c r="S90" i="4"/>
  <c r="S100" i="4"/>
  <c r="S116" i="4"/>
  <c r="K125" i="4"/>
  <c r="S135" i="4"/>
  <c r="S137" i="4"/>
  <c r="S150" i="4"/>
  <c r="S153" i="4"/>
  <c r="S199" i="4"/>
  <c r="S200" i="4"/>
  <c r="S201" i="4"/>
  <c r="K250" i="4"/>
  <c r="O10" i="4"/>
  <c r="O33" i="4"/>
  <c r="P33" i="4"/>
  <c r="N10" i="4"/>
  <c r="S11" i="4"/>
  <c r="K17" i="4"/>
  <c r="N21" i="4"/>
  <c r="O21" i="4"/>
  <c r="P26" i="4"/>
  <c r="N26" i="4"/>
  <c r="O42" i="4"/>
  <c r="N42" i="4"/>
  <c r="N74" i="4"/>
  <c r="P74" i="4"/>
  <c r="O74" i="4"/>
  <c r="S76" i="4"/>
  <c r="K95" i="4"/>
  <c r="J113" i="4"/>
  <c r="K113" i="4" s="1"/>
  <c r="S113" i="4"/>
  <c r="O130" i="4"/>
  <c r="P130" i="4"/>
  <c r="N11" i="4"/>
  <c r="N13" i="4"/>
  <c r="P13" i="4"/>
  <c r="O26" i="4"/>
  <c r="P42" i="4"/>
  <c r="P44" i="4"/>
  <c r="O44" i="4"/>
  <c r="N44" i="4"/>
  <c r="K72" i="4"/>
  <c r="O81" i="4"/>
  <c r="P81" i="4"/>
  <c r="N81" i="4"/>
  <c r="K110" i="4"/>
  <c r="P3" i="4"/>
  <c r="O11" i="4"/>
  <c r="O23" i="4"/>
  <c r="P23" i="4"/>
  <c r="N82" i="4"/>
  <c r="P82" i="4"/>
  <c r="O82" i="4"/>
  <c r="P116" i="4"/>
  <c r="O116" i="4"/>
  <c r="N116" i="4"/>
  <c r="S28" i="4"/>
  <c r="J28" i="4"/>
  <c r="K28" i="4" s="1"/>
  <c r="N46" i="4"/>
  <c r="P46" i="4"/>
  <c r="O46" i="4"/>
  <c r="J82" i="4"/>
  <c r="K82" i="4" s="1"/>
  <c r="S82" i="4"/>
  <c r="N113" i="4"/>
  <c r="P113" i="4"/>
  <c r="O113" i="4"/>
  <c r="S3" i="4"/>
  <c r="S13" i="4"/>
  <c r="S38" i="4"/>
  <c r="S46" i="4"/>
  <c r="S52" i="4"/>
  <c r="S55" i="4"/>
  <c r="S60" i="4"/>
  <c r="P61" i="4"/>
  <c r="S69" i="4"/>
  <c r="O77" i="4"/>
  <c r="P84" i="4"/>
  <c r="O88" i="4"/>
  <c r="K99" i="4"/>
  <c r="S99" i="4"/>
  <c r="K100" i="4"/>
  <c r="S114" i="4"/>
  <c r="S115" i="4"/>
  <c r="K116" i="4"/>
  <c r="S117" i="4"/>
  <c r="N134" i="4"/>
  <c r="K150" i="4"/>
  <c r="P152" i="4"/>
  <c r="S160" i="4"/>
  <c r="O162" i="4"/>
  <c r="O211" i="4"/>
  <c r="P221" i="4"/>
  <c r="S251" i="4"/>
  <c r="N257" i="4"/>
  <c r="P273" i="4"/>
  <c r="S286" i="4"/>
  <c r="O288" i="4"/>
  <c r="K70" i="4"/>
  <c r="K80" i="4"/>
  <c r="S88" i="4"/>
  <c r="S92" i="4"/>
  <c r="P257" i="4"/>
  <c r="S32" i="4"/>
  <c r="P43" i="4"/>
  <c r="N50" i="4"/>
  <c r="J55" i="4"/>
  <c r="K55" i="4" s="1"/>
  <c r="S61" i="4"/>
  <c r="S62" i="4"/>
  <c r="O72" i="4"/>
  <c r="N93" i="4"/>
  <c r="O94" i="4"/>
  <c r="S106" i="4"/>
  <c r="K109" i="4"/>
  <c r="N109" i="4"/>
  <c r="S109" i="4"/>
  <c r="S110" i="4"/>
  <c r="K114" i="4"/>
  <c r="S122" i="4"/>
  <c r="P124" i="4"/>
  <c r="S126" i="4"/>
  <c r="S132" i="4"/>
  <c r="S134" i="4"/>
  <c r="P146" i="4"/>
  <c r="K149" i="4"/>
  <c r="S154" i="4"/>
  <c r="S164" i="4"/>
  <c r="K182" i="4"/>
  <c r="P191" i="4"/>
  <c r="S222" i="4"/>
  <c r="S223" i="4"/>
  <c r="K248" i="4"/>
  <c r="K37" i="4"/>
  <c r="K85" i="4"/>
  <c r="K93" i="4"/>
  <c r="K97" i="4"/>
  <c r="K68" i="4"/>
  <c r="K112" i="4"/>
  <c r="S67" i="4"/>
  <c r="J67" i="4"/>
  <c r="K67" i="4" s="1"/>
  <c r="O68" i="4"/>
  <c r="P68" i="4"/>
  <c r="O69" i="4"/>
  <c r="N69" i="4"/>
  <c r="O70" i="4"/>
  <c r="N70" i="4"/>
  <c r="P78" i="4"/>
  <c r="N78" i="4"/>
  <c r="S84" i="4"/>
  <c r="J84" i="4"/>
  <c r="K84" i="4" s="1"/>
  <c r="P118" i="4"/>
  <c r="N118" i="4"/>
  <c r="O128" i="4"/>
  <c r="N128" i="4"/>
  <c r="O138" i="4"/>
  <c r="P138" i="4"/>
  <c r="O180" i="4"/>
  <c r="N180" i="4"/>
  <c r="S107" i="4"/>
  <c r="K117" i="4"/>
  <c r="S120" i="4"/>
  <c r="S121" i="4"/>
  <c r="S123" i="4"/>
  <c r="K127" i="4"/>
  <c r="S133" i="4"/>
  <c r="O134" i="4"/>
  <c r="K137" i="4"/>
  <c r="S140" i="4"/>
  <c r="S142" i="4"/>
  <c r="S146" i="4"/>
  <c r="S163" i="4"/>
  <c r="P176" i="4"/>
  <c r="O191" i="4"/>
  <c r="O195" i="4"/>
  <c r="O208" i="4"/>
  <c r="S218" i="4"/>
  <c r="O219" i="4"/>
  <c r="S227" i="4"/>
  <c r="O229" i="4"/>
  <c r="S233" i="4"/>
  <c r="S280" i="4"/>
  <c r="S264" i="4"/>
  <c r="K115" i="4"/>
  <c r="K119" i="4"/>
  <c r="K126" i="4"/>
  <c r="S138" i="4"/>
  <c r="K139" i="4"/>
  <c r="S141" i="4"/>
  <c r="K157" i="4"/>
  <c r="P190" i="4"/>
  <c r="P194" i="4"/>
  <c r="S214" i="4"/>
  <c r="P223" i="4"/>
  <c r="K81" i="4"/>
  <c r="S42" i="4"/>
  <c r="S44" i="4"/>
  <c r="K118" i="4"/>
  <c r="S108" i="4"/>
  <c r="J108" i="4"/>
  <c r="K108" i="4" s="1"/>
  <c r="N110" i="4"/>
  <c r="P110" i="4"/>
  <c r="O121" i="4"/>
  <c r="P121" i="4"/>
  <c r="N132" i="4"/>
  <c r="O132" i="4"/>
  <c r="O133" i="4"/>
  <c r="P133" i="4"/>
  <c r="N135" i="4"/>
  <c r="O135" i="4"/>
  <c r="P137" i="4"/>
  <c r="N137" i="4"/>
  <c r="P161" i="4"/>
  <c r="N161" i="4"/>
  <c r="K144" i="4"/>
  <c r="K153" i="4"/>
  <c r="K159" i="4"/>
  <c r="S168" i="4"/>
  <c r="K103" i="4"/>
  <c r="S103" i="4"/>
  <c r="S104" i="4"/>
  <c r="S125" i="4"/>
  <c r="K128" i="4"/>
  <c r="K129" i="4"/>
  <c r="K130" i="4"/>
  <c r="O141" i="4"/>
  <c r="N147" i="4"/>
  <c r="N152" i="4"/>
  <c r="K155" i="4"/>
  <c r="N162" i="4"/>
  <c r="K164" i="4"/>
  <c r="S165" i="4"/>
  <c r="S170" i="4"/>
  <c r="N172" i="4"/>
  <c r="N176" i="4"/>
  <c r="P180" i="4"/>
  <c r="S184" i="4"/>
  <c r="S188" i="4"/>
  <c r="O193" i="4"/>
  <c r="P195" i="4"/>
  <c r="N207" i="4"/>
  <c r="P211" i="4"/>
  <c r="K215" i="4"/>
  <c r="P219" i="4"/>
  <c r="S229" i="4"/>
  <c r="P229" i="4"/>
  <c r="P231" i="4"/>
  <c r="P237" i="4"/>
  <c r="S242" i="4"/>
  <c r="S243" i="4"/>
  <c r="S249" i="4"/>
  <c r="S255" i="4"/>
  <c r="S259" i="4"/>
  <c r="K262" i="4"/>
  <c r="P265" i="4"/>
  <c r="N269" i="4"/>
  <c r="P277" i="4"/>
  <c r="J281" i="4"/>
  <c r="K281" i="4" s="1"/>
  <c r="O284" i="4"/>
  <c r="N287" i="4"/>
  <c r="N289" i="4"/>
  <c r="S182" i="4"/>
  <c r="S204" i="4"/>
  <c r="O207" i="4"/>
  <c r="K236" i="4"/>
  <c r="S285" i="4"/>
  <c r="K121" i="4"/>
  <c r="S124" i="4"/>
  <c r="K135" i="4"/>
  <c r="S139" i="4"/>
  <c r="K147" i="4"/>
  <c r="S149" i="4"/>
  <c r="S156" i="4"/>
  <c r="S161" i="4"/>
  <c r="K165" i="4"/>
  <c r="O189" i="4"/>
  <c r="O210" i="4"/>
  <c r="N214" i="4"/>
  <c r="S216" i="4"/>
  <c r="S220" i="4"/>
  <c r="S221" i="4"/>
  <c r="O223" i="4"/>
  <c r="S234" i="4"/>
  <c r="S247" i="4"/>
  <c r="P274" i="4"/>
  <c r="S279" i="4"/>
  <c r="N281" i="4"/>
  <c r="N282" i="4"/>
  <c r="S83" i="4"/>
  <c r="S98" i="4"/>
  <c r="K89" i="4"/>
  <c r="K92" i="4"/>
  <c r="K94" i="4"/>
  <c r="T2" i="20"/>
  <c r="K71" i="4"/>
  <c r="S81" i="4"/>
  <c r="O101" i="4"/>
  <c r="N101" i="4"/>
  <c r="P107" i="4"/>
  <c r="O107" i="4"/>
  <c r="S111" i="4"/>
  <c r="J111" i="4"/>
  <c r="K111" i="4" s="1"/>
  <c r="O111" i="4"/>
  <c r="N111" i="4"/>
  <c r="P112" i="4"/>
  <c r="O112" i="4"/>
  <c r="P115" i="4"/>
  <c r="O115" i="4"/>
  <c r="N115" i="4"/>
  <c r="P120" i="4"/>
  <c r="O120" i="4"/>
  <c r="N120" i="4"/>
  <c r="K140" i="4"/>
  <c r="P144" i="4"/>
  <c r="S151" i="4"/>
  <c r="J168" i="4"/>
  <c r="K168" i="4" s="1"/>
  <c r="O178" i="4"/>
  <c r="P178" i="4"/>
  <c r="O190" i="4"/>
  <c r="O194" i="4"/>
  <c r="P196" i="4"/>
  <c r="N196" i="4"/>
  <c r="P203" i="4"/>
  <c r="N203" i="4"/>
  <c r="P205" i="4"/>
  <c r="N205" i="4"/>
  <c r="K214" i="4"/>
  <c r="N220" i="4"/>
  <c r="P220" i="4"/>
  <c r="O220" i="4"/>
  <c r="N125" i="4"/>
  <c r="N129" i="4"/>
  <c r="N136" i="4"/>
  <c r="S167" i="4"/>
  <c r="P168" i="4"/>
  <c r="N168" i="4"/>
  <c r="S171" i="4"/>
  <c r="J171" i="4"/>
  <c r="K171" i="4" s="1"/>
  <c r="O173" i="4"/>
  <c r="N173" i="4"/>
  <c r="K184" i="4"/>
  <c r="O186" i="4"/>
  <c r="P186" i="4"/>
  <c r="N222" i="4"/>
  <c r="P222" i="4"/>
  <c r="O222" i="4"/>
  <c r="K106" i="4"/>
  <c r="N121" i="4"/>
  <c r="N124" i="4"/>
  <c r="O125" i="4"/>
  <c r="O129" i="4"/>
  <c r="N130" i="4"/>
  <c r="N133" i="4"/>
  <c r="O136" i="4"/>
  <c r="S136" i="4"/>
  <c r="N138" i="4"/>
  <c r="K141" i="4"/>
  <c r="O143" i="4"/>
  <c r="N144" i="4"/>
  <c r="O147" i="4"/>
  <c r="J151" i="4"/>
  <c r="S155" i="4"/>
  <c r="O156" i="4"/>
  <c r="S157" i="4"/>
  <c r="N158" i="4"/>
  <c r="S159" i="4"/>
  <c r="J161" i="4"/>
  <c r="K161" i="4" s="1"/>
  <c r="O161" i="4"/>
  <c r="S162" i="4"/>
  <c r="K163" i="4"/>
  <c r="O166" i="4"/>
  <c r="P166" i="4"/>
  <c r="O168" i="4"/>
  <c r="P173" i="4"/>
  <c r="P175" i="4"/>
  <c r="O177" i="4"/>
  <c r="N177" i="4"/>
  <c r="N179" i="4"/>
  <c r="S183" i="4"/>
  <c r="N186" i="4"/>
  <c r="P189" i="4"/>
  <c r="O192" i="4"/>
  <c r="P193" i="4"/>
  <c r="P204" i="4"/>
  <c r="N204" i="4"/>
  <c r="P206" i="4"/>
  <c r="O206" i="4"/>
  <c r="N206" i="4"/>
  <c r="S101" i="4"/>
  <c r="J124" i="4"/>
  <c r="K124" i="4" s="1"/>
  <c r="J133" i="4"/>
  <c r="K133" i="4" s="1"/>
  <c r="S144" i="4"/>
  <c r="S148" i="4"/>
  <c r="P156" i="4"/>
  <c r="P158" i="4"/>
  <c r="N164" i="4"/>
  <c r="P164" i="4"/>
  <c r="K170" i="4"/>
  <c r="O174" i="4"/>
  <c r="P174" i="4"/>
  <c r="P179" i="4"/>
  <c r="O181" i="4"/>
  <c r="N181" i="4"/>
  <c r="S185" i="4"/>
  <c r="J185" i="4"/>
  <c r="P192" i="4"/>
  <c r="S203" i="4"/>
  <c r="S205" i="4"/>
  <c r="J206" i="4"/>
  <c r="K206" i="4" s="1"/>
  <c r="S206" i="4"/>
  <c r="P215" i="4"/>
  <c r="N215" i="4"/>
  <c r="S209" i="4"/>
  <c r="P210" i="4"/>
  <c r="S212" i="4"/>
  <c r="S225" i="4"/>
  <c r="S230" i="4"/>
  <c r="N234" i="4"/>
  <c r="N236" i="4"/>
  <c r="S244" i="4"/>
  <c r="S245" i="4"/>
  <c r="S248" i="4"/>
  <c r="S261" i="4"/>
  <c r="S262" i="4"/>
  <c r="S263" i="4"/>
  <c r="P264" i="4"/>
  <c r="N268" i="4"/>
  <c r="P269" i="4"/>
  <c r="N279" i="4"/>
  <c r="N280" i="4"/>
  <c r="O282" i="4"/>
  <c r="N283" i="4"/>
  <c r="O287" i="4"/>
  <c r="O289" i="4"/>
  <c r="N290" i="4"/>
  <c r="S215" i="4"/>
  <c r="K216" i="4"/>
  <c r="S219" i="4"/>
  <c r="K233" i="4"/>
  <c r="O234" i="4"/>
  <c r="S235" i="4"/>
  <c r="O236" i="4"/>
  <c r="S236" i="4"/>
  <c r="S237" i="4"/>
  <c r="S252" i="4"/>
  <c r="S256" i="4"/>
  <c r="S257" i="4"/>
  <c r="S258" i="4"/>
  <c r="S266" i="4"/>
  <c r="P268" i="4"/>
  <c r="O279" i="4"/>
  <c r="O280" i="4"/>
  <c r="O283" i="4"/>
  <c r="O290" i="4"/>
  <c r="S202" i="4"/>
  <c r="S208" i="4"/>
  <c r="S210" i="4"/>
  <c r="S211" i="4"/>
  <c r="S217" i="4"/>
  <c r="O221" i="4"/>
  <c r="S250" i="4"/>
  <c r="N265" i="4"/>
  <c r="N285" i="4"/>
  <c r="N286" i="4"/>
  <c r="N288" i="4"/>
  <c r="N291" i="4"/>
  <c r="O291" i="4"/>
  <c r="S19" i="4"/>
  <c r="S30" i="4"/>
  <c r="K31" i="4"/>
  <c r="K36" i="4"/>
  <c r="S51" i="4"/>
  <c r="S43" i="4"/>
  <c r="K47" i="4"/>
  <c r="S8" i="4"/>
  <c r="K15" i="4"/>
  <c r="S2" i="4"/>
  <c r="K4" i="4"/>
  <c r="S17" i="4"/>
  <c r="K20" i="4"/>
  <c r="S21" i="4"/>
  <c r="S23" i="4"/>
  <c r="S25" i="4"/>
  <c r="K29" i="4"/>
  <c r="K35" i="4"/>
  <c r="K45" i="4"/>
  <c r="K8" i="4"/>
  <c r="S12" i="4"/>
  <c r="S14" i="4"/>
  <c r="K16" i="4"/>
  <c r="S18" i="4"/>
  <c r="S22" i="4"/>
  <c r="K24" i="4"/>
  <c r="S34" i="4"/>
  <c r="K38" i="4"/>
  <c r="S41" i="4"/>
  <c r="K2" i="4"/>
  <c r="N7" i="4"/>
  <c r="N17" i="4"/>
  <c r="N18" i="4"/>
  <c r="K21" i="4"/>
  <c r="P21" i="4"/>
  <c r="K22" i="4"/>
  <c r="S26" i="4"/>
  <c r="S27" i="4"/>
  <c r="N38" i="4"/>
  <c r="N39" i="4"/>
  <c r="K41" i="4"/>
  <c r="N48" i="4"/>
  <c r="S49" i="4"/>
  <c r="J49" i="4"/>
  <c r="K53" i="4"/>
  <c r="K54" i="4"/>
  <c r="K77" i="4"/>
  <c r="S77" i="4"/>
  <c r="N5" i="4"/>
  <c r="S9" i="4"/>
  <c r="S10" i="4"/>
  <c r="S4" i="4"/>
  <c r="J5" i="4"/>
  <c r="O5" i="4"/>
  <c r="J6" i="4"/>
  <c r="O6" i="4"/>
  <c r="J7" i="4"/>
  <c r="O7" i="4"/>
  <c r="K9" i="4"/>
  <c r="K10" i="4"/>
  <c r="K11" i="4"/>
  <c r="K12" i="4"/>
  <c r="S16" i="4"/>
  <c r="O17" i="4"/>
  <c r="O18" i="4"/>
  <c r="N23" i="4"/>
  <c r="S24" i="4"/>
  <c r="K26" i="4"/>
  <c r="K27" i="4"/>
  <c r="N30" i="4"/>
  <c r="S31" i="4"/>
  <c r="K33" i="4"/>
  <c r="K34" i="4"/>
  <c r="S36" i="4"/>
  <c r="O37" i="4"/>
  <c r="O38" i="4"/>
  <c r="O39" i="4"/>
  <c r="N43" i="4"/>
  <c r="J44" i="4"/>
  <c r="P48" i="4"/>
  <c r="N49" i="4"/>
  <c r="S50" i="4"/>
  <c r="J50" i="4"/>
  <c r="K51" i="4"/>
  <c r="K65" i="4"/>
  <c r="S65" i="4"/>
  <c r="K79" i="4"/>
  <c r="S79" i="4"/>
  <c r="N6" i="4"/>
  <c r="N3" i="4"/>
  <c r="J3" i="4"/>
  <c r="S15" i="4"/>
  <c r="K19" i="4"/>
  <c r="J23" i="4"/>
  <c r="K25" i="4"/>
  <c r="S29" i="4"/>
  <c r="J30" i="4"/>
  <c r="O30" i="4"/>
  <c r="K32" i="4"/>
  <c r="S35" i="4"/>
  <c r="J42" i="4"/>
  <c r="J43" i="4"/>
  <c r="S47" i="4"/>
  <c r="P49" i="4"/>
  <c r="S54" i="4"/>
  <c r="S56" i="4"/>
  <c r="J56" i="4"/>
  <c r="J57" i="4"/>
  <c r="S57" i="4"/>
  <c r="K64" i="4"/>
  <c r="K66" i="4"/>
  <c r="S66" i="4"/>
  <c r="J13" i="4"/>
  <c r="J14" i="4"/>
  <c r="S20" i="4"/>
  <c r="S48" i="4"/>
  <c r="J48" i="4"/>
  <c r="K52" i="4"/>
  <c r="S53" i="4"/>
  <c r="K78" i="4"/>
  <c r="S78" i="4"/>
  <c r="J61" i="4"/>
  <c r="J62" i="4"/>
  <c r="K63" i="4"/>
  <c r="N65" i="4"/>
  <c r="S105" i="4"/>
  <c r="S127" i="4"/>
  <c r="S64" i="4"/>
  <c r="O65" i="4"/>
  <c r="S74" i="4"/>
  <c r="J74" i="4"/>
  <c r="K88" i="4"/>
  <c r="S95" i="4"/>
  <c r="K96" i="4"/>
  <c r="S119" i="4"/>
  <c r="K120" i="4"/>
  <c r="S130" i="4"/>
  <c r="K134" i="4"/>
  <c r="K138" i="4"/>
  <c r="K145" i="4"/>
  <c r="S147" i="4"/>
  <c r="K148" i="4"/>
  <c r="K162" i="4"/>
  <c r="K58" i="4"/>
  <c r="K60" i="4"/>
  <c r="K87" i="4"/>
  <c r="K90" i="4"/>
  <c r="K102" i="4"/>
  <c r="S118" i="4"/>
  <c r="S129" i="4"/>
  <c r="K187" i="4"/>
  <c r="S187" i="4"/>
  <c r="S73" i="4"/>
  <c r="J73" i="4"/>
  <c r="S75" i="4"/>
  <c r="J75" i="4"/>
  <c r="O78" i="4"/>
  <c r="S80" i="4"/>
  <c r="K101" i="4"/>
  <c r="K107" i="4"/>
  <c r="K122" i="4"/>
  <c r="S128" i="4"/>
  <c r="S131" i="4"/>
  <c r="K132" i="4"/>
  <c r="K136" i="4"/>
  <c r="K143" i="4"/>
  <c r="K146" i="4"/>
  <c r="K156" i="4"/>
  <c r="S152" i="4"/>
  <c r="J152" i="4"/>
  <c r="K154" i="4"/>
  <c r="S158" i="4"/>
  <c r="J158" i="4"/>
  <c r="K160" i="4"/>
  <c r="S166" i="4"/>
  <c r="J166" i="4"/>
  <c r="K169" i="4"/>
  <c r="S172" i="4"/>
  <c r="J172" i="4"/>
  <c r="S173" i="4"/>
  <c r="J173" i="4"/>
  <c r="S174" i="4"/>
  <c r="J174" i="4"/>
  <c r="S175" i="4"/>
  <c r="J175" i="4"/>
  <c r="S176" i="4"/>
  <c r="J176" i="4"/>
  <c r="S177" i="4"/>
  <c r="J177" i="4"/>
  <c r="S178" i="4"/>
  <c r="J178" i="4"/>
  <c r="S179" i="4"/>
  <c r="J179" i="4"/>
  <c r="S180" i="4"/>
  <c r="J180" i="4"/>
  <c r="S181" i="4"/>
  <c r="J181" i="4"/>
  <c r="K183" i="4"/>
  <c r="S186" i="4"/>
  <c r="J186" i="4"/>
  <c r="K188" i="4"/>
  <c r="S189" i="4"/>
  <c r="J189" i="4"/>
  <c r="S190" i="4"/>
  <c r="J190" i="4"/>
  <c r="S191" i="4"/>
  <c r="J191" i="4"/>
  <c r="S192" i="4"/>
  <c r="J192" i="4"/>
  <c r="S193" i="4"/>
  <c r="J193" i="4"/>
  <c r="S194" i="4"/>
  <c r="J194" i="4"/>
  <c r="S195" i="4"/>
  <c r="J195" i="4"/>
  <c r="S196" i="4"/>
  <c r="J196" i="4"/>
  <c r="S197" i="4"/>
  <c r="J197" i="4"/>
  <c r="K198" i="4"/>
  <c r="K202" i="4"/>
  <c r="K213" i="4"/>
  <c r="K224" i="4"/>
  <c r="K228" i="4"/>
  <c r="K238" i="4"/>
  <c r="N208" i="4"/>
  <c r="J210" i="4"/>
  <c r="J211" i="4"/>
  <c r="J212" i="4"/>
  <c r="S224" i="4"/>
  <c r="K225" i="4"/>
  <c r="K227" i="4"/>
  <c r="O228" i="4"/>
  <c r="S228" i="4"/>
  <c r="K229" i="4"/>
  <c r="S231" i="4"/>
  <c r="J231" i="4"/>
  <c r="K232" i="4"/>
  <c r="N233" i="4"/>
  <c r="K234" i="4"/>
  <c r="S238" i="4"/>
  <c r="K239" i="4"/>
  <c r="K242" i="4"/>
  <c r="J246" i="4"/>
  <c r="S246" i="4"/>
  <c r="P247" i="4"/>
  <c r="O247" i="4"/>
  <c r="K249" i="4"/>
  <c r="J254" i="4"/>
  <c r="S254" i="4"/>
  <c r="S265" i="4"/>
  <c r="J271" i="4"/>
  <c r="S271" i="4"/>
  <c r="N199" i="4"/>
  <c r="N200" i="4"/>
  <c r="N201" i="4"/>
  <c r="N217" i="4"/>
  <c r="J219" i="4"/>
  <c r="J220" i="4"/>
  <c r="J221" i="4"/>
  <c r="J222" i="4"/>
  <c r="J223" i="4"/>
  <c r="P228" i="4"/>
  <c r="J230" i="4"/>
  <c r="O233" i="4"/>
  <c r="S239" i="4"/>
  <c r="O240" i="4"/>
  <c r="N240" i="4"/>
  <c r="J241" i="4"/>
  <c r="S241" i="4"/>
  <c r="P242" i="4"/>
  <c r="O242" i="4"/>
  <c r="K244" i="4"/>
  <c r="J245" i="4"/>
  <c r="P249" i="4"/>
  <c r="O249" i="4"/>
  <c r="N249" i="4"/>
  <c r="K252" i="4"/>
  <c r="S253" i="4"/>
  <c r="K259" i="4"/>
  <c r="K261" i="4"/>
  <c r="K267" i="4"/>
  <c r="S198" i="4"/>
  <c r="J199" i="4"/>
  <c r="O199" i="4"/>
  <c r="J200" i="4"/>
  <c r="O200" i="4"/>
  <c r="J201" i="4"/>
  <c r="O201" i="4"/>
  <c r="K203" i="4"/>
  <c r="K204" i="4"/>
  <c r="K205" i="4"/>
  <c r="K207" i="4"/>
  <c r="K208" i="4"/>
  <c r="K209" i="4"/>
  <c r="S213" i="4"/>
  <c r="O214" i="4"/>
  <c r="O215" i="4"/>
  <c r="O216" i="4"/>
  <c r="O217" i="4"/>
  <c r="K226" i="4"/>
  <c r="S232" i="4"/>
  <c r="K235" i="4"/>
  <c r="J237" i="4"/>
  <c r="S240" i="4"/>
  <c r="J240" i="4"/>
  <c r="J260" i="4"/>
  <c r="S260" i="4"/>
  <c r="S268" i="4"/>
  <c r="J268" i="4"/>
  <c r="S269" i="4"/>
  <c r="J269" i="4"/>
  <c r="S270" i="4"/>
  <c r="J270" i="4"/>
  <c r="P272" i="4"/>
  <c r="O272" i="4"/>
  <c r="N272" i="4"/>
  <c r="K218" i="4"/>
  <c r="K247" i="4"/>
  <c r="P248" i="4"/>
  <c r="O248" i="4"/>
  <c r="N248" i="4"/>
  <c r="P250" i="4"/>
  <c r="O250" i="4"/>
  <c r="N250" i="4"/>
  <c r="K253" i="4"/>
  <c r="K258" i="4"/>
  <c r="P262" i="4"/>
  <c r="O262" i="4"/>
  <c r="N262" i="4"/>
  <c r="K266" i="4"/>
  <c r="S267" i="4"/>
  <c r="J256" i="4"/>
  <c r="J257" i="4"/>
  <c r="J264" i="4"/>
  <c r="J265" i="4"/>
  <c r="N270" i="4"/>
  <c r="J272" i="4"/>
  <c r="K272" i="4" s="1"/>
  <c r="N273" i="4"/>
  <c r="N274" i="4"/>
  <c r="N276" i="4"/>
  <c r="N277" i="4"/>
  <c r="K278" i="4"/>
  <c r="K279" i="4"/>
  <c r="K280" i="4"/>
  <c r="K282" i="4"/>
  <c r="K283" i="4"/>
  <c r="K284" i="4"/>
  <c r="K285" i="4"/>
  <c r="K286" i="4"/>
  <c r="K287" i="4"/>
  <c r="K288" i="4"/>
  <c r="K289" i="4"/>
  <c r="K290" i="4"/>
  <c r="K291" i="4"/>
  <c r="K243" i="4"/>
  <c r="K251" i="4"/>
  <c r="K255" i="4"/>
  <c r="K263" i="4"/>
  <c r="S277" i="4"/>
  <c r="K277" i="4"/>
  <c r="S276" i="4"/>
  <c r="K276" i="4"/>
  <c r="S275" i="4"/>
  <c r="K275" i="4"/>
  <c r="S274" i="4"/>
  <c r="K274" i="4"/>
  <c r="R2" i="22"/>
  <c r="S273" i="4"/>
  <c r="K273" i="4"/>
  <c r="U119" i="4" l="1"/>
  <c r="F25" i="17" s="1"/>
  <c r="D2" i="20"/>
  <c r="U85" i="4"/>
  <c r="U114" i="4"/>
  <c r="U84" i="4"/>
  <c r="U159" i="4"/>
  <c r="U99" i="4"/>
  <c r="U91" i="4"/>
  <c r="U149" i="4"/>
  <c r="U153" i="4"/>
  <c r="U72" i="4"/>
  <c r="U94" i="4"/>
  <c r="U126" i="4"/>
  <c r="U142" i="4"/>
  <c r="U182" i="4"/>
  <c r="U150" i="4"/>
  <c r="U116" i="4"/>
  <c r="U128" i="4"/>
  <c r="U68" i="4"/>
  <c r="F2" i="20"/>
  <c r="U100" i="4"/>
  <c r="U98" i="4"/>
  <c r="U93" i="4"/>
  <c r="E2" i="20"/>
  <c r="U89" i="4"/>
  <c r="E25" i="17" s="1"/>
  <c r="U124" i="4"/>
  <c r="U109" i="4"/>
  <c r="U125" i="4"/>
  <c r="U113" i="4"/>
  <c r="U46" i="4"/>
  <c r="U110" i="4"/>
  <c r="U24" i="4"/>
  <c r="U163" i="4"/>
  <c r="U70" i="4"/>
  <c r="H17" i="17"/>
  <c r="U140" i="4"/>
  <c r="U71" i="4"/>
  <c r="U165" i="4"/>
  <c r="U117" i="4"/>
  <c r="N2" i="19"/>
  <c r="O2" i="19"/>
  <c r="D7" i="17"/>
  <c r="H2" i="20"/>
  <c r="U76" i="4"/>
  <c r="U35" i="4"/>
  <c r="U15" i="4"/>
  <c r="U214" i="4"/>
  <c r="U133" i="4"/>
  <c r="U123" i="4"/>
  <c r="U106" i="4"/>
  <c r="U83" i="4"/>
  <c r="U154" i="4"/>
  <c r="G31" i="17" s="1"/>
  <c r="U164" i="4"/>
  <c r="U121" i="4"/>
  <c r="U115" i="4"/>
  <c r="U8" i="4"/>
  <c r="U236" i="4"/>
  <c r="U122" i="4"/>
  <c r="U82" i="4"/>
  <c r="U103" i="4"/>
  <c r="U233" i="4"/>
  <c r="U69" i="4"/>
  <c r="U184" i="4"/>
  <c r="U170" i="4"/>
  <c r="U235" i="4"/>
  <c r="U169" i="4"/>
  <c r="U81" i="4"/>
  <c r="U139" i="4"/>
  <c r="U37" i="4"/>
  <c r="U4" i="4"/>
  <c r="U25" i="4"/>
  <c r="U135" i="4"/>
  <c r="U216" i="4"/>
  <c r="U97" i="4"/>
  <c r="U155" i="4"/>
  <c r="U137" i="4"/>
  <c r="U64" i="4"/>
  <c r="U144" i="4"/>
  <c r="U112" i="4"/>
  <c r="L2" i="20"/>
  <c r="U168" i="4"/>
  <c r="U104" i="4"/>
  <c r="U79" i="4"/>
  <c r="U161" i="4"/>
  <c r="E22" i="17"/>
  <c r="U129" i="4"/>
  <c r="U111" i="4"/>
  <c r="U55" i="4"/>
  <c r="U215" i="4"/>
  <c r="U167" i="4"/>
  <c r="U157" i="4"/>
  <c r="U274" i="4"/>
  <c r="U130" i="4"/>
  <c r="U171" i="4"/>
  <c r="U31" i="4"/>
  <c r="U10" i="4"/>
  <c r="U77" i="4"/>
  <c r="U26" i="4"/>
  <c r="U284" i="4"/>
  <c r="U258" i="4"/>
  <c r="U198" i="4"/>
  <c r="U259" i="4"/>
  <c r="U160" i="4"/>
  <c r="U136" i="4"/>
  <c r="U108" i="4"/>
  <c r="U60" i="4"/>
  <c r="U20" i="4"/>
  <c r="U92" i="4"/>
  <c r="U281" i="4"/>
  <c r="U134" i="4"/>
  <c r="U148" i="4"/>
  <c r="U53" i="4"/>
  <c r="U47" i="4"/>
  <c r="U141" i="4"/>
  <c r="U253" i="4"/>
  <c r="U248" i="4"/>
  <c r="J4" i="17" s="1"/>
  <c r="U102" i="4"/>
  <c r="U162" i="4"/>
  <c r="U54" i="4"/>
  <c r="K185" i="4"/>
  <c r="K151" i="4"/>
  <c r="O3" i="19"/>
  <c r="U204" i="4"/>
  <c r="U282" i="4"/>
  <c r="U288" i="4"/>
  <c r="U279" i="4"/>
  <c r="U263" i="4"/>
  <c r="U232" i="4"/>
  <c r="U208" i="4"/>
  <c r="K175" i="4"/>
  <c r="K166" i="4"/>
  <c r="K158" i="4"/>
  <c r="U278" i="4"/>
  <c r="U266" i="4"/>
  <c r="K25" i="17" s="1"/>
  <c r="U250" i="4"/>
  <c r="U218" i="4"/>
  <c r="U283" i="4"/>
  <c r="U226" i="4"/>
  <c r="U207" i="4"/>
  <c r="U203" i="4"/>
  <c r="U252" i="4"/>
  <c r="U286" i="4"/>
  <c r="U243" i="4"/>
  <c r="U234" i="4"/>
  <c r="U213" i="4"/>
  <c r="U202" i="4"/>
  <c r="K196" i="4"/>
  <c r="K194" i="4"/>
  <c r="K192" i="4"/>
  <c r="K190" i="4"/>
  <c r="K186" i="4"/>
  <c r="K181" i="4"/>
  <c r="I2" i="20" s="1"/>
  <c r="K180" i="4"/>
  <c r="K174" i="4"/>
  <c r="K173" i="4"/>
  <c r="U272" i="4"/>
  <c r="U262" i="4"/>
  <c r="U280" i="4"/>
  <c r="U206" i="4"/>
  <c r="U289" i="4"/>
  <c r="U249" i="4"/>
  <c r="U285" i="4"/>
  <c r="U242" i="4"/>
  <c r="U227" i="4"/>
  <c r="K2" i="20"/>
  <c r="U188" i="4"/>
  <c r="U183" i="4"/>
  <c r="K179" i="4"/>
  <c r="K178" i="4"/>
  <c r="K177" i="4"/>
  <c r="K172" i="4"/>
  <c r="U247" i="4"/>
  <c r="U290" i="4"/>
  <c r="U255" i="4"/>
  <c r="J2" i="20"/>
  <c r="U209" i="4"/>
  <c r="U205" i="4"/>
  <c r="U287" i="4"/>
  <c r="U267" i="4"/>
  <c r="U244" i="4"/>
  <c r="U217" i="4"/>
  <c r="U291" i="4"/>
  <c r="U251" i="4"/>
  <c r="U239" i="4"/>
  <c r="U229" i="4"/>
  <c r="U225" i="4"/>
  <c r="U238" i="4"/>
  <c r="K2" i="13" s="1"/>
  <c r="U228" i="4"/>
  <c r="U224" i="4"/>
  <c r="K197" i="4"/>
  <c r="K195" i="4"/>
  <c r="K193" i="4"/>
  <c r="K191" i="4"/>
  <c r="K189" i="4"/>
  <c r="K176" i="4"/>
  <c r="U101" i="4"/>
  <c r="K75" i="4"/>
  <c r="U187" i="4"/>
  <c r="U90" i="4"/>
  <c r="U80" i="4"/>
  <c r="U147" i="4"/>
  <c r="U138" i="4"/>
  <c r="K62" i="4"/>
  <c r="U95" i="4"/>
  <c r="K42" i="4"/>
  <c r="K30" i="4"/>
  <c r="G2" i="20"/>
  <c r="U105" i="4"/>
  <c r="U28" i="4"/>
  <c r="U11" i="4"/>
  <c r="U32" i="4"/>
  <c r="U27" i="4"/>
  <c r="U143" i="4"/>
  <c r="K74" i="4"/>
  <c r="K61" i="4"/>
  <c r="K48" i="4"/>
  <c r="K57" i="4"/>
  <c r="U87" i="4"/>
  <c r="K7" i="4"/>
  <c r="K5" i="4"/>
  <c r="U66" i="4"/>
  <c r="U18" i="4"/>
  <c r="U21" i="4"/>
  <c r="U19" i="4"/>
  <c r="K152" i="4"/>
  <c r="U107" i="4"/>
  <c r="K73" i="4"/>
  <c r="U132" i="4"/>
  <c r="U145" i="4"/>
  <c r="U120" i="4"/>
  <c r="U96" i="4"/>
  <c r="U131" i="4"/>
  <c r="U118" i="4"/>
  <c r="U65" i="4"/>
  <c r="U156" i="4"/>
  <c r="U78" i="4"/>
  <c r="K14" i="4"/>
  <c r="U88" i="4"/>
  <c r="K56" i="4"/>
  <c r="K3" i="4"/>
  <c r="C2" i="20" s="1"/>
  <c r="U63" i="4"/>
  <c r="K50" i="4"/>
  <c r="K44" i="4"/>
  <c r="U127" i="4"/>
  <c r="U58" i="4"/>
  <c r="K49" i="4"/>
  <c r="U39" i="4"/>
  <c r="U17" i="4"/>
  <c r="U16" i="4"/>
  <c r="U12" i="4"/>
  <c r="U45" i="4"/>
  <c r="U29" i="4"/>
  <c r="U2" i="4"/>
  <c r="U41" i="4"/>
  <c r="U9" i="4"/>
  <c r="U36" i="4"/>
  <c r="U146" i="4"/>
  <c r="U67" i="4"/>
  <c r="U52" i="4"/>
  <c r="K13" i="4"/>
  <c r="K43" i="4"/>
  <c r="K23" i="4"/>
  <c r="K6" i="4"/>
  <c r="U38" i="4"/>
  <c r="U51" i="4"/>
  <c r="U34" i="4"/>
  <c r="U22" i="4"/>
  <c r="U33" i="4"/>
  <c r="K265" i="4"/>
  <c r="K264" i="4"/>
  <c r="K257" i="4"/>
  <c r="K256" i="4"/>
  <c r="K34" i="17"/>
  <c r="K270" i="4"/>
  <c r="K269" i="4"/>
  <c r="K268" i="4"/>
  <c r="K260" i="4"/>
  <c r="J3" i="17"/>
  <c r="K240" i="4"/>
  <c r="K237" i="4"/>
  <c r="I16" i="17"/>
  <c r="K201" i="4"/>
  <c r="K200" i="4"/>
  <c r="K199" i="4"/>
  <c r="K15" i="17"/>
  <c r="K29" i="17"/>
  <c r="U261" i="4"/>
  <c r="K245" i="4"/>
  <c r="K241" i="4"/>
  <c r="K230" i="4"/>
  <c r="K223" i="4"/>
  <c r="K222" i="4"/>
  <c r="K221" i="4"/>
  <c r="K220" i="4"/>
  <c r="K219" i="4"/>
  <c r="K22" i="17"/>
  <c r="K3" i="17"/>
  <c r="K271" i="4"/>
  <c r="K254" i="4"/>
  <c r="K246" i="4"/>
  <c r="K231" i="4"/>
  <c r="K212" i="4"/>
  <c r="K211" i="4"/>
  <c r="K210" i="4"/>
  <c r="P2" i="19"/>
  <c r="U277" i="4"/>
  <c r="U276" i="4"/>
  <c r="L2" i="19"/>
  <c r="P3" i="19"/>
  <c r="M3" i="19"/>
  <c r="U275" i="4"/>
  <c r="M2" i="19"/>
  <c r="L3" i="19"/>
  <c r="N3" i="19"/>
  <c r="U273" i="4"/>
  <c r="J11" i="17" l="1"/>
  <c r="K23" i="17"/>
  <c r="G2" i="8"/>
  <c r="J2" i="12"/>
  <c r="G2" i="13"/>
  <c r="G26" i="17"/>
  <c r="F34" i="17"/>
  <c r="E35" i="17"/>
  <c r="K26" i="17"/>
  <c r="G7" i="17"/>
  <c r="J24" i="17"/>
  <c r="J9" i="17"/>
  <c r="I14" i="17"/>
  <c r="B17" i="17"/>
  <c r="E29" i="17"/>
  <c r="F30" i="17"/>
  <c r="G5" i="17"/>
  <c r="E12" i="17"/>
  <c r="E27" i="17"/>
  <c r="J27" i="17"/>
  <c r="E34" i="17"/>
  <c r="E26" i="17"/>
  <c r="E13" i="17"/>
  <c r="D4" i="17"/>
  <c r="D11" i="17"/>
  <c r="C12" i="17"/>
  <c r="F4" i="17"/>
  <c r="F27" i="17"/>
  <c r="F2" i="13"/>
  <c r="J25" i="17"/>
  <c r="F2" i="8"/>
  <c r="H6" i="17"/>
  <c r="H9" i="17"/>
  <c r="I31" i="17"/>
  <c r="J13" i="17"/>
  <c r="K7" i="17"/>
  <c r="J35" i="17"/>
  <c r="C15" i="17"/>
  <c r="J29" i="17"/>
  <c r="C26" i="17"/>
  <c r="B26" i="17"/>
  <c r="H29" i="17"/>
  <c r="K9" i="17"/>
  <c r="D13" i="17"/>
  <c r="B5" i="17"/>
  <c r="G30" i="17"/>
  <c r="H12" i="17"/>
  <c r="E8" i="17"/>
  <c r="B28" i="17"/>
  <c r="E15" i="17"/>
  <c r="D8" i="17"/>
  <c r="G6" i="17"/>
  <c r="F31" i="17"/>
  <c r="G17" i="17"/>
  <c r="G28" i="17"/>
  <c r="I30" i="17"/>
  <c r="F16" i="17"/>
  <c r="I22" i="17"/>
  <c r="I35" i="17"/>
  <c r="G3" i="17"/>
  <c r="B23" i="17"/>
  <c r="F14" i="17"/>
  <c r="F7" i="17"/>
  <c r="F5" i="17"/>
  <c r="E32" i="17"/>
  <c r="K30" i="17"/>
  <c r="K27" i="17"/>
  <c r="E14" i="17"/>
  <c r="K33" i="17"/>
  <c r="K35" i="17"/>
  <c r="K16" i="17"/>
  <c r="G24" i="17"/>
  <c r="F3" i="17"/>
  <c r="C30" i="17"/>
  <c r="F6" i="17"/>
  <c r="E4" i="17"/>
  <c r="G16" i="17"/>
  <c r="I10" i="17"/>
  <c r="K2" i="8"/>
  <c r="J7" i="17"/>
  <c r="K17" i="17"/>
  <c r="K14" i="17"/>
  <c r="H10" i="17"/>
  <c r="J14" i="17"/>
  <c r="K24" i="17"/>
  <c r="D24" i="17"/>
  <c r="K4" i="17"/>
  <c r="D28" i="17"/>
  <c r="D26" i="17"/>
  <c r="E23" i="17"/>
  <c r="I13" i="17"/>
  <c r="G34" i="17"/>
  <c r="F13" i="17"/>
  <c r="D16" i="17"/>
  <c r="D3" i="17"/>
  <c r="F12" i="17"/>
  <c r="B7" i="17"/>
  <c r="H2" i="12"/>
  <c r="G10" i="17"/>
  <c r="I4" i="17"/>
  <c r="E16" i="17"/>
  <c r="E28" i="17"/>
  <c r="F26" i="17"/>
  <c r="U254" i="4"/>
  <c r="U241" i="4"/>
  <c r="U48" i="4"/>
  <c r="U180" i="4"/>
  <c r="I5" i="17"/>
  <c r="G29" i="17"/>
  <c r="B29" i="17"/>
  <c r="D27" i="17"/>
  <c r="I3" i="17"/>
  <c r="J5" i="17"/>
  <c r="J8" i="17"/>
  <c r="L2" i="8"/>
  <c r="U43" i="4"/>
  <c r="U178" i="4"/>
  <c r="C22" i="17"/>
  <c r="G32" i="17"/>
  <c r="I2" i="12"/>
  <c r="L2" i="13"/>
  <c r="U190" i="4"/>
  <c r="F28" i="17"/>
  <c r="G9" i="17"/>
  <c r="E30" i="17"/>
  <c r="U230" i="4"/>
  <c r="U13" i="4"/>
  <c r="C29" i="17"/>
  <c r="F24" i="17"/>
  <c r="E7" i="17"/>
  <c r="E6" i="17"/>
  <c r="E3" i="17"/>
  <c r="U199" i="4"/>
  <c r="U201" i="4"/>
  <c r="U237" i="4"/>
  <c r="U44" i="4"/>
  <c r="U3" i="4"/>
  <c r="C2" i="8" s="1"/>
  <c r="U30" i="4"/>
  <c r="U194" i="4"/>
  <c r="U175" i="4"/>
  <c r="U151" i="4"/>
  <c r="G25" i="17"/>
  <c r="H2" i="13"/>
  <c r="H2" i="8"/>
  <c r="F23" i="17"/>
  <c r="U176" i="4"/>
  <c r="U177" i="4"/>
  <c r="G8" i="17"/>
  <c r="F8" i="17"/>
  <c r="U231" i="4"/>
  <c r="U200" i="4"/>
  <c r="U240" i="4"/>
  <c r="U260" i="4"/>
  <c r="U50" i="4"/>
  <c r="U73" i="4"/>
  <c r="U57" i="4"/>
  <c r="U61" i="4"/>
  <c r="U42" i="4"/>
  <c r="U62" i="4"/>
  <c r="U174" i="4"/>
  <c r="U185" i="4"/>
  <c r="D25" i="17"/>
  <c r="E2" i="13"/>
  <c r="E2" i="8"/>
  <c r="R2" i="20"/>
  <c r="C24" i="17"/>
  <c r="C7" i="17"/>
  <c r="C4" i="17"/>
  <c r="F10" i="17"/>
  <c r="G2" i="12"/>
  <c r="D30" i="17"/>
  <c r="D5" i="17"/>
  <c r="B6" i="17"/>
  <c r="E24" i="17"/>
  <c r="E17" i="17"/>
  <c r="H14" i="17"/>
  <c r="L2" i="12"/>
  <c r="K10" i="17"/>
  <c r="U211" i="4"/>
  <c r="U271" i="4"/>
  <c r="U220" i="4"/>
  <c r="U222" i="4"/>
  <c r="U269" i="4"/>
  <c r="U257" i="4"/>
  <c r="U265" i="4"/>
  <c r="U6" i="4"/>
  <c r="C17" i="17"/>
  <c r="B30" i="17"/>
  <c r="B13" i="17"/>
  <c r="U49" i="4"/>
  <c r="D14" i="17"/>
  <c r="F32" i="17"/>
  <c r="F22" i="17"/>
  <c r="E9" i="17"/>
  <c r="U5" i="4"/>
  <c r="U74" i="4"/>
  <c r="C25" i="17"/>
  <c r="D2" i="13"/>
  <c r="D2" i="8"/>
  <c r="F9" i="17"/>
  <c r="U75" i="4"/>
  <c r="U191" i="4"/>
  <c r="U195" i="4"/>
  <c r="I23" i="17"/>
  <c r="U179" i="4"/>
  <c r="J31" i="17"/>
  <c r="U173" i="4"/>
  <c r="U186" i="4"/>
  <c r="U192" i="4"/>
  <c r="U196" i="4"/>
  <c r="U158" i="4"/>
  <c r="U166" i="4"/>
  <c r="C5" i="17"/>
  <c r="C14" i="17"/>
  <c r="D10" i="17"/>
  <c r="E2" i="12"/>
  <c r="C16" i="17"/>
  <c r="D2" i="12"/>
  <c r="C10" i="17"/>
  <c r="B27" i="17"/>
  <c r="G4" i="17"/>
  <c r="F2" i="12"/>
  <c r="E10" i="17"/>
  <c r="F11" i="17"/>
  <c r="B9" i="17"/>
  <c r="B4" i="17"/>
  <c r="E5" i="17"/>
  <c r="H5" i="17"/>
  <c r="E11" i="17"/>
  <c r="J2" i="13"/>
  <c r="J2" i="8"/>
  <c r="I25" i="17"/>
  <c r="J28" i="17"/>
  <c r="H35" i="17"/>
  <c r="I32" i="17"/>
  <c r="G35" i="17"/>
  <c r="U210" i="4"/>
  <c r="U212" i="4"/>
  <c r="U246" i="4"/>
  <c r="U219" i="4"/>
  <c r="U221" i="4"/>
  <c r="U223" i="4"/>
  <c r="U245" i="4"/>
  <c r="U268" i="4"/>
  <c r="U270" i="4"/>
  <c r="U256" i="4"/>
  <c r="U264" i="4"/>
  <c r="B8" i="17"/>
  <c r="C23" i="17"/>
  <c r="U23" i="4"/>
  <c r="B3" i="17"/>
  <c r="C13" i="17"/>
  <c r="D6" i="17"/>
  <c r="U56" i="4"/>
  <c r="U14" i="4"/>
  <c r="D31" i="17"/>
  <c r="F17" i="17"/>
  <c r="U152" i="4"/>
  <c r="B12" i="17"/>
  <c r="B10" i="17"/>
  <c r="C2" i="12"/>
  <c r="U7" i="4"/>
  <c r="U189" i="4"/>
  <c r="U193" i="4"/>
  <c r="U197" i="4"/>
  <c r="I24" i="17"/>
  <c r="J17" i="17"/>
  <c r="U172" i="4"/>
  <c r="I11" i="17"/>
  <c r="H22" i="17"/>
  <c r="U181" i="4"/>
  <c r="I34" i="17"/>
  <c r="J22" i="17"/>
  <c r="K8" i="17"/>
  <c r="K28" i="17"/>
  <c r="K32" i="17"/>
  <c r="K5" i="17"/>
  <c r="I12" i="17" l="1"/>
  <c r="J33" i="17"/>
  <c r="J10" i="17"/>
  <c r="K13" i="17"/>
  <c r="C6" i="17"/>
  <c r="I9" i="17"/>
  <c r="J12" i="17"/>
  <c r="J16" i="17"/>
  <c r="K12" i="17"/>
  <c r="I6" i="17"/>
  <c r="H30" i="17"/>
  <c r="J23" i="17"/>
  <c r="I7" i="17"/>
  <c r="I29" i="17"/>
  <c r="C31" i="17"/>
  <c r="C11" i="17"/>
  <c r="G15" i="17"/>
  <c r="H11" i="17"/>
  <c r="I8" i="17"/>
  <c r="I27" i="17"/>
  <c r="D17" i="17"/>
  <c r="H23" i="17"/>
  <c r="J30" i="17"/>
  <c r="G22" i="17"/>
  <c r="J6" i="17"/>
  <c r="C27" i="17"/>
  <c r="C28" i="17"/>
  <c r="C2" i="13"/>
  <c r="S2" i="13" s="1"/>
  <c r="B25" i="17"/>
  <c r="K2" i="12"/>
  <c r="S2" i="12" s="1"/>
  <c r="I28" i="17"/>
  <c r="B16" i="17"/>
  <c r="C9" i="17"/>
  <c r="K6" i="17"/>
  <c r="E21" i="17"/>
  <c r="D12" i="17"/>
  <c r="J32" i="17"/>
  <c r="I17" i="17"/>
  <c r="K31" i="17"/>
  <c r="K21" i="17" s="1"/>
  <c r="H32" i="17"/>
  <c r="H8" i="17"/>
  <c r="H13" i="17"/>
  <c r="G12" i="17"/>
  <c r="F2" i="17"/>
  <c r="E2" i="17"/>
  <c r="H16" i="17"/>
  <c r="B11" i="17"/>
  <c r="G27" i="17"/>
  <c r="C8" i="17"/>
  <c r="G14" i="17"/>
  <c r="H7" i="17"/>
  <c r="H3" i="17"/>
  <c r="G33" i="17"/>
  <c r="D23" i="17"/>
  <c r="D21" i="17" s="1"/>
  <c r="H4" i="17"/>
  <c r="B31" i="17"/>
  <c r="H28" i="17"/>
  <c r="H24" i="17"/>
  <c r="D9" i="17"/>
  <c r="I2" i="13"/>
  <c r="I2" i="8"/>
  <c r="S2" i="8" s="1"/>
  <c r="H25" i="17"/>
  <c r="G13" i="17"/>
  <c r="G23" i="17"/>
  <c r="H31" i="17"/>
  <c r="H27" i="17"/>
  <c r="F21" i="17"/>
  <c r="B24" i="17"/>
  <c r="J2" i="17" l="1"/>
  <c r="J21" i="17"/>
  <c r="K2" i="17"/>
  <c r="K2" i="19" s="1"/>
  <c r="C21" i="17"/>
  <c r="I2" i="17"/>
  <c r="I21" i="17"/>
  <c r="B2" i="17"/>
  <c r="D2" i="17"/>
  <c r="E2" i="19" s="1"/>
  <c r="C2" i="17"/>
  <c r="F2" i="19"/>
  <c r="G3" i="19"/>
  <c r="G2" i="17"/>
  <c r="F3" i="19"/>
  <c r="G21" i="17"/>
  <c r="B21" i="17"/>
  <c r="H21" i="17"/>
  <c r="G2" i="19"/>
  <c r="H2" i="17"/>
  <c r="V2" i="8"/>
  <c r="J3" i="19" l="1"/>
  <c r="J2" i="19"/>
  <c r="K3" i="19"/>
  <c r="D2" i="19"/>
  <c r="I2" i="19"/>
  <c r="I3" i="19"/>
  <c r="E3" i="19"/>
  <c r="C2" i="19"/>
  <c r="D3" i="19"/>
  <c r="C3" i="19"/>
  <c r="Q21" i="17"/>
  <c r="H3" i="19"/>
  <c r="H2" i="19"/>
  <c r="Q2" i="17"/>
  <c r="Q2" i="19" l="1"/>
  <c r="Q3" i="19"/>
</calcChain>
</file>

<file path=xl/sharedStrings.xml><?xml version="1.0" encoding="utf-8"?>
<sst xmlns="http://schemas.openxmlformats.org/spreadsheetml/2006/main" count="1404" uniqueCount="311">
  <si>
    <t>Editie pilot</t>
  </si>
  <si>
    <t>Casu Igor</t>
  </si>
  <si>
    <t>Florin Ionita</t>
  </si>
  <si>
    <t>Adrian Chiru</t>
  </si>
  <si>
    <t>decembrie 2017</t>
  </si>
  <si>
    <t>Cristina Man</t>
  </si>
  <si>
    <t>Eduard Ene</t>
  </si>
  <si>
    <t>Silviu Burcea</t>
  </si>
  <si>
    <t>ian-mar 2018</t>
  </si>
  <si>
    <t>apr-iun 2018</t>
  </si>
  <si>
    <t>Cristian Dumitru C</t>
  </si>
  <si>
    <t>Distanta: </t>
  </si>
  <si>
    <t>Viteza (min/km) </t>
  </si>
  <si>
    <t>Puncte Fete Baieti</t>
  </si>
  <si>
    <t>5 max 4:30/max 4:00</t>
  </si>
  <si>
    <t>4.5 max 4.45/max 4:15</t>
  </si>
  <si>
    <t>4 max 5:00/max 4:30</t>
  </si>
  <si>
    <t>3.5 max 5:15/max 4:45</t>
  </si>
  <si>
    <t>3 max 5:30/max 5:00</t>
  </si>
  <si>
    <t>2.5 max 5:45/max 5:15</t>
  </si>
  <si>
    <t>2 max 6:00/max 5:30</t>
  </si>
  <si>
    <t>1.5 max 6:30/max 6:00</t>
  </si>
  <si>
    <t>Hashtagul de #LigaSYR</t>
  </si>
  <si>
    <t>se posteaza o singura data. Dacă ați postat de mai multe ori eu o sa iau in calcul prima alergare așa că dacă postați o alergare mai buna intrați pe postarea veche și ștergeți hashtag-ul.</t>
  </si>
  <si>
    <t>Deadline postari alergari</t>
  </si>
  <si>
    <t>min</t>
  </si>
  <si>
    <t>pct/dist</t>
  </si>
  <si>
    <t>max</t>
  </si>
  <si>
    <t>pct/viteza</t>
  </si>
  <si>
    <t>Etapa</t>
  </si>
  <si>
    <t>F</t>
  </si>
  <si>
    <t>M</t>
  </si>
  <si>
    <t>Nume</t>
  </si>
  <si>
    <t>M/F</t>
  </si>
  <si>
    <t>Distanta</t>
  </si>
  <si>
    <t>Timp</t>
  </si>
  <si>
    <t>Viteza</t>
  </si>
  <si>
    <t>Pct distanta</t>
  </si>
  <si>
    <t>Pct viteza</t>
  </si>
  <si>
    <t>TOTAL ETAPA</t>
  </si>
  <si>
    <t>Check single entry</t>
  </si>
  <si>
    <t>oct-dec 2018</t>
  </si>
  <si>
    <t>Catalin Holban</t>
  </si>
  <si>
    <t>Ana-Maria Rusu</t>
  </si>
  <si>
    <t>Catalin Tintareanu</t>
  </si>
  <si>
    <t>Oana Elena</t>
  </si>
  <si>
    <t>Oana Trif</t>
  </si>
  <si>
    <t>Andrei Mezofii</t>
  </si>
  <si>
    <t>Dan Spataru</t>
  </si>
  <si>
    <t>Ovidiu Gavrilovici</t>
  </si>
  <si>
    <t>Robert Herman</t>
  </si>
  <si>
    <t>Andrei Diaconescu</t>
  </si>
  <si>
    <t>Bogdan Tala</t>
  </si>
  <si>
    <t>Anamaria Catalina</t>
  </si>
  <si>
    <t>Constandan Cornelius</t>
  </si>
  <si>
    <t>Marius Iulian Alecu</t>
  </si>
  <si>
    <t>Alex Ionut Husariu</t>
  </si>
  <si>
    <t>Cosmin Niculescu</t>
  </si>
  <si>
    <t>Adrico Adrian</t>
  </si>
  <si>
    <t>Flo Dum</t>
  </si>
  <si>
    <t>Vasi Minzatu</t>
  </si>
  <si>
    <t>Dan Mihaescu</t>
  </si>
  <si>
    <t>Giuliana Sadovei</t>
  </si>
  <si>
    <t>Marius Enescu</t>
  </si>
  <si>
    <t>Cosmin Constantin Popa</t>
  </si>
  <si>
    <t>Silvia Medinschi</t>
  </si>
  <si>
    <t>Daniel Moldoveanu</t>
  </si>
  <si>
    <t>Regulament:</t>
  </si>
  <si>
    <t>Loc</t>
  </si>
  <si>
    <t>DISTANTA</t>
  </si>
  <si>
    <t>TOTAL</t>
  </si>
  <si>
    <t>VITEZA</t>
  </si>
  <si>
    <t>Bonus elevatie</t>
  </si>
  <si>
    <t>Naidin Marian Laurentiu</t>
  </si>
  <si>
    <t>Gen</t>
  </si>
  <si>
    <t>ian-apr 2019</t>
  </si>
  <si>
    <t>Bonus distanta</t>
  </si>
  <si>
    <t>In fiecare LUNI, ora 23:59 (ora Romaniei). Ce se posteaza dupa aceasta data/ora nu va fi luat in considerare. Alergarea trebuie insa sa fie tot din saptamana etapei.</t>
  </si>
  <si>
    <t>Cristian Ungureanu</t>
  </si>
  <si>
    <t>Codrin Constantin</t>
  </si>
  <si>
    <t>Razvan Dobrovici</t>
  </si>
  <si>
    <t>Gorcioaia Flor Ionut</t>
  </si>
  <si>
    <t>mai-aug 2019</t>
  </si>
  <si>
    <t>Sistem de punctaj: </t>
  </si>
  <si>
    <t>Bonus viteza</t>
  </si>
  <si>
    <t>Bonus varsta</t>
  </si>
  <si>
    <t>Elevatie</t>
  </si>
  <si>
    <t>Borza Ionut</t>
  </si>
  <si>
    <t>sep-dec 2019</t>
  </si>
  <si>
    <t>ian-apr 2020</t>
  </si>
  <si>
    <t>1 max 9:00/ max 8:00</t>
  </si>
  <si>
    <t>BONUS VITEZA</t>
  </si>
  <si>
    <t>BONUS DIST</t>
  </si>
  <si>
    <t>Prima zi</t>
  </si>
  <si>
    <t>Ultima zi</t>
  </si>
  <si>
    <t>Andrei Ivanescu</t>
  </si>
  <si>
    <t>Oana Madalina Leonte</t>
  </si>
  <si>
    <t>Ioana Vaida</t>
  </si>
  <si>
    <t>Geo Ionut</t>
  </si>
  <si>
    <t>Elena Juganaru</t>
  </si>
  <si>
    <t>Teodor Petrut</t>
  </si>
  <si>
    <t>Hanchevici Codrut</t>
  </si>
  <si>
    <t>Ramona Matica</t>
  </si>
  <si>
    <t>Bogdan Covaci</t>
  </si>
  <si>
    <t>Old/new</t>
  </si>
  <si>
    <t>New</t>
  </si>
  <si>
    <t>iun-aug 2020</t>
  </si>
  <si>
    <t>Tip</t>
  </si>
  <si>
    <t>D</t>
  </si>
  <si>
    <t>V</t>
  </si>
  <si>
    <t>Viorel Tabara</t>
  </si>
  <si>
    <t>Mita Romanita</t>
  </si>
  <si>
    <t>Petru Dolhescu</t>
  </si>
  <si>
    <t>Tala Lucian</t>
  </si>
  <si>
    <t>Robea Ionut</t>
  </si>
  <si>
    <t>Tudor Cristian</t>
  </si>
  <si>
    <t>Mirea Gabriel Umberto</t>
  </si>
  <si>
    <t>Dranceanu Bogdan Valentin</t>
  </si>
  <si>
    <t>Gorcioaia Florin Ionut</t>
  </si>
  <si>
    <t>Codruta Holban</t>
  </si>
  <si>
    <t>Echipa</t>
  </si>
  <si>
    <t>Count of Tip</t>
  </si>
  <si>
    <t>Row Labels</t>
  </si>
  <si>
    <t>Total prezente</t>
  </si>
  <si>
    <t>Dora J Whitlock</t>
  </si>
  <si>
    <t>sep-dec 2020</t>
  </si>
  <si>
    <t>Cristian Iancu</t>
  </si>
  <si>
    <t>Codruta Cioponea</t>
  </si>
  <si>
    <t>Steven White</t>
  </si>
  <si>
    <t>Alex Inger</t>
  </si>
  <si>
    <t>Danciu Alin Stelian</t>
  </si>
  <si>
    <t>Bogdan Cap</t>
  </si>
  <si>
    <t>Moving time</t>
  </si>
  <si>
    <t>Elapsed time</t>
  </si>
  <si>
    <t>Florin Zaharia</t>
  </si>
  <si>
    <t>Andrei Alexandru Gherasim</t>
  </si>
  <si>
    <t>1. Cine poate participa? Oricine, membru al grupului Share your run. Ma pot inscrie ORICAND, prin simpla postare de alergari cu #ligaSYR. De preferat, totusi, sa se anunte.</t>
  </si>
  <si>
    <r>
      <rPr>
        <b/>
        <sz val="9"/>
        <rFont val="Calibri"/>
        <family val="2"/>
        <scheme val="minor"/>
      </rPr>
      <t>VARSTA</t>
    </r>
    <r>
      <rPr>
        <sz val="9"/>
        <rFont val="Calibri"/>
        <family val="2"/>
        <scheme val="minor"/>
      </rPr>
      <t>: bonus acordat indiferent de punctele realizate in etapa. Se acorda 0,4 puncte bonus pt cei de 50 de ani si peste, 0,7p la 60 de ani si 1p la 70 si peste.  MENTIUNE: Trebuie ca participantul sa ne contacteze pentru a imi comunica varsta, in cazul in care doreste sa beneficieze de acest bonus.</t>
    </r>
  </si>
  <si>
    <t>Adriana Ionascu Dinu</t>
  </si>
  <si>
    <t>Cristi Borcan</t>
  </si>
  <si>
    <t>Dan Rusu</t>
  </si>
  <si>
    <t>Mirela Resteman</t>
  </si>
  <si>
    <t>Galia Stainfeld</t>
  </si>
  <si>
    <t>Ifrim Gheorghe</t>
  </si>
  <si>
    <t>Mihaela Zaharie</t>
  </si>
  <si>
    <t>D/V</t>
  </si>
  <si>
    <t>Mariana Nenu</t>
  </si>
  <si>
    <t>ian-apr 2021</t>
  </si>
  <si>
    <t>Sezon 1</t>
  </si>
  <si>
    <t>Sezon 2</t>
  </si>
  <si>
    <t>Sezon 3</t>
  </si>
  <si>
    <t>Sezon 4</t>
  </si>
  <si>
    <t>Sezon 5</t>
  </si>
  <si>
    <t>Sezon 6</t>
  </si>
  <si>
    <t>Sezon 7</t>
  </si>
  <si>
    <t>Sezon 8</t>
  </si>
  <si>
    <t>Sezon 9</t>
  </si>
  <si>
    <t>Sezon 10</t>
  </si>
  <si>
    <t>Sezon 11</t>
  </si>
  <si>
    <t>Hall of Fame</t>
  </si>
  <si>
    <t>Points</t>
  </si>
  <si>
    <t>Fete</t>
  </si>
  <si>
    <t>Sub 2,5 km</t>
  </si>
  <si>
    <t>0p</t>
  </si>
  <si>
    <t>2,5-20 km</t>
  </si>
  <si>
    <t>Distanta/4</t>
  </si>
  <si>
    <t>Peste 20 km</t>
  </si>
  <si>
    <t>5p</t>
  </si>
  <si>
    <t>Baieti</t>
  </si>
  <si>
    <t>Sub 3 km</t>
  </si>
  <si>
    <t>3-21 km</t>
  </si>
  <si>
    <t>Distanta/4,2</t>
  </si>
  <si>
    <t>Peste 21 km</t>
  </si>
  <si>
    <t>13. Cum se face departajarea, in caz de egalitate de puncte? Distanta mai mare alergata, in cursul sezonului</t>
  </si>
  <si>
    <t>14. Fiecare participant, are dreptul la o saptamana de scutire (dupa ce a participat deja la macar una), pe motiv de sanatate, vacante etc, dar trebuie sa anunte in intervalul etapei. Va primi din oficiu 1,5 puncte</t>
  </si>
  <si>
    <t>2. Poti participa la cate etape doresti/poti (nu eliminam pe motiv de absente)</t>
  </si>
  <si>
    <t>12. Avem si bonusuri de elevatie, viteza, distanta si varsta (vedeti mai jos), ca EXCEPTIE la punctajele pentru distanta si viteza obisnuite</t>
  </si>
  <si>
    <r>
      <rPr>
        <b/>
        <sz val="9"/>
        <rFont val="Calibri"/>
        <family val="2"/>
        <scheme val="minor"/>
      </rPr>
      <t>DISTANTA</t>
    </r>
    <r>
      <rPr>
        <sz val="9"/>
        <rFont val="Calibri"/>
        <family val="2"/>
        <scheme val="minor"/>
      </rPr>
      <t>: Pentru distanta peste semi: 0,1 puncte pentru fiecare 2 km in plus (de exemplu: la 36 de km alergati ai 36-21=15/2=7,... =&gt;0.7puncte bonus) pana la 99 km, intre 103 si 199 km se dau 0.1p pentru fiecare 4 km in plus, iar de aici in sus se dau cate 0.1p pt fiecare 8 km in plus. ATENTIE: Se acorda la fiecare etapa in plus fata de punctajul calculat obisnuit, drept compensatie pentru scaderea de viteza pe distanta si nu este conditionat de viteza minima.</t>
    </r>
  </si>
  <si>
    <t>Oana Solomon</t>
  </si>
  <si>
    <t>Magdalena Neagu</t>
  </si>
  <si>
    <t>Daniel Dragan</t>
  </si>
  <si>
    <t>dist/4</t>
  </si>
  <si>
    <t>pct</t>
  </si>
  <si>
    <t>dist/4.2</t>
  </si>
  <si>
    <t>Cristina Dumitru</t>
  </si>
  <si>
    <t>Visan Cristina Stefania</t>
  </si>
  <si>
    <t>Daniel Florin</t>
  </si>
  <si>
    <t>Asan Arun</t>
  </si>
  <si>
    <t>Medie</t>
  </si>
  <si>
    <t>Mediana</t>
  </si>
  <si>
    <t>Ghizela Vonica</t>
  </si>
  <si>
    <t>mai-aug 2021</t>
  </si>
  <si>
    <t xml:space="preserve">Premii </t>
  </si>
  <si>
    <t>16. Minim 10 etape prezente pentru a intra la tragerea la sorti pt premiile finale</t>
  </si>
  <si>
    <r>
      <rPr>
        <b/>
        <sz val="9"/>
        <rFont val="Calibri"/>
        <family val="2"/>
        <scheme val="minor"/>
      </rPr>
      <t>ELEVATIE</t>
    </r>
    <r>
      <rPr>
        <sz val="9"/>
        <rFont val="Calibri"/>
        <family val="2"/>
        <scheme val="minor"/>
      </rPr>
      <t>: Pentru diferenta de nivel pozitiva (elevation) de 50 m si peste se acorda proportional un nr de puncte egal cu elevatia impartita la 1500 (de exemplu: la o elevatie pozitiva de +300m vei avea 300/1500=0,2 puncte, la +1700m vei avea 1700/1500=1,13 puncte, iar la un +4000m vei avea 4000/1500=2,67 puncte bonus)
Se acorda la fiecare etapa in plus fata de punctajul calculat obisnuit, drept compensatie pentru scaderea de viteza pe urcare si nu e conditionat decat de faptul ca trebuie sa ai distanta de min 1p. 
Recomandabil sa se mentioneze in prezentare ca a fost cu diferenta de nivel</t>
    </r>
  </si>
  <si>
    <t>Sezon 12</t>
  </si>
  <si>
    <t>sep-dec 2021</t>
  </si>
  <si>
    <r>
      <t xml:space="preserve">Bonus (la final) pentru cei care au un numar de </t>
    </r>
    <r>
      <rPr>
        <b/>
        <sz val="9"/>
        <rFont val="Calibri"/>
        <family val="2"/>
        <scheme val="minor"/>
      </rPr>
      <t>etape cu punctaj minim la viteza</t>
    </r>
    <r>
      <rPr>
        <sz val="9"/>
        <rFont val="Calibri"/>
        <family val="2"/>
        <scheme val="minor"/>
      </rPr>
      <t>. Se vor acorda gradual si incep cu 1p pentru cei cu 5 etape punctate la viteza, apoi 2p pt cei cu 6 etape s.a.m.d., pana la 10p pt cei cu 14 si 15 etape.</t>
    </r>
  </si>
  <si>
    <r>
      <rPr>
        <b/>
        <sz val="9"/>
        <rFont val="Calibri"/>
        <family val="2"/>
        <scheme val="minor"/>
      </rPr>
      <t>VITEZA</t>
    </r>
    <r>
      <rPr>
        <sz val="9"/>
        <rFont val="Calibri"/>
        <family val="2"/>
        <scheme val="minor"/>
      </rPr>
      <t>: bonusuri care cresc exponential pentru fiecare 5 secunde sub baremul de 5 puncte (4:30 la fete sau 4:00 la baieti). De ex: un baiat care fuge cu 3:25 pe mie va lua 5,4 puncte bonus, iar o fata care fuge cu 3:47 ia 6,75p bonus. Bonusul creste mai mult la viteze mai mari. ATENTIE: aici avem DISTANTA MINIMA de 1,609 km (o mila), pentru toata lumea, fiind o exceptie la art 8 din regulament!</t>
    </r>
  </si>
  <si>
    <t>Drânceanu Bogdan Valentin</t>
  </si>
  <si>
    <t>1. Silvia Medinschi</t>
  </si>
  <si>
    <t>2. Magdalena Neagu</t>
  </si>
  <si>
    <t>3. Galia Stainfeld</t>
  </si>
  <si>
    <t>4. Ifrim Gheorghe</t>
  </si>
  <si>
    <t>5. Drânceanu Bogdan Valentin</t>
  </si>
  <si>
    <t>6. Viorel Tabara</t>
  </si>
  <si>
    <t>7. Cosmin Constantin Popa</t>
  </si>
  <si>
    <t>8. Elena Juganaru</t>
  </si>
  <si>
    <t>9. Visan Cristina Stefania</t>
  </si>
  <si>
    <t>10. Daniel Moldoveanu</t>
  </si>
  <si>
    <t>11. Mirea Gabriel Umberto</t>
  </si>
  <si>
    <t>12. Silviu Burcea</t>
  </si>
  <si>
    <t>13. Vasi Minzatu</t>
  </si>
  <si>
    <t>14. Mirela Resteman</t>
  </si>
  <si>
    <t>15. Ramona Matica</t>
  </si>
  <si>
    <t>Radu Lapadatoni</t>
  </si>
  <si>
    <t>Mircea Dominte</t>
  </si>
  <si>
    <t>Marian Ulita</t>
  </si>
  <si>
    <t>Valenky Opris</t>
  </si>
  <si>
    <t>Dinu Turcanu</t>
  </si>
  <si>
    <t>P</t>
  </si>
  <si>
    <t>Adrian Ivan</t>
  </si>
  <si>
    <t>Dark Granatroche</t>
  </si>
  <si>
    <t>Sezon 13</t>
  </si>
  <si>
    <t>ian-apr 2022</t>
  </si>
  <si>
    <t>Alergarile facute integral sau mare parte pe coborare nu se vor puncta deloc (primesti 0p in etapa respectiva).</t>
  </si>
  <si>
    <t>5. Cum se posteaza? Fiecare va posta alergarile (in ziua in care au fost facute, indiferent daca sunt antrenamente sau curse), OBLIGATORIU TREBUIND SA MENTIONEZE CU CARE PARTICIPA (HASTAG #ligaSYR si eventual #viteza/#distanta/#prezentare daca doreste) si o prezentare la latitudinea fiecaruia (poze, filmulete, descriere, ceva amuzant etc). IN CAZ DE LIPSA HASTAG, NU SE VA PUNCTA!!!. Daca ai mai multe alergari cu #ligaSYR, o luam doar pe prima. De calcule in excel ne ocupam noi.</t>
  </si>
  <si>
    <t>6. Se accepta orice aplicatie (Garmin, Strava, Adidas etc). ATENTIE! POSTAREA SA FIE VIZIBILA DE CATRE TOTI si fara print screen, DOAR LINK DIN APLICATIE. 
Se accepta si alergari pe banda, dar nu introduse manual in aplicatie.  Atentie! Incercati sa nu dati block pe facebook celorlalti membri SYR. Riscati sa nu fiti punctat, daca juriul nu vede postarea</t>
  </si>
  <si>
    <t>7. Daca alergati pe banda: obligatoriu si poza cu rezultatele de pe ecranul benzii, pe langa linkul din aplicatie (Garmin, Strava etc). Va rog, incercat sa limitati acest tip de alergari.</t>
  </si>
  <si>
    <t>3. Cum se desfasoara? O ETAPA PE SAPTAMANA (luni-duminica) cu cate o singura alergare care puncteaza la categoriile distanta, viteza si prezentare (vezi mai jos baremul) plus eventuale bonusuri.</t>
  </si>
  <si>
    <t xml:space="preserve">4. Alternativ, vor fi etape in care ponderea mai mare va fi pe Viteza/Distanta/Prezentare. Fiecare participant mentioneaza la ce vrea sa puncteze in fiecare etapa (viteza, prezentare sau distanta) si va conta cu 50% la categoria respectiva, cealelalte avand 25%. Daca nu se mentioneaza, se va puncta conform programului standard. Dupa epuizarea a 5 etape dintr-o anumita categorie, se va alege din cele ramase, pana epuizam </t>
  </si>
  <si>
    <t>8. Pt cei care participa la curse, acceptam si link de pe pagina oficiala (cu detalii de distanta si elevatie), in caz ca nu puteti salva link din aplicatia de alergare. In acest caz, timpul pus va fi elapsed.</t>
  </si>
  <si>
    <t>9. Ca să punctezi la viteză, trebuie să alergi minim 2,5 km la fete/ 3 km la baieti. Daca esti sub aceste limite, vei primi 0 la punctajul de viteza, dar poti lua in continuare punctele meritate la bonus (vezi mai jos).</t>
  </si>
  <si>
    <t>10. Folosim media aritmetica intre moving si elapsed time.</t>
  </si>
  <si>
    <r>
      <t>11. Sunt avantajati vitezistii sau long-runnerii? Nu, pentru ca ponderea viteza vs distanta va fi diferita, de la o etapa la alta (50</t>
    </r>
    <r>
      <rPr>
        <b/>
        <sz val="9"/>
        <rFont val="Calibri"/>
        <family val="2"/>
        <scheme val="minor"/>
      </rPr>
      <t>%/25%</t>
    </r>
    <r>
      <rPr>
        <sz val="9"/>
        <rFont val="Calibri"/>
        <family val="2"/>
        <scheme val="minor"/>
      </rPr>
      <t>), avand totusi un echilibru pe tot sezonul intre categorii</t>
    </r>
  </si>
  <si>
    <t>17. Pentru aspecte unde se considera ca a fost o lipsa de fair play, indiferent daca regulamentul de mai sus a fost respectat, pot aparea ajustari negative ale punctajului.</t>
  </si>
  <si>
    <t>Afisare rezultate:</t>
  </si>
  <si>
    <t>Undeva in saptamana imediat urmatoare etapei, cel mai probabil marti</t>
  </si>
  <si>
    <t>10-16 ianuarie 2022</t>
  </si>
  <si>
    <t>Pct prezentare</t>
  </si>
  <si>
    <t>Prezentare</t>
  </si>
  <si>
    <t>Se apreciaza originalitatea, creativitatea. De asemenea, postarile similare repetitive duc la scaderea usoara a punctajului in timp.</t>
  </si>
  <si>
    <t>Prezentare (de la 0 la 5p in fiecare etapa, cu ponderi diferite)</t>
  </si>
  <si>
    <t>15. Avem 2 sau mai multe echipe, stabilite prin optiunea fiecaruia, competitia fiind in acest caz doar de distractie. 
Punctajul de etapa se face facand media punctajelor tuturor membrilor, dupa ce am eliminat cel mai bun si cel mai slab punctaj din echipa.</t>
  </si>
  <si>
    <t>Subcarpati Trail Run (14 mai, Cocorastii Mislii/PH)</t>
  </si>
  <si>
    <t>Infinityrun.ro</t>
  </si>
  <si>
    <t>2 inscrieri prin tragere la sorti</t>
  </si>
  <si>
    <t>1 inscriere prin tragere la sorti</t>
  </si>
  <si>
    <t>2 vouchere a 300 de lei prin tragere la sorti</t>
  </si>
  <si>
    <t>Pilotbooks.ro</t>
  </si>
  <si>
    <t>3 pachete a cate 2 carti sportive prin tragere la sorti</t>
  </si>
  <si>
    <t>Kinetic Sports &amp; Medicine</t>
  </si>
  <si>
    <t>3 vouchere evaluare corporala prin tragere la sorti</t>
  </si>
  <si>
    <t>Ziua alergarii</t>
  </si>
  <si>
    <t>Nicolae Marian</t>
  </si>
  <si>
    <t>Amalia Florentina Ardeleanu</t>
  </si>
  <si>
    <t>Rusu Razvan</t>
  </si>
  <si>
    <t>Adrian Budaca</t>
  </si>
  <si>
    <t>Buila Trail Race oferit de Trail Ghosts Valcea (23-24 iulie, Barbatesti/VL)</t>
  </si>
  <si>
    <t>17-23 ianuarie 2022</t>
  </si>
  <si>
    <t>S</t>
  </si>
  <si>
    <t>3b. Adaugare: alergarea poate sa se intinda si in saptamana urmatoare, daca a inceput in saptamana etapei. Pentru ca e posibil sa avem si alergatori de ultramaraton, limita de finalizare a alergarii este lunea de dupa etpa, ora 23:59.</t>
  </si>
  <si>
    <t>8b. Pentru ultramaraton (minim 100 km), se pot posta 2 sau mai multe linkuri pe care de adunam, cu pauzele dintre ele adaugate la elapsed.</t>
  </si>
  <si>
    <t>Crosul Hoia (25 iunie, Runners Club (Cluj)</t>
  </si>
  <si>
    <t>Trail</t>
  </si>
  <si>
    <t>Road</t>
  </si>
  <si>
    <t>24-30 ianuarie</t>
  </si>
  <si>
    <t>OMU Marathon (17 septembrie, Bran/BV)</t>
  </si>
  <si>
    <t>1 inscriere prin tragere la sorti la Scara Skyrace</t>
  </si>
  <si>
    <t>31 ian-6 feb 2022</t>
  </si>
  <si>
    <t>Fagaras Rocks (5-7 august, Berivoii Mari/BV)</t>
  </si>
  <si>
    <t>Skv Uphill Summer Edition</t>
  </si>
  <si>
    <t>7-13 februarie</t>
  </si>
  <si>
    <t>Adelina Marcu</t>
  </si>
  <si>
    <t>14-20 feb</t>
  </si>
  <si>
    <t>21-27 feb</t>
  </si>
  <si>
    <t>28 feb-6 mar</t>
  </si>
  <si>
    <t>1.53.29</t>
  </si>
  <si>
    <t>7-13 martie</t>
  </si>
  <si>
    <t>14-20 martie</t>
  </si>
  <si>
    <t>21-27 martie</t>
  </si>
  <si>
    <t>28 mar-3 apr</t>
  </si>
  <si>
    <t>4-10 aprilie</t>
  </si>
  <si>
    <t>Argo</t>
  </si>
  <si>
    <t>Lisabona</t>
  </si>
  <si>
    <t>Belgrad</t>
  </si>
  <si>
    <t>Lunca Timisului Run</t>
  </si>
  <si>
    <t>Xrace (11 iunie, Siriu/BZ)</t>
  </si>
  <si>
    <t>DA</t>
  </si>
  <si>
    <t>Nu</t>
  </si>
  <si>
    <t>Cosmin N, Bogdan D, Codruta H, Adrian B, Cosmin P, Bogdan T</t>
  </si>
  <si>
    <t>Valenky, Bogdan D, Mirela, Adrian B, Adriana, Cosmin P, Bogdan T</t>
  </si>
  <si>
    <t>Cosmin N, Bogdan D, Codruta H, Mircea D, Adrian B, Adriana, Cosmin P, Bogdan T</t>
  </si>
  <si>
    <t>Amalia, Cosmin N, Magda, Bogdan D, Codruta H, Nicolae Marian, Mirela, Adrian B, Cosmin P, Bogdan T</t>
  </si>
  <si>
    <t>Umberto, Magda, Bogdan D, Viorel, Codruta H, Nicolae Marian, Robert H, Adrian B, Cosmin P, Bogdan T, Vasi</t>
  </si>
  <si>
    <t>Robert H, Vasi, Ramona M</t>
  </si>
  <si>
    <t>Ramona M</t>
  </si>
  <si>
    <t>Robert H, Cosmin P, Vasi, Ramona M</t>
  </si>
  <si>
    <t>Magda, Galia, Mircea D, Bogdan D, Robert H, Cosmin P, Adriana, Viorel, Ovidiu</t>
  </si>
  <si>
    <t>Amalia, Cosmin N, Codruta H, Nicolae Marian, Mirela, Adrian B,  Valenky, Cosmin P, Bogdan T, Vasi, Ramona M, Razvan R, Marian U</t>
  </si>
  <si>
    <t>18-24 aprilie</t>
  </si>
  <si>
    <t xml:space="preserve">Cosmin N (Vulturi), Bogdan D (Vulturi), Codruta H, Nicolae Marian (Vulturi), Adrian B, Cosmin P, Bogdan T
</t>
  </si>
  <si>
    <t>Valenky, Magda, Bogdan D (19k), Viorel, Adrian B, Adriana, Cosmin P, Bogdan T</t>
  </si>
  <si>
    <t>Amalia, Cosmin N, Magda, Bogdan D (20.5k sau 35.6k), Viorel, Codruta H, Robert H, Adrian B, Bogdan T</t>
  </si>
  <si>
    <t>Robert, Mirela, Vasi, Ramona M, Magda</t>
  </si>
  <si>
    <t>Amalia, Umberto, Cosmin N, Bogdan D, Viorel, Codruta H, Mircea D, Nicolae Marian, Robert H, Mirela, Adrian B, Valenky, Adriana, Cosmin P, Bogdan T, Vasi, Ramona M, Razvan R, Marian U</t>
  </si>
  <si>
    <t>Magda</t>
  </si>
  <si>
    <t>Codruta H, Nicolae Marian, Vasi, Ramona M, Magda</t>
  </si>
  <si>
    <t>Robert H, Vasi, Ramona M, Magda</t>
  </si>
  <si>
    <t>Sezon 14</t>
  </si>
  <si>
    <t>iun-aug 2022</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</si>
</sst>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3" formatCode="_(* #,##0.00_);_(* \(#,##0.00\);_(* &quot;-&quot;??_);_(@_)"/>
    <numFmt numFmtId="164" formatCode="_-* #,##0.00_-;\-* #,##0.00_-;_-* &quot;-&quot;??_-;_-@_-"/>
    <numFmt numFmtId="165" formatCode="h:mm:ss;@"/>
    <numFmt numFmtId="166" formatCode="_(* #,##0.0_);_(* \(#,##0.0\);_(* &quot;-&quot;??_);_(@_)"/>
    <numFmt numFmtId="167" formatCode="_(* #,##0_);_(* \(#,##0\);_(* &quot;-&quot;??_);_(@_)"/>
    <numFmt numFmtId="168" formatCode="0.0"/>
    <numFmt numFmtId="169" formatCode="[$-409]d\-mmm\-yy;@"/>
    <numFmt numFmtId="170" formatCode="_(* #,##0.0000_);_(* \(#,##0.0000\);_(* &quot;-&quot;??_);_(@_)"/>
    <numFmt numFmtId="171" formatCode="0.000"/>
  </numFmts>
  <fonts count="24" x14ac:knownFonts="1">
    <font>
      <sz val="11"/>
      <color theme="1"/>
      <name val="Calibri"/>
      <family val="2"/>
      <scheme val="minor"/>
    </font>
    <font>
      <sz val="9"/>
      <color theme="1"/>
      <name val="Calibri"/>
      <family val="2"/>
      <scheme val="minor"/>
    </font>
    <font>
      <b/>
      <sz val="9"/>
      <color rgb="FF000000"/>
      <name val="Calibri"/>
      <family val="2"/>
      <scheme val="minor"/>
    </font>
    <font>
      <sz val="9"/>
      <color rgb="FF000000"/>
      <name val="Calibri"/>
      <family val="2"/>
      <scheme val="minor"/>
    </font>
    <font>
      <b/>
      <sz val="11"/>
      <color theme="1"/>
      <name val="Calibri"/>
      <family val="2"/>
      <scheme val="minor"/>
    </font>
    <font>
      <sz val="11"/>
      <color rgb="FFFF0000"/>
      <name val="Calibri"/>
      <family val="2"/>
      <scheme val="minor"/>
    </font>
    <font>
      <b/>
      <sz val="9"/>
      <color theme="1"/>
      <name val="Calibri"/>
      <family val="2"/>
      <scheme val="minor"/>
    </font>
    <font>
      <sz val="11"/>
      <name val="Calibri"/>
      <family val="2"/>
      <scheme val="minor"/>
    </font>
    <font>
      <b/>
      <sz val="10"/>
      <color theme="1"/>
      <name val="Calibri"/>
      <family val="2"/>
      <scheme val="minor"/>
    </font>
    <font>
      <sz val="10"/>
      <color theme="1"/>
      <name val="Calibri"/>
      <family val="2"/>
      <scheme val="minor"/>
    </font>
    <font>
      <sz val="11"/>
      <color theme="1"/>
      <name val="Calibri"/>
      <family val="2"/>
      <scheme val="minor"/>
    </font>
    <font>
      <sz val="9"/>
      <name val="Calibri"/>
      <family val="2"/>
      <scheme val="minor"/>
    </font>
    <font>
      <b/>
      <sz val="9"/>
      <name val="Calibri"/>
      <family val="2"/>
      <scheme val="minor"/>
    </font>
    <font>
      <b/>
      <u/>
      <sz val="9"/>
      <name val="Calibri"/>
      <family val="2"/>
      <scheme val="minor"/>
    </font>
    <font>
      <b/>
      <sz val="9"/>
      <color theme="0"/>
      <name val="Calibri"/>
      <family val="2"/>
      <scheme val="minor"/>
    </font>
    <font>
      <sz val="9"/>
      <color theme="0"/>
      <name val="Calibri"/>
      <family val="2"/>
      <scheme val="minor"/>
    </font>
    <font>
      <b/>
      <sz val="11"/>
      <name val="Calibri"/>
      <family val="2"/>
      <scheme val="minor"/>
    </font>
    <font>
      <sz val="9"/>
      <color rgb="FFFF0000"/>
      <name val="Calibri"/>
      <family val="2"/>
      <scheme val="minor"/>
    </font>
    <font>
      <sz val="9"/>
      <color rgb="FF0070C0"/>
      <name val="Calibri"/>
      <family val="2"/>
      <scheme val="minor"/>
    </font>
    <font>
      <i/>
      <sz val="9"/>
      <name val="Calibri"/>
      <family val="2"/>
      <scheme val="minor"/>
    </font>
    <font>
      <b/>
      <sz val="10"/>
      <color rgb="FFFF0000"/>
      <name val="Calibri"/>
      <family val="2"/>
      <scheme val="minor"/>
    </font>
    <font>
      <sz val="10"/>
      <color rgb="FFFF0000"/>
      <name val="Calibri"/>
      <family val="2"/>
      <scheme val="minor"/>
    </font>
    <font>
      <sz val="9"/>
      <color rgb="FF002060"/>
      <name val="Calibri"/>
      <family val="2"/>
      <scheme val="minor"/>
    </font>
    <font>
      <b/>
      <sz val="11"/>
      <color rgb="FF002060"/>
      <name val="Calibri"/>
      <family val="2"/>
      <scheme val="minor"/>
    </font>
  </fonts>
  <fills count="13">
    <fill>
      <patternFill patternType="none"/>
    </fill>
    <fill>
      <patternFill patternType="gray125"/>
    </fill>
    <fill>
      <patternFill patternType="solid">
        <fgColor rgb="FFFBD4B4"/>
        <bgColor indexed="64"/>
      </patternFill>
    </fill>
    <fill>
      <patternFill patternType="solid">
        <fgColor rgb="FFD6E3BC"/>
        <bgColor indexed="64"/>
      </patternFill>
    </fill>
    <fill>
      <patternFill patternType="solid">
        <fgColor rgb="FFFDE9D9"/>
        <bgColor indexed="64"/>
      </patternFill>
    </fill>
    <fill>
      <patternFill patternType="solid">
        <fgColor rgb="FFEAF1DD"/>
        <bgColor indexed="64"/>
      </patternFill>
    </fill>
    <fill>
      <patternFill patternType="solid">
        <fgColor theme="0"/>
        <bgColor indexed="64"/>
      </patternFill>
    </fill>
    <fill>
      <patternFill patternType="solid">
        <fgColor rgb="FFFFFFCC"/>
        <bgColor indexed="64"/>
      </patternFill>
    </fill>
    <fill>
      <patternFill patternType="solid">
        <fgColor rgb="FF002060"/>
        <bgColor indexed="64"/>
      </patternFill>
    </fill>
    <fill>
      <patternFill patternType="solid">
        <fgColor rgb="FFFFFF00"/>
        <bgColor indexed="64"/>
      </patternFill>
    </fill>
    <fill>
      <patternFill patternType="solid">
        <fgColor rgb="FF0070C0"/>
        <bgColor indexed="64"/>
      </patternFill>
    </fill>
    <fill>
      <patternFill patternType="solid">
        <fgColor rgb="FF00B0F0"/>
        <bgColor indexed="64"/>
      </patternFill>
    </fill>
    <fill>
      <patternFill patternType="solid">
        <fgColor rgb="FFFF0000"/>
        <bgColor indexed="64"/>
      </patternFill>
    </fill>
  </fills>
  <borders count="2">
    <border>
      <left/>
      <right/>
      <top/>
      <bottom/>
      <diagonal/>
    </border>
    <border>
      <left/>
      <right/>
      <top/>
      <bottom style="medium">
        <color indexed="64"/>
      </bottom>
      <diagonal/>
    </border>
  </borders>
  <cellStyleXfs count="3">
    <xf numFmtId="169" fontId="0" fillId="0" borderId="0"/>
    <xf numFmtId="43" fontId="10" fillId="0" borderId="0" applyFont="0" applyFill="0" applyBorder="0" applyAlignment="0" applyProtection="0"/>
    <xf numFmtId="164" fontId="10" fillId="0" borderId="0" applyFont="0" applyFill="0" applyBorder="0" applyAlignment="0" applyProtection="0"/>
  </cellStyleXfs>
  <cellXfs count="189">
    <xf numFmtId="169" fontId="0" fillId="0" borderId="0" xfId="0"/>
    <xf numFmtId="169" fontId="1" fillId="0" borderId="0" xfId="0" applyFont="1" applyBorder="1"/>
    <xf numFmtId="169" fontId="2" fillId="2" borderId="0" xfId="0" applyFont="1" applyFill="1" applyBorder="1" applyAlignment="1">
      <alignment horizontal="center" wrapText="1"/>
    </xf>
    <xf numFmtId="169" fontId="2" fillId="2" borderId="0" xfId="0" applyFont="1" applyFill="1" applyBorder="1" applyAlignment="1">
      <alignment horizontal="right" wrapText="1"/>
    </xf>
    <xf numFmtId="169" fontId="1" fillId="0" borderId="0" xfId="0" applyFont="1" applyBorder="1" applyAlignment="1">
      <alignment wrapText="1"/>
    </xf>
    <xf numFmtId="169" fontId="1" fillId="3" borderId="0" xfId="0" applyFont="1" applyFill="1" applyBorder="1" applyAlignment="1">
      <alignment wrapText="1"/>
    </xf>
    <xf numFmtId="169" fontId="2" fillId="3" borderId="0" xfId="0" applyFont="1" applyFill="1" applyBorder="1" applyAlignment="1">
      <alignment horizontal="center" wrapText="1"/>
    </xf>
    <xf numFmtId="169" fontId="3" fillId="4" borderId="0" xfId="0" applyFont="1" applyFill="1" applyBorder="1" applyAlignment="1">
      <alignment wrapText="1"/>
    </xf>
    <xf numFmtId="169" fontId="3" fillId="5" borderId="0" xfId="0" applyFont="1" applyFill="1" applyBorder="1" applyAlignment="1">
      <alignment wrapText="1"/>
    </xf>
    <xf numFmtId="21" fontId="3" fillId="5" borderId="0" xfId="0" applyNumberFormat="1" applyFont="1" applyFill="1" applyBorder="1" applyAlignment="1">
      <alignment horizontal="right" wrapText="1"/>
    </xf>
    <xf numFmtId="9" fontId="3" fillId="0" borderId="0" xfId="0" applyNumberFormat="1" applyFont="1" applyBorder="1" applyAlignment="1">
      <alignment horizontal="right" wrapText="1"/>
    </xf>
    <xf numFmtId="169" fontId="1" fillId="5" borderId="0" xfId="0" applyFont="1" applyFill="1" applyBorder="1" applyAlignment="1">
      <alignment wrapText="1"/>
    </xf>
    <xf numFmtId="169" fontId="2" fillId="0" borderId="0" xfId="0" applyFont="1" applyBorder="1" applyAlignment="1">
      <alignment wrapText="1"/>
    </xf>
    <xf numFmtId="165" fontId="1" fillId="0" borderId="0" xfId="0" applyNumberFormat="1" applyFont="1"/>
    <xf numFmtId="169" fontId="4" fillId="0" borderId="0" xfId="0" applyFont="1"/>
    <xf numFmtId="169" fontId="6" fillId="0" borderId="0" xfId="0" applyFont="1" applyBorder="1" applyAlignment="1">
      <alignment wrapText="1"/>
    </xf>
    <xf numFmtId="169" fontId="7" fillId="0" borderId="0" xfId="0" applyFont="1"/>
    <xf numFmtId="169" fontId="2" fillId="0" borderId="0" xfId="0" applyFont="1" applyFill="1" applyBorder="1" applyAlignment="1">
      <alignment wrapText="1"/>
    </xf>
    <xf numFmtId="169" fontId="6" fillId="2" borderId="0" xfId="0" applyFont="1" applyFill="1" applyBorder="1" applyAlignment="1">
      <alignment wrapText="1"/>
    </xf>
    <xf numFmtId="169" fontId="6" fillId="3" borderId="0" xfId="0" applyFont="1" applyFill="1" applyBorder="1" applyAlignment="1">
      <alignment wrapText="1"/>
    </xf>
    <xf numFmtId="43" fontId="3" fillId="0" borderId="0" xfId="1" applyNumberFormat="1" applyFont="1" applyBorder="1" applyAlignment="1">
      <alignment horizontal="right" wrapText="1"/>
    </xf>
    <xf numFmtId="43" fontId="1" fillId="0" borderId="0" xfId="1" applyNumberFormat="1" applyFont="1" applyBorder="1"/>
    <xf numFmtId="169" fontId="1" fillId="0" borderId="0" xfId="0" applyFont="1" applyFill="1" applyBorder="1"/>
    <xf numFmtId="9" fontId="3" fillId="0" borderId="0" xfId="0" applyNumberFormat="1" applyFont="1" applyFill="1" applyBorder="1" applyAlignment="1">
      <alignment horizontal="right" wrapText="1"/>
    </xf>
    <xf numFmtId="166" fontId="2" fillId="0" borderId="0" xfId="1" applyNumberFormat="1" applyFont="1" applyFill="1" applyBorder="1" applyAlignment="1">
      <alignment wrapText="1"/>
    </xf>
    <xf numFmtId="166" fontId="1" fillId="0" borderId="0" xfId="1" applyNumberFormat="1" applyFont="1" applyFill="1" applyBorder="1"/>
    <xf numFmtId="167" fontId="1" fillId="0" borderId="0" xfId="1" applyNumberFormat="1" applyFont="1" applyBorder="1"/>
    <xf numFmtId="169" fontId="1" fillId="6" borderId="0" xfId="0" applyFont="1" applyFill="1"/>
    <xf numFmtId="168" fontId="1" fillId="6" borderId="0" xfId="0" applyNumberFormat="1" applyFont="1" applyFill="1"/>
    <xf numFmtId="169" fontId="11" fillId="0" borderId="0" xfId="0" applyFont="1" applyFill="1" applyBorder="1" applyAlignment="1">
      <alignment vertical="center"/>
    </xf>
    <xf numFmtId="169" fontId="12" fillId="0" borderId="0" xfId="0" applyFont="1" applyFill="1" applyBorder="1" applyAlignment="1">
      <alignment vertical="center"/>
    </xf>
    <xf numFmtId="169" fontId="12" fillId="0" borderId="0" xfId="0" applyFont="1" applyBorder="1" applyAlignment="1">
      <alignment vertical="center"/>
    </xf>
    <xf numFmtId="169" fontId="1" fillId="0" borderId="0" xfId="0" applyNumberFormat="1" applyFont="1" applyFill="1" applyBorder="1" applyAlignment="1">
      <alignment wrapText="1"/>
    </xf>
    <xf numFmtId="169" fontId="2" fillId="0" borderId="0" xfId="0" applyFont="1" applyBorder="1" applyAlignment="1">
      <alignment horizontal="left" wrapText="1"/>
    </xf>
    <xf numFmtId="169" fontId="8" fillId="6" borderId="0" xfId="0" applyFont="1" applyFill="1" applyBorder="1" applyAlignment="1">
      <alignment horizontal="center"/>
    </xf>
    <xf numFmtId="168" fontId="8" fillId="6" borderId="0" xfId="0" applyNumberFormat="1" applyFont="1" applyFill="1" applyBorder="1" applyAlignment="1">
      <alignment horizontal="center"/>
    </xf>
    <xf numFmtId="169" fontId="8" fillId="7" borderId="0" xfId="0" applyFont="1" applyFill="1" applyBorder="1" applyAlignment="1">
      <alignment horizontal="center"/>
    </xf>
    <xf numFmtId="2" fontId="9" fillId="7" borderId="0" xfId="0" applyNumberFormat="1" applyFont="1" applyFill="1" applyBorder="1" applyAlignment="1">
      <alignment horizontal="center"/>
    </xf>
    <xf numFmtId="169" fontId="1" fillId="0" borderId="0" xfId="0" applyFont="1" applyFill="1"/>
    <xf numFmtId="169" fontId="13" fillId="0" borderId="0" xfId="0" applyFont="1" applyBorder="1" applyAlignment="1">
      <alignment vertical="center"/>
    </xf>
    <xf numFmtId="169" fontId="8" fillId="0" borderId="0" xfId="0" applyFont="1" applyFill="1" applyBorder="1" applyAlignment="1">
      <alignment horizontal="center"/>
    </xf>
    <xf numFmtId="169" fontId="1" fillId="0" borderId="0" xfId="0" applyFont="1" applyFill="1" applyBorder="1" applyAlignment="1">
      <alignment horizontal="center"/>
    </xf>
    <xf numFmtId="169" fontId="6" fillId="0" borderId="0" xfId="0" applyFont="1" applyFill="1"/>
    <xf numFmtId="1" fontId="8" fillId="6" borderId="0" xfId="0" applyNumberFormat="1" applyFont="1" applyFill="1" applyBorder="1" applyAlignment="1">
      <alignment horizontal="left" vertical="top"/>
    </xf>
    <xf numFmtId="2" fontId="1" fillId="0" borderId="0" xfId="0" applyNumberFormat="1" applyFont="1" applyFill="1" applyBorder="1"/>
    <xf numFmtId="169" fontId="14" fillId="8" borderId="0" xfId="0" applyFont="1" applyFill="1" applyBorder="1" applyAlignment="1">
      <alignment wrapText="1"/>
    </xf>
    <xf numFmtId="167" fontId="14" fillId="8" borderId="0" xfId="1" applyNumberFormat="1" applyFont="1" applyFill="1" applyBorder="1" applyAlignment="1">
      <alignment wrapText="1"/>
    </xf>
    <xf numFmtId="43" fontId="3" fillId="0" borderId="0" xfId="1" applyNumberFormat="1" applyFont="1" applyFill="1" applyBorder="1" applyAlignment="1">
      <alignment horizontal="right" wrapText="1"/>
    </xf>
    <xf numFmtId="169" fontId="5" fillId="0" borderId="0" xfId="0" applyFont="1"/>
    <xf numFmtId="43" fontId="11" fillId="0" borderId="0" xfId="1" applyFont="1"/>
    <xf numFmtId="169" fontId="9" fillId="0" borderId="0" xfId="0" applyFont="1"/>
    <xf numFmtId="43" fontId="9" fillId="0" borderId="0" xfId="1" applyFont="1"/>
    <xf numFmtId="169" fontId="8" fillId="0" borderId="0" xfId="0" applyFont="1"/>
    <xf numFmtId="43" fontId="8" fillId="0" borderId="0" xfId="1" applyFont="1"/>
    <xf numFmtId="169" fontId="8" fillId="0" borderId="0" xfId="0" applyFont="1" applyAlignment="1">
      <alignment horizontal="right"/>
    </xf>
    <xf numFmtId="169" fontId="0" fillId="0" borderId="0" xfId="0" applyFont="1"/>
    <xf numFmtId="169" fontId="7" fillId="0" borderId="0" xfId="0" applyFont="1" applyFill="1"/>
    <xf numFmtId="169" fontId="11" fillId="0" borderId="0" xfId="0" applyFont="1"/>
    <xf numFmtId="169" fontId="12" fillId="0" borderId="0" xfId="0" applyFont="1"/>
    <xf numFmtId="43" fontId="12" fillId="0" borderId="0" xfId="0" applyNumberFormat="1" applyFont="1"/>
    <xf numFmtId="169" fontId="16" fillId="0" borderId="0" xfId="0" applyFont="1"/>
    <xf numFmtId="169" fontId="15" fillId="10" borderId="0" xfId="0" applyFont="1" applyFill="1" applyBorder="1" applyAlignment="1">
      <alignment wrapText="1"/>
    </xf>
    <xf numFmtId="169" fontId="15" fillId="10" borderId="0" xfId="0" applyFont="1" applyFill="1" applyBorder="1" applyAlignment="1">
      <alignment horizontal="right" wrapText="1"/>
    </xf>
    <xf numFmtId="2" fontId="15" fillId="10" borderId="0" xfId="0" applyNumberFormat="1" applyFont="1" applyFill="1" applyBorder="1" applyAlignment="1">
      <alignment horizontal="right" wrapText="1"/>
    </xf>
    <xf numFmtId="21" fontId="15" fillId="10" borderId="0" xfId="0" applyNumberFormat="1" applyFont="1" applyFill="1" applyBorder="1" applyAlignment="1">
      <alignment horizontal="right" wrapText="1"/>
    </xf>
    <xf numFmtId="167" fontId="15" fillId="10" borderId="0" xfId="1" applyNumberFormat="1" applyFont="1" applyFill="1" applyBorder="1" applyAlignment="1">
      <alignment horizontal="right" wrapText="1"/>
    </xf>
    <xf numFmtId="169" fontId="12" fillId="0" borderId="0" xfId="0" quotePrefix="1" applyFont="1"/>
    <xf numFmtId="169" fontId="14" fillId="8" borderId="0" xfId="0" applyFont="1" applyFill="1" applyBorder="1" applyAlignment="1">
      <alignment horizontal="center" vertical="center" wrapText="1"/>
    </xf>
    <xf numFmtId="169" fontId="11" fillId="0" borderId="0" xfId="0" applyFont="1" applyBorder="1" applyAlignment="1">
      <alignment vertical="center"/>
    </xf>
    <xf numFmtId="169" fontId="11" fillId="0" borderId="0" xfId="0" applyFont="1" applyBorder="1"/>
    <xf numFmtId="169" fontId="0" fillId="0" borderId="0" xfId="0"/>
    <xf numFmtId="169" fontId="7" fillId="0" borderId="0" xfId="0" applyFont="1"/>
    <xf numFmtId="169" fontId="5" fillId="0" borderId="0" xfId="0" applyFont="1"/>
    <xf numFmtId="169" fontId="11" fillId="0" borderId="0" xfId="0" applyFont="1"/>
    <xf numFmtId="169" fontId="1" fillId="0" borderId="0" xfId="0" applyFont="1" applyBorder="1"/>
    <xf numFmtId="169" fontId="12" fillId="9" borderId="0" xfId="0" applyFont="1" applyFill="1"/>
    <xf numFmtId="169" fontId="15" fillId="10" borderId="0" xfId="0" applyNumberFormat="1" applyFont="1" applyFill="1" applyBorder="1" applyAlignment="1">
      <alignment horizontal="right" wrapText="1"/>
    </xf>
    <xf numFmtId="169" fontId="11" fillId="4" borderId="0" xfId="0" applyFont="1" applyFill="1" applyBorder="1" applyAlignment="1">
      <alignment wrapText="1"/>
    </xf>
    <xf numFmtId="169" fontId="11" fillId="0" borderId="0" xfId="0" applyFont="1" applyBorder="1" applyAlignment="1">
      <alignment wrapText="1"/>
    </xf>
    <xf numFmtId="169" fontId="11" fillId="5" borderId="0" xfId="0" applyFont="1" applyFill="1" applyBorder="1" applyAlignment="1">
      <alignment wrapText="1"/>
    </xf>
    <xf numFmtId="21" fontId="11" fillId="5" borderId="0" xfId="0" applyNumberFormat="1" applyFont="1" applyFill="1" applyBorder="1" applyAlignment="1">
      <alignment horizontal="right" wrapText="1"/>
    </xf>
    <xf numFmtId="166" fontId="1" fillId="0" borderId="0" xfId="1" applyNumberFormat="1" applyFont="1" applyBorder="1" applyAlignment="1">
      <alignment wrapText="1"/>
    </xf>
    <xf numFmtId="2" fontId="1" fillId="0" borderId="0" xfId="0" applyNumberFormat="1" applyFont="1" applyBorder="1" applyAlignment="1">
      <alignment wrapText="1"/>
    </xf>
    <xf numFmtId="168" fontId="1" fillId="0" borderId="0" xfId="0" applyNumberFormat="1" applyFont="1" applyBorder="1" applyAlignment="1">
      <alignment wrapText="1"/>
    </xf>
    <xf numFmtId="2" fontId="1" fillId="0" borderId="0" xfId="0" applyNumberFormat="1" applyFont="1" applyBorder="1"/>
    <xf numFmtId="170" fontId="1" fillId="0" borderId="0" xfId="1" applyNumberFormat="1" applyFont="1" applyBorder="1"/>
    <xf numFmtId="171" fontId="7" fillId="0" borderId="0" xfId="0" applyNumberFormat="1" applyFont="1"/>
    <xf numFmtId="169" fontId="19" fillId="0" borderId="0" xfId="0" applyFont="1" applyFill="1" applyBorder="1" applyAlignment="1">
      <alignment vertical="center"/>
    </xf>
    <xf numFmtId="167" fontId="9" fillId="7" borderId="0" xfId="1" applyNumberFormat="1" applyFont="1" applyFill="1" applyBorder="1" applyAlignment="1">
      <alignment horizontal="center"/>
    </xf>
    <xf numFmtId="2" fontId="1" fillId="0" borderId="0" xfId="0" applyNumberFormat="1" applyFont="1" applyFill="1"/>
    <xf numFmtId="21" fontId="11" fillId="0" borderId="0" xfId="0" applyNumberFormat="1" applyFont="1" applyFill="1" applyBorder="1" applyAlignment="1">
      <alignment horizontal="right" wrapText="1"/>
    </xf>
    <xf numFmtId="1" fontId="8" fillId="9" borderId="0" xfId="0" applyNumberFormat="1" applyFont="1" applyFill="1" applyBorder="1" applyAlignment="1">
      <alignment horizontal="left" vertical="top"/>
    </xf>
    <xf numFmtId="169" fontId="11" fillId="9" borderId="0" xfId="0" applyFont="1" applyFill="1" applyBorder="1" applyAlignment="1">
      <alignment vertical="center"/>
    </xf>
    <xf numFmtId="169" fontId="7" fillId="9" borderId="0" xfId="0" applyFont="1" applyFill="1"/>
    <xf numFmtId="169" fontId="1" fillId="9" borderId="0" xfId="0" applyNumberFormat="1" applyFont="1" applyFill="1" applyBorder="1" applyAlignment="1">
      <alignment wrapText="1"/>
    </xf>
    <xf numFmtId="9" fontId="3" fillId="9" borderId="0" xfId="0" applyNumberFormat="1" applyFont="1" applyFill="1" applyBorder="1" applyAlignment="1">
      <alignment horizontal="right" wrapText="1"/>
    </xf>
    <xf numFmtId="169" fontId="0" fillId="9" borderId="0" xfId="0" applyFont="1" applyFill="1"/>
    <xf numFmtId="1" fontId="14" fillId="8" borderId="0" xfId="0" applyNumberFormat="1" applyFont="1" applyFill="1" applyBorder="1" applyAlignment="1">
      <alignment wrapText="1"/>
    </xf>
    <xf numFmtId="1" fontId="15" fillId="10" borderId="0" xfId="0" applyNumberFormat="1" applyFont="1" applyFill="1" applyBorder="1" applyAlignment="1">
      <alignment horizontal="right" wrapText="1"/>
    </xf>
    <xf numFmtId="1" fontId="1" fillId="0" borderId="0" xfId="0" applyNumberFormat="1" applyFont="1" applyBorder="1"/>
    <xf numFmtId="1" fontId="2" fillId="0" borderId="0" xfId="0" applyNumberFormat="1" applyFont="1" applyBorder="1" applyAlignment="1">
      <alignment wrapText="1"/>
    </xf>
    <xf numFmtId="1" fontId="1" fillId="0" borderId="0" xfId="0" applyNumberFormat="1" applyFont="1" applyBorder="1" applyAlignment="1">
      <alignment horizontal="right" wrapText="1"/>
    </xf>
    <xf numFmtId="1" fontId="8" fillId="6" borderId="0" xfId="0" applyNumberFormat="1" applyFont="1" applyFill="1" applyBorder="1" applyAlignment="1">
      <alignment horizontal="center"/>
    </xf>
    <xf numFmtId="1" fontId="8" fillId="7" borderId="0" xfId="0" applyNumberFormat="1" applyFont="1" applyFill="1" applyBorder="1" applyAlignment="1">
      <alignment horizontal="center"/>
    </xf>
    <xf numFmtId="1" fontId="1" fillId="6" borderId="0" xfId="0" applyNumberFormat="1" applyFont="1" applyFill="1"/>
    <xf numFmtId="1" fontId="8" fillId="0" borderId="0" xfId="0" applyNumberFormat="1" applyFont="1" applyFill="1" applyBorder="1" applyAlignment="1">
      <alignment horizontal="center"/>
    </xf>
    <xf numFmtId="1" fontId="1" fillId="0" borderId="0" xfId="0" applyNumberFormat="1" applyFont="1" applyFill="1" applyBorder="1"/>
    <xf numFmtId="1" fontId="6" fillId="0" borderId="0" xfId="0" applyNumberFormat="1" applyFont="1" applyFill="1" applyBorder="1" applyAlignment="1">
      <alignment horizontal="center"/>
    </xf>
    <xf numFmtId="1" fontId="8" fillId="0" borderId="0" xfId="0" applyNumberFormat="1" applyFont="1"/>
    <xf numFmtId="1" fontId="9" fillId="0" borderId="0" xfId="0" applyNumberFormat="1" applyFont="1"/>
    <xf numFmtId="1" fontId="12" fillId="0" borderId="0" xfId="0" applyNumberFormat="1" applyFont="1"/>
    <xf numFmtId="1" fontId="1" fillId="0" borderId="0" xfId="0" applyNumberFormat="1" applyFont="1" applyFill="1" applyBorder="1" applyAlignment="1">
      <alignment horizontal="right" wrapText="1"/>
    </xf>
    <xf numFmtId="1" fontId="1" fillId="9" borderId="0" xfId="0" applyNumberFormat="1" applyFont="1" applyFill="1" applyBorder="1" applyAlignment="1">
      <alignment horizontal="right" wrapText="1"/>
    </xf>
    <xf numFmtId="168" fontId="3" fillId="4" borderId="0" xfId="0" applyNumberFormat="1" applyFont="1" applyFill="1" applyBorder="1" applyAlignment="1">
      <alignment horizontal="right" wrapText="1"/>
    </xf>
    <xf numFmtId="168" fontId="11" fillId="4" borderId="0" xfId="0" applyNumberFormat="1" applyFont="1" applyFill="1" applyBorder="1" applyAlignment="1">
      <alignment horizontal="right" wrapText="1"/>
    </xf>
    <xf numFmtId="168" fontId="3" fillId="5" borderId="0" xfId="0" applyNumberFormat="1" applyFont="1" applyFill="1" applyBorder="1" applyAlignment="1">
      <alignment horizontal="right" wrapText="1"/>
    </xf>
    <xf numFmtId="168" fontId="11" fillId="5" borderId="0" xfId="0" applyNumberFormat="1" applyFont="1" applyFill="1" applyBorder="1" applyAlignment="1">
      <alignment horizontal="right" wrapText="1"/>
    </xf>
    <xf numFmtId="168" fontId="2" fillId="2" borderId="0" xfId="0" applyNumberFormat="1" applyFont="1" applyFill="1" applyBorder="1" applyAlignment="1">
      <alignment horizontal="right" wrapText="1"/>
    </xf>
    <xf numFmtId="168" fontId="1" fillId="0" borderId="0" xfId="0" applyNumberFormat="1" applyFont="1" applyBorder="1"/>
    <xf numFmtId="168" fontId="1" fillId="3" borderId="0" xfId="0" applyNumberFormat="1" applyFont="1" applyFill="1" applyBorder="1" applyAlignment="1">
      <alignment wrapText="1"/>
    </xf>
    <xf numFmtId="168" fontId="11" fillId="0" borderId="0" xfId="0" applyNumberFormat="1" applyFont="1" applyBorder="1"/>
    <xf numFmtId="1" fontId="3" fillId="4" borderId="0" xfId="0" applyNumberFormat="1" applyFont="1" applyFill="1" applyBorder="1" applyAlignment="1">
      <alignment horizontal="right" wrapText="1"/>
    </xf>
    <xf numFmtId="1" fontId="11" fillId="4" borderId="0" xfId="0" applyNumberFormat="1" applyFont="1" applyFill="1" applyBorder="1" applyAlignment="1">
      <alignment horizontal="right" wrapText="1"/>
    </xf>
    <xf numFmtId="43" fontId="2" fillId="0" borderId="0" xfId="1" applyNumberFormat="1" applyFont="1" applyBorder="1" applyAlignment="1">
      <alignment horizontal="center" vertical="center" wrapText="1"/>
    </xf>
    <xf numFmtId="43" fontId="11" fillId="0" borderId="0" xfId="1" applyFont="1" applyFill="1"/>
    <xf numFmtId="43" fontId="12" fillId="0" borderId="0" xfId="0" applyNumberFormat="1" applyFont="1" applyFill="1"/>
    <xf numFmtId="169" fontId="14" fillId="8" borderId="0" xfId="0" applyFont="1" applyFill="1" applyBorder="1" applyAlignment="1">
      <alignment horizontal="center" wrapText="1"/>
    </xf>
    <xf numFmtId="169" fontId="0" fillId="0" borderId="0" xfId="0" applyNumberFormat="1"/>
    <xf numFmtId="169" fontId="4" fillId="0" borderId="0" xfId="0" applyNumberFormat="1" applyFont="1"/>
    <xf numFmtId="169" fontId="17" fillId="9" borderId="0" xfId="0" applyFont="1" applyFill="1" applyBorder="1" applyAlignment="1">
      <alignment horizontal="left" wrapText="1"/>
    </xf>
    <xf numFmtId="169" fontId="15" fillId="10" borderId="1" xfId="0" applyFont="1" applyFill="1" applyBorder="1" applyAlignment="1">
      <alignment wrapText="1"/>
    </xf>
    <xf numFmtId="169" fontId="1" fillId="0" borderId="1" xfId="0" applyFont="1" applyBorder="1"/>
    <xf numFmtId="1" fontId="15" fillId="10" borderId="1" xfId="0" applyNumberFormat="1" applyFont="1" applyFill="1" applyBorder="1" applyAlignment="1">
      <alignment horizontal="right" wrapText="1"/>
    </xf>
    <xf numFmtId="2" fontId="15" fillId="10" borderId="1" xfId="0" applyNumberFormat="1" applyFont="1" applyFill="1" applyBorder="1" applyAlignment="1">
      <alignment horizontal="right" wrapText="1"/>
    </xf>
    <xf numFmtId="21" fontId="15" fillId="10" borderId="1" xfId="0" applyNumberFormat="1" applyFont="1" applyFill="1" applyBorder="1" applyAlignment="1">
      <alignment horizontal="right" wrapText="1"/>
    </xf>
    <xf numFmtId="21" fontId="11" fillId="0" borderId="1" xfId="0" applyNumberFormat="1" applyFont="1" applyFill="1" applyBorder="1" applyAlignment="1">
      <alignment horizontal="right" wrapText="1"/>
    </xf>
    <xf numFmtId="167" fontId="15" fillId="10" borderId="1" xfId="1" applyNumberFormat="1" applyFont="1" applyFill="1" applyBorder="1" applyAlignment="1">
      <alignment horizontal="right" wrapText="1"/>
    </xf>
    <xf numFmtId="165" fontId="1" fillId="0" borderId="1" xfId="0" applyNumberFormat="1" applyFont="1" applyBorder="1"/>
    <xf numFmtId="2" fontId="1" fillId="0" borderId="1" xfId="0" applyNumberFormat="1" applyFont="1" applyBorder="1"/>
    <xf numFmtId="169" fontId="15" fillId="10" borderId="1" xfId="0" applyFont="1" applyFill="1" applyBorder="1" applyAlignment="1">
      <alignment horizontal="right" wrapText="1"/>
    </xf>
    <xf numFmtId="9" fontId="3" fillId="0" borderId="1" xfId="0" applyNumberFormat="1" applyFont="1" applyBorder="1" applyAlignment="1">
      <alignment horizontal="right" wrapText="1"/>
    </xf>
    <xf numFmtId="43" fontId="3" fillId="0" borderId="1" xfId="1" applyNumberFormat="1" applyFont="1" applyFill="1" applyBorder="1" applyAlignment="1">
      <alignment horizontal="right" wrapText="1"/>
    </xf>
    <xf numFmtId="166" fontId="1" fillId="0" borderId="1" xfId="1" applyNumberFormat="1" applyFont="1" applyFill="1" applyBorder="1"/>
    <xf numFmtId="43" fontId="3" fillId="0" borderId="1" xfId="1" applyNumberFormat="1" applyFont="1" applyBorder="1" applyAlignment="1">
      <alignment horizontal="right" wrapText="1"/>
    </xf>
    <xf numFmtId="169" fontId="15" fillId="10" borderId="1" xfId="0" applyNumberFormat="1" applyFont="1" applyFill="1" applyBorder="1" applyAlignment="1">
      <alignment horizontal="right" wrapText="1"/>
    </xf>
    <xf numFmtId="1" fontId="1" fillId="0" borderId="1" xfId="0" applyNumberFormat="1" applyFont="1" applyBorder="1" applyAlignment="1">
      <alignment horizontal="right" wrapText="1"/>
    </xf>
    <xf numFmtId="169" fontId="1" fillId="0" borderId="1" xfId="0" applyFont="1" applyFill="1" applyBorder="1"/>
    <xf numFmtId="43" fontId="17" fillId="9" borderId="1" xfId="1" applyNumberFormat="1" applyFont="1" applyFill="1" applyBorder="1" applyAlignment="1">
      <alignment horizontal="right" wrapText="1"/>
    </xf>
    <xf numFmtId="43" fontId="17" fillId="9" borderId="0" xfId="1" applyNumberFormat="1" applyFont="1" applyFill="1" applyBorder="1" applyAlignment="1">
      <alignment horizontal="right" wrapText="1"/>
    </xf>
    <xf numFmtId="169" fontId="17" fillId="9" borderId="0" xfId="0" applyFont="1" applyFill="1" applyBorder="1" applyAlignment="1">
      <alignment horizontal="right" wrapText="1"/>
    </xf>
    <xf numFmtId="169" fontId="17" fillId="11" borderId="0" xfId="0" applyFont="1" applyFill="1" applyBorder="1" applyAlignment="1">
      <alignment horizontal="right" wrapText="1"/>
    </xf>
    <xf numFmtId="169" fontId="17" fillId="11" borderId="1" xfId="0" applyFont="1" applyFill="1" applyBorder="1" applyAlignment="1">
      <alignment horizontal="right" wrapText="1"/>
    </xf>
    <xf numFmtId="169" fontId="11" fillId="0" borderId="0" xfId="0" applyNumberFormat="1" applyFont="1"/>
    <xf numFmtId="169" fontId="12" fillId="0" borderId="0" xfId="0" applyNumberFormat="1" applyFont="1"/>
    <xf numFmtId="169" fontId="11" fillId="9" borderId="0" xfId="0" applyNumberFormat="1" applyFont="1" applyFill="1"/>
    <xf numFmtId="43" fontId="17" fillId="0" borderId="0" xfId="1" applyFont="1" applyFill="1"/>
    <xf numFmtId="43" fontId="11" fillId="12" borderId="0" xfId="1" applyFont="1" applyFill="1"/>
    <xf numFmtId="169" fontId="11" fillId="12" borderId="0" xfId="0" applyFont="1" applyFill="1"/>
    <xf numFmtId="1" fontId="12" fillId="0" borderId="0" xfId="0" applyNumberFormat="1" applyFont="1" applyAlignment="1">
      <alignment horizontal="right"/>
    </xf>
    <xf numFmtId="169" fontId="17" fillId="0" borderId="0" xfId="0" applyFont="1" applyFill="1" applyBorder="1"/>
    <xf numFmtId="1" fontId="20" fillId="0" borderId="0" xfId="0" applyNumberFormat="1" applyFont="1" applyFill="1" applyBorder="1" applyAlignment="1">
      <alignment horizontal="center"/>
    </xf>
    <xf numFmtId="169" fontId="20" fillId="0" borderId="0" xfId="0" applyFont="1" applyFill="1" applyBorder="1" applyAlignment="1">
      <alignment horizontal="center"/>
    </xf>
    <xf numFmtId="2" fontId="21" fillId="0" borderId="0" xfId="0" applyNumberFormat="1" applyFont="1" applyFill="1" applyBorder="1" applyAlignment="1">
      <alignment horizontal="center"/>
    </xf>
    <xf numFmtId="169" fontId="22" fillId="9" borderId="0" xfId="0" applyFont="1" applyFill="1" applyBorder="1" applyAlignment="1">
      <alignment horizontal="right" wrapText="1"/>
    </xf>
    <xf numFmtId="169" fontId="17" fillId="9" borderId="1" xfId="0" applyFont="1" applyFill="1" applyBorder="1" applyAlignment="1">
      <alignment horizontal="right" wrapText="1"/>
    </xf>
    <xf numFmtId="169" fontId="11" fillId="0" borderId="0" xfId="0" applyNumberFormat="1" applyFont="1" applyFill="1"/>
    <xf numFmtId="169" fontId="0" fillId="0" borderId="0" xfId="0" applyNumberFormat="1"/>
    <xf numFmtId="169" fontId="7" fillId="0" borderId="0" xfId="0" applyNumberFormat="1" applyFont="1" applyFill="1"/>
    <xf numFmtId="169" fontId="5" fillId="0" borderId="0" xfId="0" applyNumberFormat="1" applyFont="1"/>
    <xf numFmtId="169" fontId="0" fillId="0" borderId="0" xfId="0" applyNumberFormat="1" applyFill="1"/>
    <xf numFmtId="169" fontId="17" fillId="0" borderId="0" xfId="0" applyNumberFormat="1" applyFont="1" applyFill="1"/>
    <xf numFmtId="167" fontId="11" fillId="0" borderId="0" xfId="0" applyNumberFormat="1" applyFont="1" applyFill="1"/>
    <xf numFmtId="167" fontId="11" fillId="12" borderId="0" xfId="0" applyNumberFormat="1" applyFont="1" applyFill="1"/>
    <xf numFmtId="0" fontId="11" fillId="0" borderId="0" xfId="0" applyNumberFormat="1" applyFont="1" applyFill="1"/>
    <xf numFmtId="0" fontId="11" fillId="0" borderId="0" xfId="0" applyNumberFormat="1" applyFont="1" applyFill="1" applyAlignment="1">
      <alignment horizontal="center" vertical="center"/>
    </xf>
    <xf numFmtId="0" fontId="17" fillId="0" borderId="0" xfId="0" applyNumberFormat="1" applyFont="1" applyFill="1"/>
    <xf numFmtId="0" fontId="18" fillId="0" borderId="0" xfId="0" applyNumberFormat="1" applyFont="1" applyFill="1" applyAlignment="1">
      <alignment horizontal="right"/>
    </xf>
    <xf numFmtId="0" fontId="17" fillId="0" borderId="0" xfId="0" applyNumberFormat="1" applyFont="1" applyFill="1" applyAlignment="1">
      <alignment horizontal="right"/>
    </xf>
    <xf numFmtId="0" fontId="11" fillId="0" borderId="0" xfId="0" applyNumberFormat="1" applyFont="1" applyFill="1" applyAlignment="1">
      <alignment horizontal="right"/>
    </xf>
    <xf numFmtId="0" fontId="11" fillId="0" borderId="0" xfId="0" applyNumberFormat="1" applyFont="1" applyFill="1" applyAlignment="1">
      <alignment horizontal="left"/>
    </xf>
    <xf numFmtId="169" fontId="5" fillId="9" borderId="0" xfId="0" applyFont="1" applyFill="1"/>
    <xf numFmtId="169" fontId="23" fillId="9" borderId="0" xfId="0" applyFont="1" applyFill="1"/>
    <xf numFmtId="43" fontId="1" fillId="0" borderId="0" xfId="1" applyFont="1" applyFill="1" applyBorder="1"/>
    <xf numFmtId="167" fontId="7" fillId="0" borderId="0" xfId="1" applyNumberFormat="1" applyFont="1"/>
    <xf numFmtId="169" fontId="7" fillId="0" borderId="0" xfId="0" applyFont="1" applyAlignment="1">
      <alignment wrapText="1"/>
    </xf>
    <xf numFmtId="0" fontId="0" fillId="0" borderId="0" xfId="0" applyNumberFormat="1"/>
    <xf numFmtId="0" fontId="4" fillId="0" borderId="0" xfId="0" applyNumberFormat="1" applyFont="1"/>
    <xf numFmtId="0" fontId="0" fillId="0" borderId="0" xfId="0" quotePrefix="1" applyNumberFormat="1"/>
    <xf numFmtId="0" fontId="0" fillId="0" borderId="0" xfId="0" applyNumberFormat="1" applyFont="1"/>
  </cellXfs>
  <cellStyles count="3">
    <cellStyle name="Comma" xfId="1" builtinId="3"/>
    <cellStyle name="Comma 2" xfId="2"/>
    <cellStyle name="Normal" xfId="0" builtinId="0"/>
  </cellStyles>
  <dxfs count="480">
    <dxf>
      <alignment horizontal="right" readingOrder="0"/>
    </dxf>
    <dxf>
      <alignment horizontal="right" readingOrder="0"/>
    </dxf>
    <dxf>
      <font>
        <sz val="9"/>
      </font>
    </dxf>
    <dxf>
      <fill>
        <patternFill patternType="none">
          <bgColor auto="1"/>
        </patternFill>
      </fill>
    </dxf>
    <dxf>
      <fill>
        <patternFill patternType="none">
          <bgColor auto="1"/>
        </patternFill>
      </fill>
    </dxf>
    <dxf>
      <font>
        <color auto="1"/>
      </font>
    </dxf>
    <dxf>
      <fill>
        <patternFill patternType="none">
          <bgColor auto="1"/>
        </patternFill>
      </fill>
    </dxf>
    <dxf>
      <fill>
        <patternFill patternType="none">
          <bgColor auto="1"/>
        </patternFill>
      </fill>
    </dxf>
    <dxf>
      <fill>
        <patternFill patternType="none">
          <bgColor auto="1"/>
        </patternFill>
      </fill>
    </dxf>
    <dxf>
      <font>
        <color rgb="FFFF0000"/>
      </font>
    </dxf>
    <dxf>
      <font>
        <color rgb="FFFF0000"/>
      </font>
    </dxf>
    <dxf>
      <font>
        <color rgb="FFFF0000"/>
      </font>
    </dxf>
    <dxf>
      <font>
        <color rgb="FF0070C0"/>
      </font>
    </dxf>
    <dxf>
      <font>
        <color rgb="FF0070C0"/>
      </font>
    </dxf>
    <dxf>
      <alignment vertical="center" readingOrder="0"/>
    </dxf>
    <dxf>
      <alignment horizontal="center" readingOrder="0"/>
    </dxf>
    <dxf>
      <font>
        <color auto="1"/>
      </font>
      <fill>
        <patternFill patternType="solid">
          <fgColor indexed="64"/>
          <bgColor rgb="FFFFFF00"/>
        </patternFill>
      </fill>
    </dxf>
    <dxf>
      <font>
        <color auto="1"/>
      </font>
      <fill>
        <patternFill patternType="solid">
          <fgColor indexed="64"/>
          <bgColor rgb="FFFFFF00"/>
        </patternFill>
      </fill>
    </dxf>
    <dxf>
      <font>
        <color auto="1"/>
      </font>
      <fill>
        <patternFill patternType="solid">
          <fgColor indexed="64"/>
          <bgColor rgb="FFFFFF00"/>
        </patternFill>
      </fill>
    </dxf>
    <dxf>
      <font>
        <color auto="1"/>
      </font>
      <fill>
        <patternFill patternType="solid">
          <fgColor indexed="64"/>
          <bgColor rgb="FFFFFF00"/>
        </patternFill>
      </fill>
    </dxf>
    <dxf>
      <font>
        <color auto="1"/>
      </font>
      <fill>
        <patternFill patternType="solid">
          <fgColor indexed="64"/>
          <bgColor rgb="FFFFFF00"/>
        </patternFill>
      </fill>
    </dxf>
    <dxf>
      <font>
        <color auto="1"/>
      </font>
      <fill>
        <patternFill patternType="solid">
          <fgColor indexed="64"/>
          <bgColor rgb="FFFFFF00"/>
        </patternFill>
      </fill>
    </dxf>
    <dxf>
      <font>
        <color auto="1"/>
      </font>
      <fill>
        <patternFill patternType="solid">
          <fgColor indexed="64"/>
          <bgColor rgb="FFFFFF00"/>
        </patternFill>
      </fill>
    </dxf>
    <dxf>
      <font>
        <color auto="1"/>
      </font>
      <fill>
        <patternFill patternType="solid">
          <fgColor indexed="64"/>
          <bgColor rgb="FFFFFF00"/>
        </patternFill>
      </fill>
    </dxf>
    <dxf>
      <font>
        <color rgb="FFFFFF00"/>
      </font>
      <fill>
        <patternFill>
          <bgColor indexed="64"/>
        </patternFill>
      </fill>
    </dxf>
    <dxf>
      <font>
        <color auto="1"/>
      </font>
      <fill>
        <patternFill>
          <bgColor indexed="64"/>
        </patternFill>
      </fill>
    </dxf>
    <dxf>
      <font>
        <color rgb="FFFFFF00"/>
      </font>
      <fill>
        <patternFill>
          <bgColor indexed="64"/>
        </patternFill>
      </fill>
    </dxf>
    <dxf>
      <fill>
        <patternFill patternType="solid">
          <bgColor rgb="FFFFFF00"/>
        </patternFill>
      </fill>
    </dxf>
    <dxf>
      <fill>
        <patternFill patternType="none">
          <bgColor auto="1"/>
        </patternFill>
      </fill>
    </dxf>
    <dxf>
      <font>
        <color auto="1"/>
      </font>
    </dxf>
    <dxf>
      <fill>
        <patternFill patternType="solid">
          <bgColor rgb="FFFFFF00"/>
        </patternFill>
      </fill>
    </dxf>
    <dxf>
      <fill>
        <patternFill patternType="solid">
          <bgColor rgb="FFFFFF00"/>
        </patternFill>
      </fill>
    </dxf>
    <dxf>
      <fill>
        <patternFill patternType="none">
          <bgColor auto="1"/>
        </patternFill>
      </fill>
    </dxf>
    <dxf>
      <numFmt numFmtId="1" formatCode="0"/>
    </dxf>
    <dxf>
      <numFmt numFmtId="1" formatCode="0"/>
    </dxf>
    <dxf>
      <fill>
        <patternFill patternType="none">
          <bgColor auto="1"/>
        </patternFill>
      </fill>
    </dxf>
    <dxf>
      <font>
        <color auto="1"/>
      </font>
    </dxf>
    <dxf>
      <fill>
        <patternFill patternType="solid">
          <bgColor rgb="FFFF0000"/>
        </patternFill>
      </fill>
    </dxf>
    <dxf>
      <font>
        <color rgb="FFFFFF00"/>
      </font>
    </dxf>
    <dxf>
      <font>
        <color rgb="FFFFFF00"/>
      </font>
      <fill>
        <patternFill patternType="solid">
          <fgColor indexed="64"/>
          <bgColor rgb="FFFF0000"/>
        </patternFill>
      </fill>
    </dxf>
    <dxf>
      <font>
        <color rgb="FFFFFF00"/>
      </font>
      <fill>
        <patternFill patternType="solid">
          <fgColor indexed="64"/>
          <bgColor rgb="FFFF0000"/>
        </patternFill>
      </fill>
    </dxf>
    <dxf>
      <font>
        <color rgb="FFFFFF00"/>
      </font>
      <fill>
        <patternFill patternType="solid">
          <fgColor indexed="64"/>
          <bgColor rgb="FFFF0000"/>
        </patternFill>
      </fill>
    </dxf>
    <dxf>
      <font>
        <color rgb="FFFFFF00"/>
      </font>
      <fill>
        <patternFill patternType="solid">
          <fgColor indexed="64"/>
          <bgColor rgb="FFFF0000"/>
        </patternFill>
      </fill>
    </dxf>
    <dxf>
      <font>
        <color rgb="FFFFFF00"/>
      </font>
      <fill>
        <patternFill patternType="solid">
          <fgColor indexed="64"/>
          <bgColor rgb="FFFF0000"/>
        </patternFill>
      </fill>
    </dxf>
    <dxf>
      <font>
        <color rgb="FFFFFF00"/>
      </font>
      <fill>
        <patternFill patternType="solid">
          <fgColor indexed="64"/>
          <bgColor rgb="FFFF0000"/>
        </patternFill>
      </fill>
    </dxf>
    <dxf>
      <font>
        <color rgb="FFFFFF00"/>
      </font>
      <fill>
        <patternFill patternType="solid">
          <fgColor indexed="64"/>
          <bgColor rgb="FFFF0000"/>
        </patternFill>
      </fill>
    </dxf>
    <dxf>
      <font>
        <color rgb="FFFFFF00"/>
      </font>
      <fill>
        <patternFill patternType="solid">
          <fgColor indexed="64"/>
          <bgColor rgb="FFFF0000"/>
        </patternFill>
      </fill>
    </dxf>
    <dxf>
      <font>
        <color rgb="FFFFFF00"/>
      </font>
      <fill>
        <patternFill patternType="solid">
          <fgColor indexed="64"/>
          <bgColor rgb="FFFF0000"/>
        </patternFill>
      </fill>
    </dxf>
    <dxf>
      <font>
        <color rgb="FFFFFF00"/>
      </font>
      <fill>
        <patternFill patternType="solid">
          <fgColor indexed="64"/>
          <bgColor rgb="FFFF0000"/>
        </patternFill>
      </fill>
    </dxf>
    <dxf>
      <font>
        <color auto="1"/>
      </font>
    </dxf>
    <dxf>
      <numFmt numFmtId="0" formatCode="General"/>
    </dxf>
    <dxf>
      <numFmt numFmtId="0" formatCode="General"/>
    </dxf>
    <dxf>
      <numFmt numFmtId="0" formatCode="General"/>
    </dxf>
    <dxf>
      <numFmt numFmtId="0" formatCode="General"/>
    </dxf>
    <dxf>
      <numFmt numFmtId="0" formatCode="General"/>
    </dxf>
    <dxf>
      <numFmt numFmtId="167" formatCode="_(* #,##0_);_(* \(#,##0\);_(* &quot;-&quot;??_);_(@_)"/>
    </dxf>
    <dxf>
      <fill>
        <patternFill patternType="solid">
          <fgColor indexed="64"/>
          <bgColor rgb="FFFFFF00"/>
        </patternFill>
      </fill>
    </dxf>
    <dxf>
      <fill>
        <patternFill patternType="solid">
          <fgColor indexed="64"/>
          <bgColor rgb="FFFFFF00"/>
        </patternFill>
      </fill>
    </dxf>
    <dxf>
      <fill>
        <patternFill patternType="none">
          <bgColor auto="1"/>
        </patternFill>
      </fill>
    </dxf>
    <dxf>
      <fill>
        <patternFill patternType="solid">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alignment horizontal="right" readingOrder="0"/>
    </dxf>
    <dxf>
      <alignment horizontal="right" readingOrder="0"/>
    </dxf>
    <dxf>
      <font>
        <sz val="9"/>
      </font>
    </dxf>
    <dxf>
      <fill>
        <patternFill patternType="none">
          <bgColor auto="1"/>
        </patternFill>
      </fill>
    </dxf>
    <dxf>
      <fill>
        <patternFill patternType="none">
          <bgColor auto="1"/>
        </patternFill>
      </fill>
    </dxf>
    <dxf>
      <font>
        <color auto="1"/>
      </font>
    </dxf>
    <dxf>
      <fill>
        <patternFill patternType="none">
          <bgColor auto="1"/>
        </patternFill>
      </fill>
    </dxf>
    <dxf>
      <fill>
        <patternFill patternType="none">
          <bgColor auto="1"/>
        </patternFill>
      </fill>
    </dxf>
    <dxf>
      <fill>
        <patternFill patternType="none">
          <bgColor auto="1"/>
        </patternFill>
      </fill>
    </dxf>
    <dxf>
      <font>
        <color rgb="FFFF0000"/>
      </font>
    </dxf>
    <dxf>
      <font>
        <color rgb="FFFF0000"/>
      </font>
    </dxf>
    <dxf>
      <font>
        <color rgb="FFFF0000"/>
      </font>
    </dxf>
    <dxf>
      <font>
        <color rgb="FF0070C0"/>
      </font>
    </dxf>
    <dxf>
      <font>
        <color rgb="FF0070C0"/>
      </font>
    </dxf>
    <dxf>
      <alignment vertical="center" readingOrder="0"/>
    </dxf>
    <dxf>
      <alignment horizontal="center" readingOrder="0"/>
    </dxf>
    <dxf>
      <font>
        <color auto="1"/>
      </font>
      <fill>
        <patternFill patternType="solid">
          <fgColor indexed="64"/>
          <bgColor rgb="FFFFFF00"/>
        </patternFill>
      </fill>
    </dxf>
    <dxf>
      <font>
        <color auto="1"/>
      </font>
      <fill>
        <patternFill patternType="solid">
          <fgColor indexed="64"/>
          <bgColor rgb="FFFFFF00"/>
        </patternFill>
      </fill>
    </dxf>
    <dxf>
      <font>
        <color auto="1"/>
      </font>
      <fill>
        <patternFill patternType="solid">
          <fgColor indexed="64"/>
          <bgColor rgb="FFFFFF00"/>
        </patternFill>
      </fill>
    </dxf>
    <dxf>
      <font>
        <color auto="1"/>
      </font>
      <fill>
        <patternFill patternType="solid">
          <fgColor indexed="64"/>
          <bgColor rgb="FFFFFF00"/>
        </patternFill>
      </fill>
    </dxf>
    <dxf>
      <font>
        <color auto="1"/>
      </font>
      <fill>
        <patternFill patternType="solid">
          <fgColor indexed="64"/>
          <bgColor rgb="FFFFFF00"/>
        </patternFill>
      </fill>
    </dxf>
    <dxf>
      <font>
        <color auto="1"/>
      </font>
      <fill>
        <patternFill patternType="solid">
          <fgColor indexed="64"/>
          <bgColor rgb="FFFFFF00"/>
        </patternFill>
      </fill>
    </dxf>
    <dxf>
      <font>
        <color auto="1"/>
      </font>
      <fill>
        <patternFill patternType="solid">
          <fgColor indexed="64"/>
          <bgColor rgb="FFFFFF00"/>
        </patternFill>
      </fill>
    </dxf>
    <dxf>
      <font>
        <color auto="1"/>
      </font>
      <fill>
        <patternFill patternType="solid">
          <fgColor indexed="64"/>
          <bgColor rgb="FFFFFF00"/>
        </patternFill>
      </fill>
    </dxf>
    <dxf>
      <font>
        <color rgb="FFFFFF00"/>
      </font>
      <fill>
        <patternFill>
          <bgColor indexed="64"/>
        </patternFill>
      </fill>
    </dxf>
    <dxf>
      <font>
        <color auto="1"/>
      </font>
      <fill>
        <patternFill>
          <bgColor indexed="64"/>
        </patternFill>
      </fill>
    </dxf>
    <dxf>
      <font>
        <color rgb="FFFFFF00"/>
      </font>
      <fill>
        <patternFill>
          <bgColor indexed="64"/>
        </patternFill>
      </fill>
    </dxf>
    <dxf>
      <fill>
        <patternFill patternType="solid">
          <bgColor rgb="FFFFFF00"/>
        </patternFill>
      </fill>
    </dxf>
    <dxf>
      <fill>
        <patternFill patternType="none">
          <bgColor auto="1"/>
        </patternFill>
      </fill>
    </dxf>
    <dxf>
      <font>
        <color auto="1"/>
      </font>
    </dxf>
    <dxf>
      <fill>
        <patternFill patternType="solid">
          <bgColor rgb="FFFFFF00"/>
        </patternFill>
      </fill>
    </dxf>
    <dxf>
      <fill>
        <patternFill patternType="solid">
          <bgColor rgb="FFFFFF00"/>
        </patternFill>
      </fill>
    </dxf>
    <dxf>
      <fill>
        <patternFill patternType="none">
          <bgColor auto="1"/>
        </patternFill>
      </fill>
    </dxf>
    <dxf>
      <numFmt numFmtId="1" formatCode="0"/>
    </dxf>
    <dxf>
      <numFmt numFmtId="1" formatCode="0"/>
    </dxf>
    <dxf>
      <fill>
        <patternFill patternType="none">
          <bgColor auto="1"/>
        </patternFill>
      </fill>
    </dxf>
    <dxf>
      <font>
        <color auto="1"/>
      </font>
    </dxf>
    <dxf>
      <fill>
        <patternFill patternType="solid">
          <bgColor rgb="FFFF0000"/>
        </patternFill>
      </fill>
    </dxf>
    <dxf>
      <font>
        <color rgb="FFFFFF00"/>
      </font>
    </dxf>
    <dxf>
      <font>
        <color rgb="FFFFFF00"/>
      </font>
      <fill>
        <patternFill patternType="solid">
          <fgColor indexed="64"/>
          <bgColor rgb="FFFF0000"/>
        </patternFill>
      </fill>
    </dxf>
    <dxf>
      <font>
        <color rgb="FFFFFF00"/>
      </font>
      <fill>
        <patternFill patternType="solid">
          <fgColor indexed="64"/>
          <bgColor rgb="FFFF0000"/>
        </patternFill>
      </fill>
    </dxf>
    <dxf>
      <font>
        <color rgb="FFFFFF00"/>
      </font>
      <fill>
        <patternFill patternType="solid">
          <fgColor indexed="64"/>
          <bgColor rgb="FFFF0000"/>
        </patternFill>
      </fill>
    </dxf>
    <dxf>
      <font>
        <color rgb="FFFFFF00"/>
      </font>
      <fill>
        <patternFill patternType="solid">
          <fgColor indexed="64"/>
          <bgColor rgb="FFFF0000"/>
        </patternFill>
      </fill>
    </dxf>
    <dxf>
      <font>
        <color rgb="FFFFFF00"/>
      </font>
      <fill>
        <patternFill patternType="solid">
          <fgColor indexed="64"/>
          <bgColor rgb="FFFF0000"/>
        </patternFill>
      </fill>
    </dxf>
    <dxf>
      <font>
        <color rgb="FFFFFF00"/>
      </font>
      <fill>
        <patternFill patternType="solid">
          <fgColor indexed="64"/>
          <bgColor rgb="FFFF0000"/>
        </patternFill>
      </fill>
    </dxf>
    <dxf>
      <font>
        <color rgb="FFFFFF00"/>
      </font>
      <fill>
        <patternFill patternType="solid">
          <fgColor indexed="64"/>
          <bgColor rgb="FFFF0000"/>
        </patternFill>
      </fill>
    </dxf>
    <dxf>
      <font>
        <color rgb="FFFFFF00"/>
      </font>
      <fill>
        <patternFill patternType="solid">
          <fgColor indexed="64"/>
          <bgColor rgb="FFFF0000"/>
        </patternFill>
      </fill>
    </dxf>
    <dxf>
      <font>
        <color rgb="FFFFFF00"/>
      </font>
      <fill>
        <patternFill patternType="solid">
          <fgColor indexed="64"/>
          <bgColor rgb="FFFF0000"/>
        </patternFill>
      </fill>
    </dxf>
    <dxf>
      <font>
        <color rgb="FFFFFF00"/>
      </font>
      <fill>
        <patternFill patternType="solid">
          <fgColor indexed="64"/>
          <bgColor rgb="FFFF0000"/>
        </patternFill>
      </fill>
    </dxf>
    <dxf>
      <font>
        <color auto="1"/>
      </font>
    </dxf>
    <dxf>
      <numFmt numFmtId="0" formatCode="General"/>
    </dxf>
    <dxf>
      <numFmt numFmtId="0" formatCode="General"/>
    </dxf>
    <dxf>
      <numFmt numFmtId="0" formatCode="General"/>
    </dxf>
    <dxf>
      <numFmt numFmtId="0" formatCode="General"/>
    </dxf>
    <dxf>
      <numFmt numFmtId="0" formatCode="General"/>
    </dxf>
    <dxf>
      <numFmt numFmtId="167" formatCode="_(* #,##0_);_(* \(#,##0\);_(* &quot;-&quot;??_);_(@_)"/>
    </dxf>
    <dxf>
      <fill>
        <patternFill patternType="solid">
          <fgColor indexed="64"/>
          <bgColor rgb="FFFFFF00"/>
        </patternFill>
      </fill>
    </dxf>
    <dxf>
      <fill>
        <patternFill patternType="solid">
          <fgColor indexed="64"/>
          <bgColor rgb="FFFFFF00"/>
        </patternFill>
      </fill>
    </dxf>
    <dxf>
      <fill>
        <patternFill patternType="none">
          <bgColor auto="1"/>
        </patternFill>
      </fill>
    </dxf>
    <dxf>
      <fill>
        <patternFill patternType="solid">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alignment horizontal="right" readingOrder="0"/>
    </dxf>
    <dxf>
      <alignment horizontal="right" readingOrder="0"/>
    </dxf>
    <dxf>
      <font>
        <sz val="9"/>
      </font>
    </dxf>
    <dxf>
      <fill>
        <patternFill patternType="none">
          <bgColor auto="1"/>
        </patternFill>
      </fill>
    </dxf>
    <dxf>
      <fill>
        <patternFill patternType="none">
          <bgColor auto="1"/>
        </patternFill>
      </fill>
    </dxf>
    <dxf>
      <font>
        <color auto="1"/>
      </font>
    </dxf>
    <dxf>
      <fill>
        <patternFill patternType="none">
          <bgColor auto="1"/>
        </patternFill>
      </fill>
    </dxf>
    <dxf>
      <fill>
        <patternFill patternType="none">
          <bgColor auto="1"/>
        </patternFill>
      </fill>
    </dxf>
    <dxf>
      <fill>
        <patternFill patternType="none">
          <bgColor auto="1"/>
        </patternFill>
      </fill>
    </dxf>
    <dxf>
      <font>
        <color rgb="FFFF0000"/>
      </font>
    </dxf>
    <dxf>
      <font>
        <color rgb="FFFF0000"/>
      </font>
    </dxf>
    <dxf>
      <font>
        <color rgb="FFFF0000"/>
      </font>
    </dxf>
    <dxf>
      <font>
        <color rgb="FF0070C0"/>
      </font>
    </dxf>
    <dxf>
      <font>
        <color rgb="FF0070C0"/>
      </font>
    </dxf>
    <dxf>
      <alignment vertical="center" readingOrder="0"/>
    </dxf>
    <dxf>
      <alignment horizontal="center" readingOrder="0"/>
    </dxf>
    <dxf>
      <font>
        <color auto="1"/>
      </font>
      <fill>
        <patternFill patternType="solid">
          <fgColor indexed="64"/>
          <bgColor rgb="FFFFFF00"/>
        </patternFill>
      </fill>
    </dxf>
    <dxf>
      <font>
        <color auto="1"/>
      </font>
      <fill>
        <patternFill patternType="solid">
          <fgColor indexed="64"/>
          <bgColor rgb="FFFFFF00"/>
        </patternFill>
      </fill>
    </dxf>
    <dxf>
      <font>
        <color auto="1"/>
      </font>
      <fill>
        <patternFill patternType="solid">
          <fgColor indexed="64"/>
          <bgColor rgb="FFFFFF00"/>
        </patternFill>
      </fill>
    </dxf>
    <dxf>
      <font>
        <color auto="1"/>
      </font>
      <fill>
        <patternFill patternType="solid">
          <fgColor indexed="64"/>
          <bgColor rgb="FFFFFF00"/>
        </patternFill>
      </fill>
    </dxf>
    <dxf>
      <font>
        <color auto="1"/>
      </font>
      <fill>
        <patternFill patternType="solid">
          <fgColor indexed="64"/>
          <bgColor rgb="FFFFFF00"/>
        </patternFill>
      </fill>
    </dxf>
    <dxf>
      <font>
        <color auto="1"/>
      </font>
      <fill>
        <patternFill patternType="solid">
          <fgColor indexed="64"/>
          <bgColor rgb="FFFFFF00"/>
        </patternFill>
      </fill>
    </dxf>
    <dxf>
      <font>
        <color auto="1"/>
      </font>
      <fill>
        <patternFill patternType="solid">
          <fgColor indexed="64"/>
          <bgColor rgb="FFFFFF00"/>
        </patternFill>
      </fill>
    </dxf>
    <dxf>
      <font>
        <color auto="1"/>
      </font>
      <fill>
        <patternFill patternType="solid">
          <fgColor indexed="64"/>
          <bgColor rgb="FFFFFF00"/>
        </patternFill>
      </fill>
    </dxf>
    <dxf>
      <font>
        <color rgb="FFFFFF00"/>
      </font>
      <fill>
        <patternFill>
          <bgColor indexed="64"/>
        </patternFill>
      </fill>
    </dxf>
    <dxf>
      <font>
        <color auto="1"/>
      </font>
      <fill>
        <patternFill>
          <bgColor indexed="64"/>
        </patternFill>
      </fill>
    </dxf>
    <dxf>
      <font>
        <color rgb="FFFFFF00"/>
      </font>
      <fill>
        <patternFill>
          <bgColor indexed="64"/>
        </patternFill>
      </fill>
    </dxf>
    <dxf>
      <fill>
        <patternFill patternType="solid">
          <bgColor rgb="FFFFFF00"/>
        </patternFill>
      </fill>
    </dxf>
    <dxf>
      <fill>
        <patternFill patternType="none">
          <bgColor auto="1"/>
        </patternFill>
      </fill>
    </dxf>
    <dxf>
      <font>
        <color auto="1"/>
      </font>
    </dxf>
    <dxf>
      <fill>
        <patternFill patternType="solid">
          <bgColor rgb="FFFFFF00"/>
        </patternFill>
      </fill>
    </dxf>
    <dxf>
      <fill>
        <patternFill patternType="solid">
          <bgColor rgb="FFFFFF00"/>
        </patternFill>
      </fill>
    </dxf>
    <dxf>
      <fill>
        <patternFill patternType="none">
          <bgColor auto="1"/>
        </patternFill>
      </fill>
    </dxf>
    <dxf>
      <numFmt numFmtId="1" formatCode="0"/>
    </dxf>
    <dxf>
      <numFmt numFmtId="1" formatCode="0"/>
    </dxf>
    <dxf>
      <fill>
        <patternFill patternType="none">
          <bgColor auto="1"/>
        </patternFill>
      </fill>
    </dxf>
    <dxf>
      <font>
        <color auto="1"/>
      </font>
    </dxf>
    <dxf>
      <fill>
        <patternFill patternType="solid">
          <bgColor rgb="FFFF0000"/>
        </patternFill>
      </fill>
    </dxf>
    <dxf>
      <font>
        <color rgb="FFFFFF00"/>
      </font>
    </dxf>
    <dxf>
      <font>
        <color rgb="FFFFFF00"/>
      </font>
      <fill>
        <patternFill patternType="solid">
          <fgColor indexed="64"/>
          <bgColor rgb="FFFF0000"/>
        </patternFill>
      </fill>
    </dxf>
    <dxf>
      <font>
        <color rgb="FFFFFF00"/>
      </font>
      <fill>
        <patternFill patternType="solid">
          <fgColor indexed="64"/>
          <bgColor rgb="FFFF0000"/>
        </patternFill>
      </fill>
    </dxf>
    <dxf>
      <font>
        <color rgb="FFFFFF00"/>
      </font>
      <fill>
        <patternFill patternType="solid">
          <fgColor indexed="64"/>
          <bgColor rgb="FFFF0000"/>
        </patternFill>
      </fill>
    </dxf>
    <dxf>
      <font>
        <color rgb="FFFFFF00"/>
      </font>
      <fill>
        <patternFill patternType="solid">
          <fgColor indexed="64"/>
          <bgColor rgb="FFFF0000"/>
        </patternFill>
      </fill>
    </dxf>
    <dxf>
      <font>
        <color rgb="FFFFFF00"/>
      </font>
      <fill>
        <patternFill patternType="solid">
          <fgColor indexed="64"/>
          <bgColor rgb="FFFF0000"/>
        </patternFill>
      </fill>
    </dxf>
    <dxf>
      <font>
        <color rgb="FFFFFF00"/>
      </font>
      <fill>
        <patternFill patternType="solid">
          <fgColor indexed="64"/>
          <bgColor rgb="FFFF0000"/>
        </patternFill>
      </fill>
    </dxf>
    <dxf>
      <font>
        <color rgb="FFFFFF00"/>
      </font>
      <fill>
        <patternFill patternType="solid">
          <fgColor indexed="64"/>
          <bgColor rgb="FFFF0000"/>
        </patternFill>
      </fill>
    </dxf>
    <dxf>
      <font>
        <color rgb="FFFFFF00"/>
      </font>
      <fill>
        <patternFill patternType="solid">
          <fgColor indexed="64"/>
          <bgColor rgb="FFFF0000"/>
        </patternFill>
      </fill>
    </dxf>
    <dxf>
      <font>
        <color rgb="FFFFFF00"/>
      </font>
      <fill>
        <patternFill patternType="solid">
          <fgColor indexed="64"/>
          <bgColor rgb="FFFF0000"/>
        </patternFill>
      </fill>
    </dxf>
    <dxf>
      <font>
        <color rgb="FFFFFF00"/>
      </font>
      <fill>
        <patternFill patternType="solid">
          <fgColor indexed="64"/>
          <bgColor rgb="FFFF0000"/>
        </patternFill>
      </fill>
    </dxf>
    <dxf>
      <font>
        <color auto="1"/>
      </font>
    </dxf>
    <dxf>
      <numFmt numFmtId="0" formatCode="General"/>
    </dxf>
    <dxf>
      <numFmt numFmtId="0" formatCode="General"/>
    </dxf>
    <dxf>
      <numFmt numFmtId="0" formatCode="General"/>
    </dxf>
    <dxf>
      <numFmt numFmtId="0" formatCode="General"/>
    </dxf>
    <dxf>
      <numFmt numFmtId="0" formatCode="General"/>
    </dxf>
    <dxf>
      <numFmt numFmtId="167" formatCode="_(* #,##0_);_(* \(#,##0\);_(* &quot;-&quot;??_);_(@_)"/>
    </dxf>
    <dxf>
      <fill>
        <patternFill patternType="solid">
          <fgColor indexed="64"/>
          <bgColor rgb="FFFFFF00"/>
        </patternFill>
      </fill>
    </dxf>
    <dxf>
      <fill>
        <patternFill patternType="solid">
          <fgColor indexed="64"/>
          <bgColor rgb="FFFFFF00"/>
        </patternFill>
      </fill>
    </dxf>
    <dxf>
      <fill>
        <patternFill patternType="none">
          <bgColor auto="1"/>
        </patternFill>
      </fill>
    </dxf>
    <dxf>
      <fill>
        <patternFill patternType="solid">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alignment horizontal="right" readingOrder="0"/>
    </dxf>
    <dxf>
      <alignment horizontal="right" readingOrder="0"/>
    </dxf>
    <dxf>
      <font>
        <sz val="9"/>
      </font>
    </dxf>
    <dxf>
      <fill>
        <patternFill patternType="none">
          <bgColor auto="1"/>
        </patternFill>
      </fill>
    </dxf>
    <dxf>
      <fill>
        <patternFill patternType="none">
          <bgColor auto="1"/>
        </patternFill>
      </fill>
    </dxf>
    <dxf>
      <font>
        <color auto="1"/>
      </font>
    </dxf>
    <dxf>
      <fill>
        <patternFill patternType="none">
          <bgColor auto="1"/>
        </patternFill>
      </fill>
    </dxf>
    <dxf>
      <fill>
        <patternFill patternType="none">
          <bgColor auto="1"/>
        </patternFill>
      </fill>
    </dxf>
    <dxf>
      <fill>
        <patternFill patternType="none">
          <bgColor auto="1"/>
        </patternFill>
      </fill>
    </dxf>
    <dxf>
      <font>
        <color rgb="FFFF0000"/>
      </font>
    </dxf>
    <dxf>
      <font>
        <color rgb="FFFF0000"/>
      </font>
    </dxf>
    <dxf>
      <font>
        <color rgb="FFFF0000"/>
      </font>
    </dxf>
    <dxf>
      <font>
        <color rgb="FF0070C0"/>
      </font>
    </dxf>
    <dxf>
      <font>
        <color rgb="FF0070C0"/>
      </font>
    </dxf>
    <dxf>
      <alignment vertical="center" readingOrder="0"/>
    </dxf>
    <dxf>
      <alignment horizontal="center" readingOrder="0"/>
    </dxf>
    <dxf>
      <font>
        <color auto="1"/>
      </font>
      <fill>
        <patternFill patternType="solid">
          <fgColor indexed="64"/>
          <bgColor rgb="FFFFFF00"/>
        </patternFill>
      </fill>
    </dxf>
    <dxf>
      <font>
        <color auto="1"/>
      </font>
      <fill>
        <patternFill patternType="solid">
          <fgColor indexed="64"/>
          <bgColor rgb="FFFFFF00"/>
        </patternFill>
      </fill>
    </dxf>
    <dxf>
      <font>
        <color auto="1"/>
      </font>
      <fill>
        <patternFill patternType="solid">
          <fgColor indexed="64"/>
          <bgColor rgb="FFFFFF00"/>
        </patternFill>
      </fill>
    </dxf>
    <dxf>
      <font>
        <color auto="1"/>
      </font>
      <fill>
        <patternFill patternType="solid">
          <fgColor indexed="64"/>
          <bgColor rgb="FFFFFF00"/>
        </patternFill>
      </fill>
    </dxf>
    <dxf>
      <font>
        <color auto="1"/>
      </font>
      <fill>
        <patternFill patternType="solid">
          <fgColor indexed="64"/>
          <bgColor rgb="FFFFFF00"/>
        </patternFill>
      </fill>
    </dxf>
    <dxf>
      <font>
        <color auto="1"/>
      </font>
      <fill>
        <patternFill patternType="solid">
          <fgColor indexed="64"/>
          <bgColor rgb="FFFFFF00"/>
        </patternFill>
      </fill>
    </dxf>
    <dxf>
      <font>
        <color auto="1"/>
      </font>
      <fill>
        <patternFill patternType="solid">
          <fgColor indexed="64"/>
          <bgColor rgb="FFFFFF00"/>
        </patternFill>
      </fill>
    </dxf>
    <dxf>
      <font>
        <color auto="1"/>
      </font>
      <fill>
        <patternFill patternType="solid">
          <fgColor indexed="64"/>
          <bgColor rgb="FFFFFF00"/>
        </patternFill>
      </fill>
    </dxf>
    <dxf>
      <font>
        <color rgb="FFFFFF00"/>
      </font>
      <fill>
        <patternFill>
          <bgColor indexed="64"/>
        </patternFill>
      </fill>
    </dxf>
    <dxf>
      <font>
        <color auto="1"/>
      </font>
      <fill>
        <patternFill>
          <bgColor indexed="64"/>
        </patternFill>
      </fill>
    </dxf>
    <dxf>
      <font>
        <color rgb="FFFFFF00"/>
      </font>
      <fill>
        <patternFill>
          <bgColor indexed="64"/>
        </patternFill>
      </fill>
    </dxf>
    <dxf>
      <fill>
        <patternFill patternType="solid">
          <bgColor rgb="FFFFFF00"/>
        </patternFill>
      </fill>
    </dxf>
    <dxf>
      <fill>
        <patternFill patternType="none">
          <bgColor auto="1"/>
        </patternFill>
      </fill>
    </dxf>
    <dxf>
      <font>
        <color auto="1"/>
      </font>
    </dxf>
    <dxf>
      <fill>
        <patternFill patternType="solid">
          <bgColor rgb="FFFFFF00"/>
        </patternFill>
      </fill>
    </dxf>
    <dxf>
      <fill>
        <patternFill patternType="solid">
          <bgColor rgb="FFFFFF00"/>
        </patternFill>
      </fill>
    </dxf>
    <dxf>
      <fill>
        <patternFill patternType="none">
          <bgColor auto="1"/>
        </patternFill>
      </fill>
    </dxf>
    <dxf>
      <numFmt numFmtId="1" formatCode="0"/>
    </dxf>
    <dxf>
      <numFmt numFmtId="1" formatCode="0"/>
    </dxf>
    <dxf>
      <fill>
        <patternFill patternType="none">
          <bgColor auto="1"/>
        </patternFill>
      </fill>
    </dxf>
    <dxf>
      <font>
        <color auto="1"/>
      </font>
    </dxf>
    <dxf>
      <fill>
        <patternFill patternType="solid">
          <bgColor rgb="FFFF0000"/>
        </patternFill>
      </fill>
    </dxf>
    <dxf>
      <font>
        <color rgb="FFFFFF00"/>
      </font>
    </dxf>
    <dxf>
      <font>
        <color rgb="FFFFFF00"/>
      </font>
      <fill>
        <patternFill patternType="solid">
          <fgColor indexed="64"/>
          <bgColor rgb="FFFF0000"/>
        </patternFill>
      </fill>
    </dxf>
    <dxf>
      <font>
        <color rgb="FFFFFF00"/>
      </font>
      <fill>
        <patternFill patternType="solid">
          <fgColor indexed="64"/>
          <bgColor rgb="FFFF0000"/>
        </patternFill>
      </fill>
    </dxf>
    <dxf>
      <font>
        <color rgb="FFFFFF00"/>
      </font>
      <fill>
        <patternFill patternType="solid">
          <fgColor indexed="64"/>
          <bgColor rgb="FFFF0000"/>
        </patternFill>
      </fill>
    </dxf>
    <dxf>
      <font>
        <color rgb="FFFFFF00"/>
      </font>
      <fill>
        <patternFill patternType="solid">
          <fgColor indexed="64"/>
          <bgColor rgb="FFFF0000"/>
        </patternFill>
      </fill>
    </dxf>
    <dxf>
      <font>
        <color rgb="FFFFFF00"/>
      </font>
      <fill>
        <patternFill patternType="solid">
          <fgColor indexed="64"/>
          <bgColor rgb="FFFF0000"/>
        </patternFill>
      </fill>
    </dxf>
    <dxf>
      <font>
        <color rgb="FFFFFF00"/>
      </font>
      <fill>
        <patternFill patternType="solid">
          <fgColor indexed="64"/>
          <bgColor rgb="FFFF0000"/>
        </patternFill>
      </fill>
    </dxf>
    <dxf>
      <font>
        <color rgb="FFFFFF00"/>
      </font>
      <fill>
        <patternFill patternType="solid">
          <fgColor indexed="64"/>
          <bgColor rgb="FFFF0000"/>
        </patternFill>
      </fill>
    </dxf>
    <dxf>
      <font>
        <color rgb="FFFFFF00"/>
      </font>
      <fill>
        <patternFill patternType="solid">
          <fgColor indexed="64"/>
          <bgColor rgb="FFFF0000"/>
        </patternFill>
      </fill>
    </dxf>
    <dxf>
      <font>
        <color rgb="FFFFFF00"/>
      </font>
      <fill>
        <patternFill patternType="solid">
          <fgColor indexed="64"/>
          <bgColor rgb="FFFF0000"/>
        </patternFill>
      </fill>
    </dxf>
    <dxf>
      <font>
        <color rgb="FFFFFF00"/>
      </font>
      <fill>
        <patternFill patternType="solid">
          <fgColor indexed="64"/>
          <bgColor rgb="FFFF0000"/>
        </patternFill>
      </fill>
    </dxf>
    <dxf>
      <font>
        <color auto="1"/>
      </font>
    </dxf>
    <dxf>
      <numFmt numFmtId="0" formatCode="General"/>
    </dxf>
    <dxf>
      <numFmt numFmtId="0" formatCode="General"/>
    </dxf>
    <dxf>
      <numFmt numFmtId="0" formatCode="General"/>
    </dxf>
    <dxf>
      <numFmt numFmtId="0" formatCode="General"/>
    </dxf>
    <dxf>
      <numFmt numFmtId="0" formatCode="General"/>
    </dxf>
    <dxf>
      <numFmt numFmtId="167" formatCode="_(* #,##0_);_(* \(#,##0\);_(* &quot;-&quot;??_);_(@_)"/>
    </dxf>
    <dxf>
      <fill>
        <patternFill patternType="solid">
          <fgColor indexed="64"/>
          <bgColor rgb="FFFFFF00"/>
        </patternFill>
      </fill>
    </dxf>
    <dxf>
      <fill>
        <patternFill patternType="solid">
          <fgColor indexed="64"/>
          <bgColor rgb="FFFFFF00"/>
        </patternFill>
      </fill>
    </dxf>
    <dxf>
      <fill>
        <patternFill patternType="none">
          <bgColor auto="1"/>
        </patternFill>
      </fill>
    </dxf>
    <dxf>
      <fill>
        <patternFill patternType="solid">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bgColor rgb="FFFF0000"/>
        </patternFill>
      </fill>
    </dxf>
    <dxf>
      <fill>
        <patternFill patternType="none">
          <bgColor auto="1"/>
        </patternFill>
      </fill>
    </dxf>
    <dxf>
      <fill>
        <patternFill patternType="solid">
          <fgColor indexed="64"/>
          <bgColor rgb="FFFFFF00"/>
        </patternFill>
      </fill>
    </dxf>
    <dxf>
      <fill>
        <patternFill patternType="solid">
          <fgColor indexed="64"/>
          <bgColor rgb="FFFFFF00"/>
        </patternFill>
      </fill>
    </dxf>
    <dxf>
      <numFmt numFmtId="167" formatCode="_(* #,##0_);_(* \(#,##0\);_(* &quot;-&quot;??_);_(@_)"/>
    </dxf>
    <dxf>
      <numFmt numFmtId="0" formatCode="General"/>
    </dxf>
    <dxf>
      <numFmt numFmtId="0" formatCode="General"/>
    </dxf>
    <dxf>
      <numFmt numFmtId="0" formatCode="General"/>
    </dxf>
    <dxf>
      <numFmt numFmtId="0" formatCode="General"/>
    </dxf>
    <dxf>
      <numFmt numFmtId="0" formatCode="General"/>
    </dxf>
    <dxf>
      <font>
        <color auto="1"/>
      </font>
    </dxf>
    <dxf>
      <font>
        <color rgb="FFFFFF00"/>
      </font>
      <fill>
        <patternFill patternType="solid">
          <fgColor indexed="64"/>
          <bgColor rgb="FFFF0000"/>
        </patternFill>
      </fill>
    </dxf>
    <dxf>
      <font>
        <color rgb="FFFFFF00"/>
      </font>
      <fill>
        <patternFill patternType="solid">
          <fgColor indexed="64"/>
          <bgColor rgb="FFFF0000"/>
        </patternFill>
      </fill>
    </dxf>
    <dxf>
      <font>
        <color rgb="FFFFFF00"/>
      </font>
      <fill>
        <patternFill patternType="solid">
          <fgColor indexed="64"/>
          <bgColor rgb="FFFF0000"/>
        </patternFill>
      </fill>
    </dxf>
    <dxf>
      <font>
        <color rgb="FFFFFF00"/>
      </font>
      <fill>
        <patternFill patternType="solid">
          <fgColor indexed="64"/>
          <bgColor rgb="FFFF0000"/>
        </patternFill>
      </fill>
    </dxf>
    <dxf>
      <font>
        <color rgb="FFFFFF00"/>
      </font>
      <fill>
        <patternFill patternType="solid">
          <fgColor indexed="64"/>
          <bgColor rgb="FFFF0000"/>
        </patternFill>
      </fill>
    </dxf>
    <dxf>
      <font>
        <color rgb="FFFFFF00"/>
      </font>
      <fill>
        <patternFill patternType="solid">
          <fgColor indexed="64"/>
          <bgColor rgb="FFFF0000"/>
        </patternFill>
      </fill>
    </dxf>
    <dxf>
      <font>
        <color rgb="FFFFFF00"/>
      </font>
      <fill>
        <patternFill patternType="solid">
          <fgColor indexed="64"/>
          <bgColor rgb="FFFF0000"/>
        </patternFill>
      </fill>
    </dxf>
    <dxf>
      <font>
        <color rgb="FFFFFF00"/>
      </font>
      <fill>
        <patternFill patternType="solid">
          <fgColor indexed="64"/>
          <bgColor rgb="FFFF0000"/>
        </patternFill>
      </fill>
    </dxf>
    <dxf>
      <font>
        <color rgb="FFFFFF00"/>
      </font>
      <fill>
        <patternFill patternType="solid">
          <fgColor indexed="64"/>
          <bgColor rgb="FFFF0000"/>
        </patternFill>
      </fill>
    </dxf>
    <dxf>
      <font>
        <color rgb="FFFFFF00"/>
      </font>
      <fill>
        <patternFill patternType="solid">
          <fgColor indexed="64"/>
          <bgColor rgb="FFFF0000"/>
        </patternFill>
      </fill>
    </dxf>
    <dxf>
      <font>
        <color rgb="FFFFFF00"/>
      </font>
    </dxf>
    <dxf>
      <fill>
        <patternFill patternType="solid">
          <bgColor rgb="FFFF0000"/>
        </patternFill>
      </fill>
    </dxf>
    <dxf>
      <font>
        <color auto="1"/>
      </font>
    </dxf>
    <dxf>
      <fill>
        <patternFill patternType="none">
          <bgColor auto="1"/>
        </patternFill>
      </fill>
    </dxf>
    <dxf>
      <numFmt numFmtId="1" formatCode="0"/>
    </dxf>
    <dxf>
      <numFmt numFmtId="1" formatCode="0"/>
    </dxf>
    <dxf>
      <fill>
        <patternFill patternType="none">
          <bgColor auto="1"/>
        </patternFill>
      </fill>
    </dxf>
    <dxf>
      <fill>
        <patternFill patternType="solid">
          <bgColor rgb="FFFFFF00"/>
        </patternFill>
      </fill>
    </dxf>
    <dxf>
      <fill>
        <patternFill patternType="solid">
          <bgColor rgb="FFFFFF00"/>
        </patternFill>
      </fill>
    </dxf>
    <dxf>
      <font>
        <color auto="1"/>
      </font>
    </dxf>
    <dxf>
      <fill>
        <patternFill patternType="none">
          <bgColor auto="1"/>
        </patternFill>
      </fill>
    </dxf>
    <dxf>
      <fill>
        <patternFill patternType="solid">
          <bgColor rgb="FFFFFF00"/>
        </patternFill>
      </fill>
    </dxf>
    <dxf>
      <font>
        <color rgb="FFFFFF00"/>
      </font>
      <fill>
        <patternFill>
          <bgColor indexed="64"/>
        </patternFill>
      </fill>
    </dxf>
    <dxf>
      <font>
        <color auto="1"/>
      </font>
      <fill>
        <patternFill>
          <bgColor indexed="64"/>
        </patternFill>
      </fill>
    </dxf>
    <dxf>
      <font>
        <color rgb="FFFFFF00"/>
      </font>
      <fill>
        <patternFill>
          <bgColor indexed="64"/>
        </patternFill>
      </fill>
    </dxf>
    <dxf>
      <font>
        <color auto="1"/>
      </font>
      <fill>
        <patternFill patternType="solid">
          <fgColor indexed="64"/>
          <bgColor rgb="FFFFFF00"/>
        </patternFill>
      </fill>
    </dxf>
    <dxf>
      <font>
        <color auto="1"/>
      </font>
      <fill>
        <patternFill patternType="solid">
          <fgColor indexed="64"/>
          <bgColor rgb="FFFFFF00"/>
        </patternFill>
      </fill>
    </dxf>
    <dxf>
      <font>
        <color auto="1"/>
      </font>
      <fill>
        <patternFill patternType="solid">
          <fgColor indexed="64"/>
          <bgColor rgb="FFFFFF00"/>
        </patternFill>
      </fill>
    </dxf>
    <dxf>
      <font>
        <color auto="1"/>
      </font>
      <fill>
        <patternFill patternType="solid">
          <fgColor indexed="64"/>
          <bgColor rgb="FFFFFF00"/>
        </patternFill>
      </fill>
    </dxf>
    <dxf>
      <font>
        <color auto="1"/>
      </font>
      <fill>
        <patternFill patternType="solid">
          <fgColor indexed="64"/>
          <bgColor rgb="FFFFFF00"/>
        </patternFill>
      </fill>
    </dxf>
    <dxf>
      <font>
        <color auto="1"/>
      </font>
      <fill>
        <patternFill patternType="solid">
          <fgColor indexed="64"/>
          <bgColor rgb="FFFFFF00"/>
        </patternFill>
      </fill>
    </dxf>
    <dxf>
      <font>
        <color auto="1"/>
      </font>
      <fill>
        <patternFill patternType="solid">
          <fgColor indexed="64"/>
          <bgColor rgb="FFFFFF00"/>
        </patternFill>
      </fill>
    </dxf>
    <dxf>
      <font>
        <color auto="1"/>
      </font>
      <fill>
        <patternFill patternType="solid">
          <fgColor indexed="64"/>
          <bgColor rgb="FFFFFF00"/>
        </patternFill>
      </fill>
    </dxf>
    <dxf>
      <alignment horizontal="center" readingOrder="0"/>
    </dxf>
    <dxf>
      <alignment vertical="center" readingOrder="0"/>
    </dxf>
    <dxf>
      <font>
        <color rgb="FF0070C0"/>
      </font>
    </dxf>
    <dxf>
      <font>
        <color rgb="FF0070C0"/>
      </font>
    </dxf>
    <dxf>
      <font>
        <color rgb="FFFF0000"/>
      </font>
    </dxf>
    <dxf>
      <font>
        <color rgb="FFFF0000"/>
      </font>
    </dxf>
    <dxf>
      <font>
        <color rgb="FFFF0000"/>
      </font>
    </dxf>
    <dxf>
      <fill>
        <patternFill patternType="none">
          <bgColor auto="1"/>
        </patternFill>
      </fill>
    </dxf>
    <dxf>
      <fill>
        <patternFill patternType="none">
          <bgColor auto="1"/>
        </patternFill>
      </fill>
    </dxf>
    <dxf>
      <fill>
        <patternFill patternType="none">
          <bgColor auto="1"/>
        </patternFill>
      </fill>
    </dxf>
    <dxf>
      <font>
        <color auto="1"/>
      </font>
    </dxf>
    <dxf>
      <fill>
        <patternFill patternType="none">
          <bgColor auto="1"/>
        </patternFill>
      </fill>
    </dxf>
    <dxf>
      <fill>
        <patternFill patternType="none">
          <bgColor auto="1"/>
        </patternFill>
      </fill>
    </dxf>
    <dxf>
      <font>
        <sz val="9"/>
      </font>
    </dxf>
    <dxf>
      <alignment horizontal="right" readingOrder="0"/>
    </dxf>
    <dxf>
      <alignment horizontal="right" readingOrder="0"/>
    </dxf>
  </dxfs>
  <tableStyles count="0" defaultTableStyle="TableStyleMedium2" defaultPivotStyle="PivotStyleLight16"/>
  <colors>
    <mruColors>
      <color rgb="FFFF66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pivotCacheDefinition" Target="pivotCache/pivotCacheDefinition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Author" refreshedDate="44678.940005555552" createdVersion="5" refreshedVersion="5" minRefreshableVersion="3" recordCount="412">
  <cacheSource type="worksheet">
    <worksheetSource ref="A1:X413" sheet="Data"/>
  </cacheSource>
  <cacheFields count="24">
    <cacheField name="Nume" numFmtId="169">
      <sharedItems count="35">
        <s v="Mircea Dominte"/>
        <s v="Valenky Opris"/>
        <s v="Nicolae Marian"/>
        <s v="Dark Granatroche"/>
        <s v="Ifrim Gheorghe"/>
        <s v="Marian Ulita"/>
        <s v="Galia Stainfeld"/>
        <s v="Visan Cristina Stefania"/>
        <s v="Silvia Medinschi"/>
        <s v="Amalia Florentina Ardeleanu"/>
        <s v="Mirea Gabriel Umberto"/>
        <s v="Codruta Holban"/>
        <s v="Viorel Tabara"/>
        <s v="Ovidiu Gavrilovici"/>
        <s v="Daniel Moldoveanu"/>
        <s v="Rusu Razvan"/>
        <s v="Mirela Resteman"/>
        <s v="Bogdan Tala"/>
        <s v="Vasi Minzatu"/>
        <s v="Ramona Matica"/>
        <s v="Cosmin Niculescu"/>
        <s v="Radu Lapadatoni"/>
        <s v="Robert Herman"/>
        <s v="Adrian Budaca"/>
        <s v="Cristina Dumitru"/>
        <s v="Flo Dum"/>
        <s v="Cosmin Constantin Popa"/>
        <s v="Dranceanu Bogdan Valentin"/>
        <s v="Adriana Ionascu Dinu"/>
        <s v="Magdalena Neagu"/>
        <s v="Dan Spataru"/>
        <s v="Adrian Ivan"/>
        <s v="Dinu Turcanu"/>
        <s v="Constandan Cornelius"/>
        <s v="Adelina Marcu"/>
      </sharedItems>
    </cacheField>
    <cacheField name="M/F" numFmtId="169">
      <sharedItems/>
    </cacheField>
    <cacheField name="Etapa" numFmtId="1">
      <sharedItems containsSemiMixedTypes="0" containsString="0" containsNumber="1" containsInteger="1" minValue="1" maxValue="15"/>
    </cacheField>
    <cacheField name="Distanta" numFmtId="2">
      <sharedItems containsString="0" containsBlank="1" containsNumber="1" minValue="2.12" maxValue="142.80000000000001"/>
    </cacheField>
    <cacheField name="Moving time" numFmtId="21">
      <sharedItems containsDate="1" containsBlank="1" containsMixedTypes="1" minDate="1899-12-30T00:09:06" maxDate="1899-12-30T18:07:28"/>
    </cacheField>
    <cacheField name="Elapsed time" numFmtId="21">
      <sharedItems containsNonDate="0" containsDate="1" containsString="0" containsBlank="1" minDate="1899-12-30T00:09:55" maxDate="1899-12-30T23:59:04"/>
    </cacheField>
    <cacheField name="Timp" numFmtId="21">
      <sharedItems containsNonDate="0" containsDate="1" containsString="0" containsBlank="1" minDate="1899-12-30T00:09:30" maxDate="1899-12-30T20:59:51"/>
    </cacheField>
    <cacheField name="Elevatie" numFmtId="167">
      <sharedItems containsString="0" containsBlank="1" containsNumber="1" minValue="0" maxValue="2491"/>
    </cacheField>
    <cacheField name="Viteza" numFmtId="165">
      <sharedItems containsNonDate="0" containsDate="1" containsString="0" containsBlank="1" minDate="1899-12-30T00:03:26" maxDate="1899-12-30T00:14:45"/>
    </cacheField>
    <cacheField name="Pct distanta" numFmtId="2">
      <sharedItems containsSemiMixedTypes="0" containsString="0" containsNumber="1" minValue="0" maxValue="5"/>
    </cacheField>
    <cacheField name="Pct viteza" numFmtId="2">
      <sharedItems containsSemiMixedTypes="0" containsString="0" containsNumber="1" minValue="0" maxValue="5"/>
    </cacheField>
    <cacheField name="Pct prezentare" numFmtId="2">
      <sharedItems containsString="0" containsBlank="1" containsNumber="1" minValue="0" maxValue="4.75"/>
    </cacheField>
    <cacheField name="Tip" numFmtId="169">
      <sharedItems count="4">
        <s v="P"/>
        <s v="V"/>
        <s v="D"/>
        <s v="S"/>
      </sharedItems>
    </cacheField>
    <cacheField name="D" numFmtId="9">
      <sharedItems containsSemiMixedTypes="0" containsString="0" containsNumber="1" minValue="0.25" maxValue="0.5"/>
    </cacheField>
    <cacheField name="V" numFmtId="9">
      <sharedItems containsSemiMixedTypes="0" containsString="0" containsNumber="1" minValue="0.25" maxValue="0.5"/>
    </cacheField>
    <cacheField name="P" numFmtId="9">
      <sharedItems containsSemiMixedTypes="0" containsString="0" containsNumber="1" minValue="0.25" maxValue="0.5"/>
    </cacheField>
    <cacheField name="Bonus elevatie" numFmtId="43">
      <sharedItems containsSemiMixedTypes="0" containsString="0" containsNumber="1" minValue="0" maxValue="1.6606666666666667"/>
    </cacheField>
    <cacheField name="Bonus distanta" numFmtId="166">
      <sharedItems containsSemiMixedTypes="0" containsString="0" containsNumber="1" minValue="0" maxValue="4.9000000000000004"/>
    </cacheField>
    <cacheField name="Bonus viteza" numFmtId="166">
      <sharedItems containsSemiMixedTypes="0" containsString="0" containsNumber="1" minValue="0" maxValue="4.1999999999999993"/>
    </cacheField>
    <cacheField name="Bonus varsta" numFmtId="166">
      <sharedItems containsSemiMixedTypes="0" containsString="0" containsNumber="1" minValue="0" maxValue="0.7"/>
    </cacheField>
    <cacheField name="TOTAL ETAPA" numFmtId="43">
      <sharedItems containsSemiMixedTypes="0" containsString="0" containsNumber="1" minValue="0.375" maxValue="8.8996666666666648"/>
    </cacheField>
    <cacheField name="Ziua alergarii" numFmtId="169">
      <sharedItems containsNonDate="0" containsDate="1" containsString="0" containsBlank="1" minDate="2022-01-11T00:00:00" maxDate="2022-04-28T00:00:00"/>
    </cacheField>
    <cacheField name="Check single entry" numFmtId="1">
      <sharedItems containsSemiMixedTypes="0" containsString="0" containsNumber="1" containsInteger="1" minValue="1" maxValue="1"/>
    </cacheField>
    <cacheField name="Echipa" numFmtId="169">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412">
  <r>
    <x v="0"/>
    <s v="M"/>
    <n v="1"/>
    <n v="8.01"/>
    <d v="1899-12-30T00:39:31"/>
    <d v="1899-12-30T00:39:46"/>
    <d v="1899-12-30T00:39:39"/>
    <n v="24"/>
    <d v="1899-12-30T00:04:57"/>
    <n v="1.907142857142857"/>
    <n v="3"/>
    <n v="2"/>
    <x v="0"/>
    <n v="0.25"/>
    <n v="0.25"/>
    <n v="0.5"/>
    <n v="0"/>
    <n v="0"/>
    <n v="0"/>
    <n v="0"/>
    <n v="2.2267857142857141"/>
    <d v="2022-01-11T00:00:00"/>
    <n v="1"/>
    <s v="Road"/>
  </r>
  <r>
    <x v="1"/>
    <s v="M"/>
    <n v="1"/>
    <n v="10.01"/>
    <d v="1899-12-30T00:36:35"/>
    <d v="1899-12-30T00:36:35"/>
    <d v="1899-12-30T00:36:35"/>
    <n v="52"/>
    <d v="1899-12-30T00:03:39"/>
    <n v="2.3833333333333333"/>
    <n v="5"/>
    <n v="3.5"/>
    <x v="1"/>
    <n v="0.25"/>
    <n v="0.5"/>
    <n v="0.25"/>
    <n v="3.4666666666666665E-2"/>
    <n v="0"/>
    <n v="2.25"/>
    <n v="0"/>
    <n v="6.2554999999999996"/>
    <d v="2022-01-11T00:00:00"/>
    <n v="1"/>
    <s v="Road"/>
  </r>
  <r>
    <x v="2"/>
    <s v="M"/>
    <n v="1"/>
    <n v="21.12"/>
    <d v="1899-12-30T01:49:45"/>
    <d v="1899-12-30T01:49:48"/>
    <d v="1899-12-30T01:49:46"/>
    <n v="103"/>
    <d v="1899-12-30T00:05:12"/>
    <n v="5"/>
    <n v="2.5"/>
    <n v="3"/>
    <x v="2"/>
    <n v="0.5"/>
    <n v="0.25"/>
    <n v="0.25"/>
    <n v="6.8666666666666668E-2"/>
    <n v="0"/>
    <n v="0"/>
    <n v="0"/>
    <n v="3.9436666666666667"/>
    <d v="2022-01-12T00:00:00"/>
    <n v="1"/>
    <s v="Trail"/>
  </r>
  <r>
    <x v="3"/>
    <s v="F"/>
    <n v="1"/>
    <n v="5.01"/>
    <d v="1899-12-30T00:25:16"/>
    <d v="1899-12-30T00:30:05"/>
    <d v="1899-12-30T00:27:40"/>
    <n v="6"/>
    <d v="1899-12-30T00:05:31"/>
    <n v="1.2524999999999999"/>
    <n v="2.5"/>
    <n v="2.5"/>
    <x v="1"/>
    <n v="0.25"/>
    <n v="0.5"/>
    <n v="0.25"/>
    <n v="0"/>
    <n v="0"/>
    <n v="0"/>
    <n v="0"/>
    <n v="2.1881249999999999"/>
    <d v="2022-01-12T00:00:00"/>
    <n v="1"/>
    <e v="#N/A"/>
  </r>
  <r>
    <x v="4"/>
    <s v="M"/>
    <n v="1"/>
    <n v="10.02"/>
    <d v="1899-12-30T00:53:29"/>
    <d v="1899-12-30T00:59:11"/>
    <d v="1899-12-30T00:56:20"/>
    <n v="26"/>
    <d v="1899-12-30T00:05:37"/>
    <n v="2.3857142857142857"/>
    <n v="1.5"/>
    <n v="1.5"/>
    <x v="1"/>
    <n v="0.25"/>
    <n v="0.5"/>
    <n v="0.25"/>
    <n v="0"/>
    <n v="0"/>
    <n v="0"/>
    <n v="0"/>
    <n v="1.7214285714285715"/>
    <d v="2022-01-12T00:00:00"/>
    <n v="1"/>
    <s v="Road"/>
  </r>
  <r>
    <x v="5"/>
    <s v="M"/>
    <n v="1"/>
    <n v="2.12"/>
    <d v="1899-12-30T00:09:06"/>
    <d v="1899-12-30T00:09:55"/>
    <d v="1899-12-30T00:09:30"/>
    <n v="0"/>
    <d v="1899-12-30T00:04:29"/>
    <n v="0"/>
    <n v="0"/>
    <n v="1.5"/>
    <x v="1"/>
    <n v="0.25"/>
    <n v="0.5"/>
    <n v="0.25"/>
    <n v="0"/>
    <n v="0"/>
    <n v="0"/>
    <n v="0"/>
    <n v="0.375"/>
    <d v="2022-01-13T00:00:00"/>
    <n v="1"/>
    <e v="#N/A"/>
  </r>
  <r>
    <x v="6"/>
    <s v="F"/>
    <n v="1"/>
    <n v="14.02"/>
    <d v="1899-12-30T01:17:08"/>
    <d v="1899-12-30T01:17:08"/>
    <d v="1899-12-30T01:17:08"/>
    <n v="82"/>
    <d v="1899-12-30T00:05:30"/>
    <n v="3.5049999999999999"/>
    <n v="3"/>
    <n v="2"/>
    <x v="2"/>
    <n v="0.5"/>
    <n v="0.25"/>
    <n v="0.25"/>
    <n v="5.4666666666666669E-2"/>
    <n v="0"/>
    <n v="0"/>
    <n v="0"/>
    <n v="3.0571666666666668"/>
    <d v="2022-01-13T00:00:00"/>
    <n v="1"/>
    <s v="Trail"/>
  </r>
  <r>
    <x v="7"/>
    <s v="F"/>
    <n v="1"/>
    <n v="3"/>
    <d v="1899-12-30T00:16:59"/>
    <d v="1899-12-30T00:19:31"/>
    <d v="1899-12-30T00:18:15"/>
    <n v="8"/>
    <d v="1899-12-30T00:06:05"/>
    <n v="0.75"/>
    <n v="1.5"/>
    <n v="3.5"/>
    <x v="1"/>
    <n v="0.25"/>
    <n v="0.5"/>
    <n v="0.25"/>
    <n v="0"/>
    <n v="0"/>
    <n v="0"/>
    <n v="0"/>
    <n v="1.8125"/>
    <d v="2022-01-13T00:00:00"/>
    <n v="1"/>
    <s v="Road"/>
  </r>
  <r>
    <x v="8"/>
    <s v="F"/>
    <n v="1"/>
    <n v="8.23"/>
    <d v="1899-12-30T00:58:32"/>
    <d v="1899-12-30T01:31:00"/>
    <d v="1899-12-30T01:14:46"/>
    <n v="0"/>
    <d v="1899-12-30T00:09:05"/>
    <n v="2.0575000000000001"/>
    <n v="0"/>
    <n v="2.5"/>
    <x v="1"/>
    <n v="0.25"/>
    <n v="0.5"/>
    <n v="0.25"/>
    <n v="0"/>
    <n v="0"/>
    <n v="0"/>
    <n v="0.7"/>
    <n v="1.839375"/>
    <d v="2022-01-14T00:00:00"/>
    <n v="1"/>
    <s v="Road"/>
  </r>
  <r>
    <x v="9"/>
    <s v="F"/>
    <n v="1"/>
    <n v="14.26"/>
    <d v="1899-12-30T01:12:43"/>
    <d v="1899-12-30T01:20:07"/>
    <d v="1899-12-30T01:16:25"/>
    <n v="94"/>
    <d v="1899-12-30T00:05:22"/>
    <n v="3.5649999999999999"/>
    <n v="3"/>
    <n v="3.5"/>
    <x v="1"/>
    <n v="0.25"/>
    <n v="0.5"/>
    <n v="0.25"/>
    <n v="6.2666666666666662E-2"/>
    <n v="0"/>
    <n v="0"/>
    <n v="0"/>
    <n v="3.3289166666666667"/>
    <d v="2022-01-15T00:00:00"/>
    <n v="1"/>
    <s v="Trail"/>
  </r>
  <r>
    <x v="10"/>
    <s v="M"/>
    <n v="1"/>
    <n v="12.56"/>
    <d v="1899-12-30T01:14:47"/>
    <d v="1899-12-30T01:14:56"/>
    <d v="1899-12-30T01:14:52"/>
    <n v="27"/>
    <d v="1899-12-30T00:05:58"/>
    <n v="2.9904761904761905"/>
    <n v="1.5"/>
    <n v="3.5"/>
    <x v="2"/>
    <n v="0.5"/>
    <n v="0.25"/>
    <n v="0.25"/>
    <n v="0"/>
    <n v="0"/>
    <n v="0"/>
    <n v="0"/>
    <n v="2.7452380952380953"/>
    <d v="2022-01-15T00:00:00"/>
    <n v="1"/>
    <s v="Trail"/>
  </r>
  <r>
    <x v="11"/>
    <s v="F"/>
    <n v="1"/>
    <n v="7.08"/>
    <d v="1899-12-30T00:38:12"/>
    <d v="1899-12-30T00:38:12"/>
    <d v="1899-12-30T00:38:12"/>
    <n v="17"/>
    <d v="1899-12-30T00:05:24"/>
    <n v="1.77"/>
    <n v="3"/>
    <n v="2"/>
    <x v="1"/>
    <n v="0.25"/>
    <n v="0.5"/>
    <n v="0.25"/>
    <n v="0"/>
    <n v="0"/>
    <n v="0"/>
    <n v="0"/>
    <n v="2.4424999999999999"/>
    <d v="2022-01-15T00:00:00"/>
    <n v="1"/>
    <s v="Trail"/>
  </r>
  <r>
    <x v="12"/>
    <s v="M"/>
    <n v="1"/>
    <n v="10.09"/>
    <d v="1899-12-30T00:47:55"/>
    <d v="1899-12-30T00:48:48"/>
    <d v="1899-12-30T00:48:22"/>
    <n v="21"/>
    <d v="1899-12-30T00:04:48"/>
    <n v="2.4023809523809523"/>
    <n v="3"/>
    <n v="4"/>
    <x v="1"/>
    <n v="0.25"/>
    <n v="0.5"/>
    <n v="0.25"/>
    <n v="0"/>
    <n v="0"/>
    <n v="0"/>
    <n v="0"/>
    <n v="3.100595238095238"/>
    <d v="2022-01-14T00:00:00"/>
    <n v="1"/>
    <s v="Road"/>
  </r>
  <r>
    <x v="13"/>
    <s v="M"/>
    <n v="1"/>
    <n v="13.2"/>
    <d v="1899-12-30T01:24:17"/>
    <d v="1899-12-30T01:34:08"/>
    <d v="1899-12-30T01:29:13"/>
    <n v="150"/>
    <d v="1899-12-30T00:06:45"/>
    <n v="3.1428571428571423"/>
    <n v="1"/>
    <n v="2.5"/>
    <x v="2"/>
    <n v="0.5"/>
    <n v="0.25"/>
    <n v="0.25"/>
    <n v="0.1"/>
    <n v="0"/>
    <n v="0"/>
    <n v="0.4"/>
    <n v="2.9464285714285712"/>
    <d v="2022-01-16T00:00:00"/>
    <n v="1"/>
    <s v="Road"/>
  </r>
  <r>
    <x v="14"/>
    <s v="M"/>
    <n v="1"/>
    <n v="23.01"/>
    <d v="1899-12-30T02:03:19"/>
    <d v="1899-12-30T02:17:01"/>
    <d v="1899-12-30T02:10:10"/>
    <n v="27"/>
    <d v="1899-12-30T00:05:39"/>
    <n v="5"/>
    <n v="1.5"/>
    <n v="1.5"/>
    <x v="2"/>
    <n v="0.5"/>
    <n v="0.25"/>
    <n v="0.25"/>
    <n v="0"/>
    <n v="0.1"/>
    <n v="0"/>
    <n v="0"/>
    <n v="3.35"/>
    <d v="2022-01-16T00:00:00"/>
    <n v="1"/>
    <s v="Road"/>
  </r>
  <r>
    <x v="15"/>
    <s v="M"/>
    <n v="1"/>
    <n v="10.52"/>
    <d v="1899-12-30T01:03:30"/>
    <d v="1899-12-30T01:03:46"/>
    <d v="1899-12-30T01:03:38"/>
    <n v="4"/>
    <d v="1899-12-30T00:06:03"/>
    <n v="2.5047619047619047"/>
    <n v="1"/>
    <n v="1.5"/>
    <x v="1"/>
    <n v="0.25"/>
    <n v="0.5"/>
    <n v="0.25"/>
    <n v="0"/>
    <n v="0"/>
    <n v="0"/>
    <n v="0"/>
    <n v="1.5011904761904762"/>
    <d v="2022-01-16T00:00:00"/>
    <n v="1"/>
    <s v="Road"/>
  </r>
  <r>
    <x v="16"/>
    <s v="F"/>
    <n v="1"/>
    <n v="15.31"/>
    <d v="1899-12-30T01:31:52"/>
    <d v="1899-12-30T01:35:56"/>
    <d v="1899-12-30T01:33:54"/>
    <n v="447"/>
    <d v="1899-12-30T00:06:08"/>
    <n v="3.8275000000000001"/>
    <n v="1.5"/>
    <n v="3"/>
    <x v="1"/>
    <n v="0.25"/>
    <n v="0.5"/>
    <n v="0.25"/>
    <n v="0.29799999999999999"/>
    <n v="0"/>
    <n v="0"/>
    <n v="0"/>
    <n v="2.7548750000000002"/>
    <d v="2022-01-16T00:00:00"/>
    <n v="1"/>
    <s v="Trail"/>
  </r>
  <r>
    <x v="17"/>
    <s v="M"/>
    <n v="1"/>
    <n v="27.19"/>
    <d v="1899-12-30T02:21:52"/>
    <d v="1899-12-30T02:22:14"/>
    <d v="1899-12-30T02:22:03"/>
    <n v="670"/>
    <d v="1899-12-30T00:05:13"/>
    <n v="5"/>
    <n v="2.5"/>
    <n v="4"/>
    <x v="2"/>
    <n v="0.5"/>
    <n v="0.25"/>
    <n v="0.25"/>
    <n v="0.44666666666666666"/>
    <n v="0.3"/>
    <n v="0"/>
    <n v="0"/>
    <n v="4.8716666666666661"/>
    <d v="2022-01-16T00:00:00"/>
    <n v="1"/>
    <s v="Trail"/>
  </r>
  <r>
    <x v="18"/>
    <s v="M"/>
    <n v="1"/>
    <n v="12.01"/>
    <d v="1899-12-30T01:01:41"/>
    <d v="1899-12-30T01:02:59"/>
    <d v="1899-12-30T01:02:20"/>
    <n v="92"/>
    <d v="1899-12-30T00:05:11"/>
    <n v="2.8595238095238091"/>
    <n v="2.5"/>
    <n v="3.5"/>
    <x v="2"/>
    <n v="0.5"/>
    <n v="0.25"/>
    <n v="0.25"/>
    <n v="6.133333333333333E-2"/>
    <n v="0"/>
    <n v="0"/>
    <n v="0"/>
    <n v="2.9910952380952378"/>
    <d v="2022-01-16T00:00:00"/>
    <n v="1"/>
    <s v="Road"/>
  </r>
  <r>
    <x v="19"/>
    <s v="F"/>
    <n v="1"/>
    <n v="3"/>
    <d v="1899-12-30T00:16:48"/>
    <d v="1899-12-30T00:17:07"/>
    <d v="1899-12-30T00:16:58"/>
    <n v="0"/>
    <d v="1899-12-30T00:05:39"/>
    <n v="0.75"/>
    <n v="2.5"/>
    <n v="3.5"/>
    <x v="1"/>
    <n v="0.25"/>
    <n v="0.5"/>
    <n v="0.25"/>
    <n v="0"/>
    <n v="0"/>
    <n v="0"/>
    <n v="0"/>
    <n v="2.3125"/>
    <d v="2022-01-16T00:00:00"/>
    <n v="1"/>
    <s v="Trail"/>
  </r>
  <r>
    <x v="20"/>
    <s v="M"/>
    <n v="1"/>
    <n v="10.57"/>
    <d v="1899-12-30T01:13:45"/>
    <d v="1899-12-30T01:20:11"/>
    <d v="1899-12-30T01:16:58"/>
    <n v="109"/>
    <d v="1899-12-30T00:07:17"/>
    <n v="2.5166666666666666"/>
    <n v="1"/>
    <n v="3.5"/>
    <x v="2"/>
    <n v="0.5"/>
    <n v="0.25"/>
    <n v="0.25"/>
    <n v="7.2666666666666671E-2"/>
    <n v="0"/>
    <n v="0"/>
    <n v="0"/>
    <n v="2.456"/>
    <d v="2022-01-16T00:00:00"/>
    <n v="1"/>
    <s v="Trail"/>
  </r>
  <r>
    <x v="21"/>
    <s v="M"/>
    <n v="1"/>
    <n v="10.47"/>
    <d v="1899-12-30T00:50:11"/>
    <d v="1899-12-30T00:50:11"/>
    <d v="1899-12-30T00:50:11"/>
    <n v="186"/>
    <d v="1899-12-30T00:04:48"/>
    <n v="2.4928571428571429"/>
    <n v="3"/>
    <n v="2"/>
    <x v="1"/>
    <n v="0.25"/>
    <n v="0.5"/>
    <n v="0.25"/>
    <n v="0.124"/>
    <n v="0"/>
    <n v="0"/>
    <n v="0"/>
    <n v="2.7472142857142861"/>
    <d v="2022-01-15T00:00:00"/>
    <n v="1"/>
    <s v="Trail"/>
  </r>
  <r>
    <x v="22"/>
    <s v="M"/>
    <n v="1"/>
    <n v="44.18"/>
    <d v="1899-12-30T06:13:38"/>
    <d v="1899-12-30T07:05:19"/>
    <d v="1899-12-30T06:39:28"/>
    <n v="1951"/>
    <d v="1899-12-30T00:09:03"/>
    <n v="5"/>
    <n v="0"/>
    <n v="4.5"/>
    <x v="2"/>
    <n v="0.5"/>
    <n v="0.25"/>
    <n v="0.25"/>
    <n v="1.3006666666666666"/>
    <n v="1.1000000000000001"/>
    <n v="0"/>
    <n v="0"/>
    <n v="6.0256666666666661"/>
    <d v="2022-01-16T00:00:00"/>
    <n v="1"/>
    <s v="Trail"/>
  </r>
  <r>
    <x v="23"/>
    <s v="M"/>
    <n v="1"/>
    <n v="21.21"/>
    <d v="1899-12-30T02:13:38"/>
    <d v="1899-12-30T02:19:57"/>
    <d v="1899-12-30T02:16:47"/>
    <n v="540"/>
    <d v="1899-12-30T00:06:27"/>
    <n v="5"/>
    <n v="1"/>
    <n v="2.5"/>
    <x v="2"/>
    <n v="0.5"/>
    <n v="0.25"/>
    <n v="0.25"/>
    <n v="0.36"/>
    <n v="0"/>
    <n v="0"/>
    <n v="0"/>
    <n v="3.7349999999999999"/>
    <d v="2022-01-15T00:00:00"/>
    <n v="1"/>
    <s v="Road"/>
  </r>
  <r>
    <x v="24"/>
    <s v="F"/>
    <n v="1"/>
    <n v="7.01"/>
    <d v="1899-12-30T00:46:48"/>
    <d v="1899-12-30T00:46:51"/>
    <d v="1899-12-30T00:46:50"/>
    <n v="6"/>
    <d v="1899-12-30T00:06:41"/>
    <n v="1.7524999999999999"/>
    <n v="1"/>
    <n v="1.5"/>
    <x v="1"/>
    <n v="0.25"/>
    <n v="0.5"/>
    <n v="0.25"/>
    <n v="0"/>
    <n v="0"/>
    <n v="0"/>
    <n v="0"/>
    <n v="1.3131249999999999"/>
    <d v="2022-01-16T00:00:00"/>
    <n v="1"/>
    <e v="#N/A"/>
  </r>
  <r>
    <x v="25"/>
    <s v="M"/>
    <n v="1"/>
    <n v="10.029999999999999"/>
    <d v="1899-12-30T01:02:00"/>
    <d v="1899-12-30T01:02:03"/>
    <d v="1899-12-30T01:02:02"/>
    <n v="9"/>
    <d v="1899-12-30T00:06:11"/>
    <n v="2.388095238095238"/>
    <n v="1"/>
    <n v="2.5"/>
    <x v="1"/>
    <n v="0.25"/>
    <n v="0.5"/>
    <n v="0.25"/>
    <n v="0"/>
    <n v="0"/>
    <n v="0"/>
    <n v="0"/>
    <n v="1.7220238095238094"/>
    <d v="2022-01-13T00:00:00"/>
    <n v="1"/>
    <e v="#N/A"/>
  </r>
  <r>
    <x v="26"/>
    <s v="M"/>
    <n v="1"/>
    <n v="44.29"/>
    <d v="1899-12-30T06:17:43"/>
    <d v="1899-12-30T07:05:04"/>
    <d v="1899-12-30T06:41:23"/>
    <n v="1989"/>
    <d v="1899-12-30T00:09:04"/>
    <n v="5"/>
    <n v="0"/>
    <n v="4.5"/>
    <x v="0"/>
    <n v="0.25"/>
    <n v="0.25"/>
    <n v="0.5"/>
    <n v="1.3260000000000001"/>
    <n v="1.1000000000000001"/>
    <n v="0"/>
    <n v="0"/>
    <n v="5.9260000000000002"/>
    <d v="2022-01-16T00:00:00"/>
    <n v="1"/>
    <s v="Trail"/>
  </r>
  <r>
    <x v="27"/>
    <s v="M"/>
    <n v="1"/>
    <n v="22"/>
    <d v="1899-12-30T01:44:20"/>
    <d v="1899-12-30T01:50:11"/>
    <d v="1899-12-30T01:47:15"/>
    <n v="111"/>
    <d v="1899-12-30T00:04:53"/>
    <n v="5"/>
    <n v="3"/>
    <n v="3.5"/>
    <x v="2"/>
    <n v="0.5"/>
    <n v="0.25"/>
    <n v="0.25"/>
    <n v="7.3999999999999996E-2"/>
    <n v="0"/>
    <n v="0"/>
    <n v="0"/>
    <n v="4.1989999999999998"/>
    <d v="2022-01-16T00:00:00"/>
    <n v="1"/>
    <s v="Trail"/>
  </r>
  <r>
    <x v="28"/>
    <s v="F"/>
    <n v="1"/>
    <n v="8.06"/>
    <d v="1899-12-30T00:50:17"/>
    <d v="1899-12-30T00:52:04"/>
    <d v="1899-12-30T00:51:11"/>
    <n v="135"/>
    <d v="1899-12-30T00:06:21"/>
    <n v="2.0150000000000001"/>
    <n v="1.5"/>
    <n v="1.5"/>
    <x v="1"/>
    <n v="0.25"/>
    <n v="0.5"/>
    <n v="0.25"/>
    <n v="0.09"/>
    <n v="0"/>
    <n v="0"/>
    <n v="0"/>
    <n v="1.7187500000000002"/>
    <d v="2022-01-16T00:00:00"/>
    <n v="1"/>
    <s v="Road"/>
  </r>
  <r>
    <x v="0"/>
    <s v="M"/>
    <n v="2"/>
    <n v="7"/>
    <d v="1899-12-30T00:32:42"/>
    <d v="1899-12-30T00:32:54"/>
    <d v="1899-12-30T00:32:48"/>
    <n v="11"/>
    <d v="1899-12-30T00:04:41"/>
    <n v="1.6666666666666665"/>
    <n v="3.5"/>
    <n v="2"/>
    <x v="1"/>
    <n v="0.25"/>
    <n v="0.5"/>
    <n v="0.25"/>
    <n v="0"/>
    <n v="0"/>
    <n v="0"/>
    <n v="0"/>
    <n v="2.6666666666666665"/>
    <d v="2022-01-18T00:00:00"/>
    <n v="1"/>
    <s v="Road"/>
  </r>
  <r>
    <x v="1"/>
    <s v="M"/>
    <n v="2"/>
    <n v="42.21"/>
    <d v="1899-12-30T03:01:37"/>
    <d v="1899-12-30T03:01:44"/>
    <d v="1899-12-30T03:01:41"/>
    <n v="382"/>
    <d v="1899-12-30T00:04:18"/>
    <n v="5"/>
    <n v="4"/>
    <n v="3.75"/>
    <x v="2"/>
    <n v="0.5"/>
    <n v="0.25"/>
    <n v="0.25"/>
    <n v="0.25466666666666665"/>
    <n v="1"/>
    <n v="0"/>
    <n v="0"/>
    <n v="5.692166666666667"/>
    <d v="2022-01-18T00:00:00"/>
    <n v="1"/>
    <s v="Road"/>
  </r>
  <r>
    <x v="2"/>
    <s v="M"/>
    <n v="2"/>
    <n v="17.14"/>
    <d v="1899-12-30T01:40:09"/>
    <d v="1899-12-30T01:40:19"/>
    <d v="1899-12-30T01:40:14"/>
    <n v="429"/>
    <d v="1899-12-30T00:05:51"/>
    <n v="4.0809523809523807"/>
    <n v="1.5"/>
    <n v="3.5"/>
    <x v="0"/>
    <n v="0.25"/>
    <n v="0.25"/>
    <n v="0.5"/>
    <n v="0.28599999999999998"/>
    <n v="0"/>
    <n v="0"/>
    <n v="0"/>
    <n v="3.4312380952380952"/>
    <d v="2022-01-17T00:00:00"/>
    <n v="1"/>
    <s v="Trail"/>
  </r>
  <r>
    <x v="4"/>
    <s v="M"/>
    <n v="2"/>
    <n v="16"/>
    <d v="1899-12-30T01:16:58"/>
    <d v="1899-12-30T01:22:20"/>
    <d v="1899-12-30T01:19:39"/>
    <n v="37"/>
    <d v="1899-12-30T00:04:59"/>
    <n v="3.8095238095238093"/>
    <n v="3"/>
    <n v="0.5"/>
    <x v="1"/>
    <n v="0.25"/>
    <n v="0.5"/>
    <n v="0.25"/>
    <n v="0"/>
    <n v="0"/>
    <n v="0"/>
    <n v="0"/>
    <n v="2.5773809523809526"/>
    <d v="2022-01-22T00:00:00"/>
    <n v="1"/>
    <s v="Road"/>
  </r>
  <r>
    <x v="5"/>
    <s v="M"/>
    <n v="2"/>
    <n v="10.3"/>
    <d v="1899-12-30T00:44:22"/>
    <d v="1899-12-30T00:44:33"/>
    <d v="1899-12-30T00:44:27"/>
    <n v="0"/>
    <d v="1899-12-30T00:04:19"/>
    <n v="2.4523809523809526"/>
    <n v="4"/>
    <n v="1"/>
    <x v="1"/>
    <n v="0.25"/>
    <n v="0.5"/>
    <n v="0.25"/>
    <n v="0"/>
    <n v="0"/>
    <n v="0"/>
    <n v="0"/>
    <n v="2.8630952380952381"/>
    <d v="2022-01-20T00:00:00"/>
    <n v="1"/>
    <e v="#N/A"/>
  </r>
  <r>
    <x v="6"/>
    <s v="F"/>
    <n v="2"/>
    <n v="10.5"/>
    <d v="1899-12-30T01:00:41"/>
    <d v="1899-12-30T01:00:47"/>
    <d v="1899-12-30T01:00:44"/>
    <n v="72"/>
    <d v="1899-12-30T00:05:47"/>
    <n v="2.625"/>
    <n v="2"/>
    <n v="2.5"/>
    <x v="2"/>
    <n v="0.5"/>
    <n v="0.25"/>
    <n v="0.25"/>
    <n v="4.8000000000000001E-2"/>
    <n v="0"/>
    <n v="0"/>
    <n v="0"/>
    <n v="2.4855"/>
    <d v="2022-01-19T00:00:00"/>
    <n v="1"/>
    <s v="Trail"/>
  </r>
  <r>
    <x v="7"/>
    <s v="F"/>
    <n v="2"/>
    <n v="3.12"/>
    <d v="1899-12-30T00:21:15"/>
    <d v="1899-12-30T00:21:42"/>
    <d v="1899-12-30T00:21:29"/>
    <n v="8"/>
    <d v="1899-12-30T00:06:53"/>
    <n v="0.78"/>
    <n v="1"/>
    <n v="4"/>
    <x v="0"/>
    <n v="0.25"/>
    <n v="0.25"/>
    <n v="0.5"/>
    <n v="0"/>
    <n v="0"/>
    <n v="0"/>
    <n v="0"/>
    <n v="2.4449999999999998"/>
    <d v="2022-01-23T00:00:00"/>
    <n v="1"/>
    <s v="Road"/>
  </r>
  <r>
    <x v="8"/>
    <s v="F"/>
    <n v="2"/>
    <n v="8.2799999999999994"/>
    <d v="1899-12-30T00:58:36"/>
    <d v="1899-12-30T01:41:45"/>
    <d v="1899-12-30T01:20:11"/>
    <n v="0"/>
    <d v="1899-12-30T00:09:41"/>
    <n v="2.0699999999999998"/>
    <n v="0"/>
    <n v="3.5"/>
    <x v="0"/>
    <n v="0.25"/>
    <n v="0.25"/>
    <n v="0.5"/>
    <n v="0"/>
    <n v="0"/>
    <n v="0"/>
    <n v="0.7"/>
    <n v="2.9675000000000002"/>
    <d v="2022-01-19T00:00:00"/>
    <n v="1"/>
    <s v="Road"/>
  </r>
  <r>
    <x v="9"/>
    <s v="F"/>
    <n v="2"/>
    <n v="15.09"/>
    <d v="1899-12-30T01:57:44"/>
    <d v="1899-12-30T02:08:28"/>
    <d v="1899-12-30T02:03:06"/>
    <n v="601"/>
    <d v="1899-12-30T00:08:09"/>
    <n v="3.7725"/>
    <n v="1"/>
    <n v="3"/>
    <x v="0"/>
    <n v="0.25"/>
    <n v="0.25"/>
    <n v="0.5"/>
    <n v="0.40066666666666667"/>
    <n v="0"/>
    <n v="0"/>
    <n v="0"/>
    <n v="3.0937916666666667"/>
    <d v="2022-01-23T00:00:00"/>
    <n v="1"/>
    <s v="Trail"/>
  </r>
  <r>
    <x v="10"/>
    <s v="M"/>
    <n v="2"/>
    <m/>
    <m/>
    <m/>
    <m/>
    <m/>
    <m/>
    <n v="0"/>
    <n v="0"/>
    <m/>
    <x v="3"/>
    <n v="0.25"/>
    <n v="0.25"/>
    <n v="0.25"/>
    <n v="0"/>
    <n v="0"/>
    <n v="0"/>
    <n v="0"/>
    <n v="1.5"/>
    <m/>
    <n v="1"/>
    <s v="Trail"/>
  </r>
  <r>
    <x v="11"/>
    <s v="F"/>
    <n v="2"/>
    <n v="10"/>
    <d v="1899-12-30T00:57:08"/>
    <d v="1899-12-30T01:00:49"/>
    <d v="1899-12-30T00:58:59"/>
    <n v="73"/>
    <d v="1899-12-30T00:05:54"/>
    <n v="2.5"/>
    <n v="2"/>
    <n v="2"/>
    <x v="2"/>
    <n v="0.5"/>
    <n v="0.25"/>
    <n v="0.25"/>
    <n v="4.8666666666666664E-2"/>
    <n v="0"/>
    <n v="0"/>
    <n v="0"/>
    <n v="2.2986666666666666"/>
    <d v="2022-01-19T00:00:00"/>
    <n v="1"/>
    <s v="Trail"/>
  </r>
  <r>
    <x v="12"/>
    <s v="M"/>
    <n v="2"/>
    <n v="35"/>
    <d v="1899-12-30T03:39:17"/>
    <d v="1899-12-30T04:06:24"/>
    <d v="1899-12-30T03:52:51"/>
    <n v="936"/>
    <d v="1899-12-30T00:06:39"/>
    <n v="5"/>
    <n v="1"/>
    <n v="4.5"/>
    <x v="0"/>
    <n v="0.25"/>
    <n v="0.25"/>
    <n v="0.5"/>
    <n v="0.624"/>
    <n v="0.7"/>
    <n v="0"/>
    <n v="0"/>
    <n v="5.0739999999999998"/>
    <d v="2022-01-22T00:00:00"/>
    <n v="1"/>
    <s v="Road"/>
  </r>
  <r>
    <x v="13"/>
    <s v="M"/>
    <n v="2"/>
    <n v="11.73"/>
    <d v="1899-12-30T01:07:02"/>
    <d v="1899-12-30T01:16:55"/>
    <d v="1899-12-30T01:11:59"/>
    <n v="192"/>
    <d v="1899-12-30T00:06:08"/>
    <n v="2.7928571428571427"/>
    <n v="1"/>
    <n v="3"/>
    <x v="0"/>
    <n v="0.25"/>
    <n v="0.25"/>
    <n v="0.5"/>
    <n v="0.128"/>
    <n v="0"/>
    <n v="0"/>
    <n v="0.4"/>
    <n v="2.9762142857142857"/>
    <d v="2022-01-19T00:00:00"/>
    <n v="1"/>
    <s v="Road"/>
  </r>
  <r>
    <x v="15"/>
    <s v="M"/>
    <n v="2"/>
    <n v="21.11"/>
    <d v="1899-12-30T02:28:05"/>
    <d v="1899-12-30T02:31:42"/>
    <d v="1899-12-30T02:29:53"/>
    <n v="24"/>
    <d v="1899-12-30T00:07:06"/>
    <n v="5"/>
    <n v="1"/>
    <n v="2"/>
    <x v="0"/>
    <n v="0.25"/>
    <n v="0.25"/>
    <n v="0.5"/>
    <n v="0"/>
    <n v="0"/>
    <n v="0"/>
    <n v="0"/>
    <n v="2.5"/>
    <d v="2022-01-23T00:00:00"/>
    <n v="1"/>
    <s v="Road"/>
  </r>
  <r>
    <x v="16"/>
    <s v="F"/>
    <n v="2"/>
    <n v="21.19"/>
    <d v="1899-12-30T01:55:53"/>
    <d v="1899-12-30T01:56:44"/>
    <d v="1899-12-30T01:56:19"/>
    <n v="114"/>
    <d v="1899-12-30T00:05:29"/>
    <n v="5"/>
    <n v="3"/>
    <n v="3.5"/>
    <x v="2"/>
    <n v="0.5"/>
    <n v="0.25"/>
    <n v="0.25"/>
    <n v="7.5999999999999998E-2"/>
    <n v="0"/>
    <n v="0"/>
    <n v="0"/>
    <n v="4.2009999999999996"/>
    <d v="2022-01-23T00:00:00"/>
    <n v="1"/>
    <s v="Trail"/>
  </r>
  <r>
    <x v="17"/>
    <s v="M"/>
    <n v="2"/>
    <n v="20.54"/>
    <d v="1899-12-30T01:55:14"/>
    <d v="1899-12-30T01:55:36"/>
    <d v="1899-12-30T01:55:25"/>
    <n v="797"/>
    <d v="1899-12-30T00:05:37"/>
    <n v="4.89047619047619"/>
    <n v="1.5"/>
    <n v="4.25"/>
    <x v="0"/>
    <n v="0.25"/>
    <n v="0.25"/>
    <n v="0.5"/>
    <n v="0.53133333333333332"/>
    <n v="0"/>
    <n v="0"/>
    <n v="0"/>
    <n v="4.2539523809523807"/>
    <d v="2022-01-22T00:00:00"/>
    <n v="1"/>
    <s v="Trail"/>
  </r>
  <r>
    <x v="18"/>
    <s v="M"/>
    <n v="2"/>
    <n v="3.11"/>
    <d v="1899-12-30T00:18:50"/>
    <d v="1899-12-30T00:18:50"/>
    <d v="1899-12-30T00:18:50"/>
    <n v="0"/>
    <d v="1899-12-30T00:06:03"/>
    <n v="0.7404761904761904"/>
    <n v="1"/>
    <n v="1"/>
    <x v="1"/>
    <n v="0.25"/>
    <n v="0.5"/>
    <n v="0.25"/>
    <n v="0"/>
    <n v="0"/>
    <n v="0"/>
    <n v="0"/>
    <n v="0.93511904761904763"/>
    <d v="2022-01-22T00:00:00"/>
    <n v="1"/>
    <s v="Road"/>
  </r>
  <r>
    <x v="19"/>
    <s v="F"/>
    <n v="2"/>
    <n v="5.01"/>
    <d v="1899-12-30T00:30:47"/>
    <d v="1899-12-30T00:31:21"/>
    <d v="1899-12-30T00:31:04"/>
    <n v="39"/>
    <d v="1899-12-30T00:06:12"/>
    <n v="1.2524999999999999"/>
    <n v="1.5"/>
    <n v="3.5"/>
    <x v="0"/>
    <n v="0.25"/>
    <n v="0.25"/>
    <n v="0.5"/>
    <n v="0"/>
    <n v="0"/>
    <n v="0"/>
    <n v="0"/>
    <n v="2.4381249999999999"/>
    <d v="2022-01-22T00:00:00"/>
    <n v="1"/>
    <s v="Trail"/>
  </r>
  <r>
    <x v="20"/>
    <s v="M"/>
    <n v="2"/>
    <n v="12.01"/>
    <d v="1899-12-30T01:44:04"/>
    <d v="1899-12-30T01:45:10"/>
    <d v="1899-12-30T01:44:37"/>
    <n v="411"/>
    <d v="1899-12-30T00:08:43"/>
    <n v="2.8595238095238091"/>
    <n v="0"/>
    <n v="3.75"/>
    <x v="0"/>
    <n v="0.25"/>
    <n v="0.25"/>
    <n v="0.5"/>
    <n v="0.27400000000000002"/>
    <n v="0"/>
    <n v="0"/>
    <n v="0"/>
    <n v="2.8638809523809523"/>
    <d v="2022-01-22T00:00:00"/>
    <n v="1"/>
    <s v="Trail"/>
  </r>
  <r>
    <x v="21"/>
    <s v="M"/>
    <n v="2"/>
    <n v="13.87"/>
    <d v="1899-12-30T01:18:07"/>
    <d v="1899-12-30T01:18:19"/>
    <d v="1899-12-30T01:18:13"/>
    <n v="516"/>
    <d v="1899-12-30T00:05:38"/>
    <n v="3.3023809523809522"/>
    <n v="1.5"/>
    <n v="2"/>
    <x v="0"/>
    <n v="0.25"/>
    <n v="0.25"/>
    <n v="0.5"/>
    <n v="0.34399999999999997"/>
    <n v="0"/>
    <n v="0"/>
    <n v="0"/>
    <n v="2.5445952380952379"/>
    <d v="2022-01-22T00:00:00"/>
    <n v="1"/>
    <s v="Trail"/>
  </r>
  <r>
    <x v="29"/>
    <s v="F"/>
    <n v="2"/>
    <n v="10.01"/>
    <d v="1899-12-30T01:01:22"/>
    <d v="1899-12-30T01:07:52"/>
    <d v="1899-12-30T01:04:37"/>
    <n v="8"/>
    <d v="1899-12-30T00:06:27"/>
    <n v="2.5024999999999999"/>
    <n v="1.5"/>
    <n v="2"/>
    <x v="2"/>
    <n v="0.5"/>
    <n v="0.25"/>
    <n v="0.25"/>
    <n v="0"/>
    <n v="0"/>
    <n v="0"/>
    <n v="0"/>
    <n v="2.1262499999999998"/>
    <d v="2022-01-22T00:00:00"/>
    <n v="1"/>
    <s v="Trail"/>
  </r>
  <r>
    <x v="22"/>
    <s v="M"/>
    <n v="2"/>
    <n v="10"/>
    <d v="1899-12-30T00:49:01"/>
    <d v="1899-12-30T00:49:01"/>
    <d v="1899-12-30T00:49:01"/>
    <n v="89"/>
    <d v="1899-12-30T00:04:54"/>
    <n v="2.3809523809523809"/>
    <n v="3"/>
    <n v="4.5"/>
    <x v="0"/>
    <n v="0.25"/>
    <n v="0.25"/>
    <n v="0.5"/>
    <n v="5.9333333333333335E-2"/>
    <n v="0"/>
    <n v="0"/>
    <n v="0"/>
    <n v="3.6545714285714288"/>
    <d v="2022-01-23T00:00:00"/>
    <n v="1"/>
    <s v="Trail"/>
  </r>
  <r>
    <x v="30"/>
    <s v="M"/>
    <n v="2"/>
    <n v="14.17"/>
    <d v="1899-12-30T01:10:31"/>
    <d v="1899-12-30T01:10:34"/>
    <d v="1899-12-30T01:10:33"/>
    <n v="27"/>
    <d v="1899-12-30T00:04:59"/>
    <n v="3.3738095238095238"/>
    <n v="3"/>
    <n v="1.5"/>
    <x v="2"/>
    <n v="0.5"/>
    <n v="0.25"/>
    <n v="0.25"/>
    <n v="0"/>
    <n v="0"/>
    <n v="0"/>
    <n v="0"/>
    <n v="2.8119047619047617"/>
    <d v="2022-01-19T00:00:00"/>
    <n v="1"/>
    <s v="Road"/>
  </r>
  <r>
    <x v="31"/>
    <s v="M"/>
    <n v="2"/>
    <n v="9.09"/>
    <d v="1899-12-30T00:41:53"/>
    <d v="1899-12-30T00:41:56"/>
    <d v="1899-12-30T00:41:54"/>
    <n v="0"/>
    <d v="1899-12-30T00:04:37"/>
    <n v="2.1642857142857141"/>
    <n v="3.5"/>
    <n v="1.5"/>
    <x v="1"/>
    <n v="0.25"/>
    <n v="0.5"/>
    <n v="0.25"/>
    <n v="0"/>
    <n v="0"/>
    <n v="0"/>
    <n v="0"/>
    <n v="2.6660714285714286"/>
    <d v="2022-01-22T00:00:00"/>
    <n v="1"/>
    <s v="Trail"/>
  </r>
  <r>
    <x v="23"/>
    <s v="M"/>
    <n v="2"/>
    <n v="43.43"/>
    <d v="1899-12-30T04:10:07"/>
    <d v="1899-12-30T04:15:45"/>
    <d v="1899-12-30T04:12:56"/>
    <n v="402"/>
    <d v="1899-12-30T00:05:49"/>
    <n v="5"/>
    <n v="1.5"/>
    <n v="2"/>
    <x v="2"/>
    <n v="0.5"/>
    <n v="0.25"/>
    <n v="0.25"/>
    <n v="0.26800000000000002"/>
    <n v="1.1000000000000001"/>
    <n v="0"/>
    <n v="0"/>
    <n v="4.7430000000000003"/>
    <d v="2022-01-19T00:00:00"/>
    <n v="1"/>
    <s v="Road"/>
  </r>
  <r>
    <x v="24"/>
    <s v="F"/>
    <n v="2"/>
    <n v="8.0399999999999991"/>
    <d v="1899-12-30T00:55:39"/>
    <d v="1899-12-30T00:56:16"/>
    <d v="1899-12-30T00:55:58"/>
    <n v="7"/>
    <d v="1899-12-30T00:06:58"/>
    <n v="2.0099999999999998"/>
    <n v="1"/>
    <n v="2"/>
    <x v="0"/>
    <n v="0.25"/>
    <n v="0.25"/>
    <n v="0.5"/>
    <n v="0"/>
    <n v="0"/>
    <n v="0"/>
    <n v="0"/>
    <n v="1.7524999999999999"/>
    <d v="2022-01-21T00:00:00"/>
    <n v="1"/>
    <e v="#N/A"/>
  </r>
  <r>
    <x v="26"/>
    <s v="M"/>
    <n v="2"/>
    <n v="15.13"/>
    <d v="1899-12-30T01:22:38"/>
    <d v="1899-12-30T01:22:45"/>
    <d v="1899-12-30T01:22:42"/>
    <n v="26"/>
    <d v="1899-12-30T00:05:28"/>
    <n v="3.6023809523809525"/>
    <n v="2"/>
    <n v="3.5"/>
    <x v="1"/>
    <n v="0.25"/>
    <n v="0.5"/>
    <n v="0.25"/>
    <n v="0"/>
    <n v="0"/>
    <n v="0"/>
    <n v="0"/>
    <n v="2.7755952380952382"/>
    <d v="2022-01-23T00:00:00"/>
    <n v="1"/>
    <s v="Trail"/>
  </r>
  <r>
    <x v="27"/>
    <s v="M"/>
    <n v="2"/>
    <n v="34.340000000000003"/>
    <d v="1899-12-30T03:06:41"/>
    <d v="1899-12-30T03:24:51"/>
    <d v="1899-12-30T03:15:46"/>
    <n v="108"/>
    <d v="1899-12-30T00:05:42"/>
    <n v="5"/>
    <n v="1.5"/>
    <n v="3.5"/>
    <x v="2"/>
    <n v="0.5"/>
    <n v="0.25"/>
    <n v="0.25"/>
    <n v="7.1999999999999995E-2"/>
    <n v="0.6"/>
    <n v="0"/>
    <n v="0"/>
    <n v="4.4219999999999997"/>
    <d v="2022-01-23T00:00:00"/>
    <n v="1"/>
    <s v="Trail"/>
  </r>
  <r>
    <x v="28"/>
    <s v="F"/>
    <n v="2"/>
    <m/>
    <m/>
    <m/>
    <m/>
    <m/>
    <m/>
    <n v="0"/>
    <n v="0"/>
    <m/>
    <x v="3"/>
    <n v="0.25"/>
    <n v="0.25"/>
    <n v="0.25"/>
    <n v="0"/>
    <n v="0"/>
    <n v="0"/>
    <n v="0"/>
    <n v="1.5"/>
    <m/>
    <n v="1"/>
    <s v="Road"/>
  </r>
  <r>
    <x v="1"/>
    <s v="M"/>
    <n v="3"/>
    <n v="21.1"/>
    <d v="1899-12-30T01:37:21"/>
    <d v="1899-12-30T01:37:21"/>
    <d v="1899-12-30T01:37:21"/>
    <n v="267"/>
    <d v="1899-12-30T00:04:37"/>
    <n v="5"/>
    <n v="3.5"/>
    <n v="3.5"/>
    <x v="0"/>
    <n v="0.25"/>
    <n v="0.25"/>
    <n v="0.5"/>
    <n v="0.17799999999999999"/>
    <n v="0"/>
    <n v="0"/>
    <n v="0"/>
    <n v="4.0529999999999999"/>
    <d v="2022-01-25T00:00:00"/>
    <n v="1"/>
    <s v="Road"/>
  </r>
  <r>
    <x v="22"/>
    <s v="M"/>
    <n v="3"/>
    <n v="37.07"/>
    <d v="1899-12-30T03:22:24"/>
    <d v="1899-12-30T04:03:39"/>
    <d v="1899-12-30T03:43:02"/>
    <n v="70"/>
    <d v="1899-12-30T00:06:01"/>
    <n v="5"/>
    <n v="1.5"/>
    <n v="4"/>
    <x v="2"/>
    <n v="0.5"/>
    <n v="0.25"/>
    <n v="0.25"/>
    <n v="4.6666666666666669E-2"/>
    <n v="0.8"/>
    <n v="0"/>
    <n v="0"/>
    <n v="4.7216666666666667"/>
    <d v="2022-01-29T00:00:00"/>
    <n v="1"/>
    <s v="Trail"/>
  </r>
  <r>
    <x v="17"/>
    <s v="M"/>
    <n v="3"/>
    <n v="10.29"/>
    <d v="1899-12-30T00:42:43"/>
    <d v="1899-12-30T00:42:43"/>
    <d v="1899-12-30T00:42:43"/>
    <n v="17"/>
    <d v="1899-12-30T00:04:09"/>
    <n v="2.4499999999999997"/>
    <n v="4.5"/>
    <n v="3.5"/>
    <x v="1"/>
    <n v="0.25"/>
    <n v="0.5"/>
    <n v="0.25"/>
    <n v="0"/>
    <n v="0"/>
    <n v="0"/>
    <n v="0"/>
    <n v="3.7374999999999998"/>
    <d v="2022-01-29T00:00:00"/>
    <n v="1"/>
    <s v="Trail"/>
  </r>
  <r>
    <x v="26"/>
    <s v="M"/>
    <n v="3"/>
    <n v="22.04"/>
    <d v="1899-12-30T03:15:39"/>
    <d v="1899-12-30T03:54:08"/>
    <d v="1899-12-30T03:34:54"/>
    <n v="849"/>
    <d v="1899-12-30T00:09:45"/>
    <n v="5"/>
    <n v="0"/>
    <n v="4.5"/>
    <x v="0"/>
    <n v="0.25"/>
    <n v="0.25"/>
    <n v="0.5"/>
    <n v="0.56599999999999995"/>
    <n v="0"/>
    <n v="0"/>
    <n v="0"/>
    <n v="4.0659999999999998"/>
    <d v="2022-01-29T00:00:00"/>
    <n v="1"/>
    <s v="Trail"/>
  </r>
  <r>
    <x v="27"/>
    <s v="M"/>
    <n v="3"/>
    <n v="13.28"/>
    <d v="1899-12-30T01:00:01"/>
    <d v="1899-12-30T01:00:07"/>
    <d v="1899-12-30T01:00:04"/>
    <n v="55"/>
    <d v="1899-12-30T00:04:31"/>
    <n v="3.1619047619047618"/>
    <n v="3.5"/>
    <n v="2.5"/>
    <x v="1"/>
    <n v="0.25"/>
    <n v="0.5"/>
    <n v="0.25"/>
    <n v="3.6666666666666667E-2"/>
    <n v="0"/>
    <n v="0"/>
    <n v="0"/>
    <n v="3.202142857142857"/>
    <d v="2022-01-27T00:00:00"/>
    <n v="1"/>
    <s v="Trail"/>
  </r>
  <r>
    <x v="12"/>
    <s v="M"/>
    <n v="3"/>
    <n v="33.200000000000003"/>
    <d v="1899-12-30T04:23:45"/>
    <d v="1899-12-30T04:48:11"/>
    <d v="1899-12-30T04:35:58"/>
    <n v="1442"/>
    <d v="1899-12-30T00:08:19"/>
    <n v="5"/>
    <n v="0"/>
    <n v="4"/>
    <x v="2"/>
    <n v="0.5"/>
    <n v="0.25"/>
    <n v="0.25"/>
    <n v="0.96133333333333337"/>
    <n v="0.6"/>
    <n v="0"/>
    <n v="0"/>
    <n v="5.0613333333333328"/>
    <d v="2022-01-29T00:00:00"/>
    <n v="1"/>
    <s v="Road"/>
  </r>
  <r>
    <x v="2"/>
    <s v="M"/>
    <n v="3"/>
    <n v="6.02"/>
    <d v="1899-12-30T00:28:20"/>
    <d v="1899-12-30T00:28:20"/>
    <d v="1899-12-30T00:28:20"/>
    <n v="8"/>
    <d v="1899-12-30T00:04:42"/>
    <n v="1.4333333333333331"/>
    <n v="3.5"/>
    <n v="3.5"/>
    <x v="1"/>
    <n v="0.25"/>
    <n v="0.5"/>
    <n v="0.25"/>
    <n v="0"/>
    <n v="0"/>
    <n v="0"/>
    <n v="0"/>
    <n v="2.9833333333333334"/>
    <d v="2022-01-27T00:00:00"/>
    <n v="1"/>
    <s v="Trail"/>
  </r>
  <r>
    <x v="16"/>
    <s v="F"/>
    <n v="3"/>
    <n v="13.01"/>
    <d v="1899-12-30T03:09:09"/>
    <d v="1899-12-30T03:14:47"/>
    <d v="1899-12-30T03:11:58"/>
    <n v="289"/>
    <d v="1899-12-30T00:14:45"/>
    <n v="3.2524999999999999"/>
    <n v="0"/>
    <n v="2.75"/>
    <x v="0"/>
    <n v="0.25"/>
    <n v="0.25"/>
    <n v="0.5"/>
    <n v="0.19266666666666668"/>
    <n v="0"/>
    <n v="0"/>
    <n v="0"/>
    <n v="2.3807916666666666"/>
    <d v="2022-01-24T00:00:00"/>
    <n v="1"/>
    <s v="Trail"/>
  </r>
  <r>
    <x v="9"/>
    <s v="F"/>
    <n v="3"/>
    <n v="20.149999999999999"/>
    <d v="1899-12-30T03:12:48"/>
    <d v="1899-12-30T03:13:02"/>
    <d v="1899-12-30T03:12:55"/>
    <n v="1223"/>
    <d v="1899-12-30T00:09:34"/>
    <n v="5"/>
    <n v="0"/>
    <n v="2.5"/>
    <x v="2"/>
    <n v="0.5"/>
    <n v="0.25"/>
    <n v="0.25"/>
    <n v="0.81533333333333335"/>
    <n v="0"/>
    <n v="0"/>
    <n v="0"/>
    <n v="3.9403333333333332"/>
    <d v="2022-01-29T00:00:00"/>
    <n v="1"/>
    <s v="Trail"/>
  </r>
  <r>
    <x v="13"/>
    <s v="M"/>
    <n v="3"/>
    <n v="12.07"/>
    <d v="1899-12-30T01:16:22"/>
    <d v="1899-12-30T01:17:35"/>
    <d v="1899-12-30T01:16:59"/>
    <n v="188"/>
    <d v="1899-12-30T00:06:23"/>
    <n v="2.8738095238095238"/>
    <n v="1"/>
    <n v="2.5"/>
    <x v="2"/>
    <n v="0.5"/>
    <n v="0.25"/>
    <n v="0.25"/>
    <n v="0.12533333333333332"/>
    <n v="0"/>
    <n v="0"/>
    <n v="0.4"/>
    <n v="2.8372380952380949"/>
    <d v="2022-01-26T00:00:00"/>
    <n v="1"/>
    <s v="Road"/>
  </r>
  <r>
    <x v="6"/>
    <s v="F"/>
    <n v="3"/>
    <n v="10.15"/>
    <d v="1899-12-30T01:08:51"/>
    <d v="1899-12-30T01:10:19"/>
    <d v="1899-12-30T01:09:35"/>
    <n v="377"/>
    <d v="1899-12-30T00:06:51"/>
    <n v="2.5375000000000001"/>
    <n v="1"/>
    <n v="3.5"/>
    <x v="2"/>
    <n v="0.5"/>
    <n v="0.25"/>
    <n v="0.25"/>
    <n v="0.25133333333333335"/>
    <n v="0"/>
    <n v="0"/>
    <n v="0"/>
    <n v="2.645083333333333"/>
    <d v="2022-01-29T00:00:00"/>
    <n v="1"/>
    <s v="Trail"/>
  </r>
  <r>
    <x v="20"/>
    <s v="M"/>
    <n v="3"/>
    <n v="3.37"/>
    <d v="1899-12-30T00:15:13"/>
    <d v="1899-12-30T00:15:46"/>
    <d v="1899-12-30T00:15:29"/>
    <n v="8"/>
    <d v="1899-12-30T00:04:36"/>
    <n v="0.80238095238095242"/>
    <n v="3.5"/>
    <n v="1.5"/>
    <x v="1"/>
    <n v="0.25"/>
    <n v="0.5"/>
    <n v="0.25"/>
    <n v="0"/>
    <n v="0"/>
    <n v="0"/>
    <n v="0"/>
    <n v="2.325595238095238"/>
    <d v="2022-01-29T00:00:00"/>
    <n v="1"/>
    <s v="Trail"/>
  </r>
  <r>
    <x v="21"/>
    <s v="M"/>
    <n v="3"/>
    <n v="15.55"/>
    <d v="1899-12-30T01:27:07"/>
    <d v="1899-12-30T01:28:16"/>
    <d v="1899-12-30T01:27:42"/>
    <n v="460"/>
    <d v="1899-12-30T00:05:38"/>
    <n v="3.7023809523809526"/>
    <n v="1.5"/>
    <n v="1.5"/>
    <x v="2"/>
    <n v="0.5"/>
    <n v="0.25"/>
    <n v="0.25"/>
    <n v="0.30666666666666664"/>
    <n v="0"/>
    <n v="0"/>
    <n v="0"/>
    <n v="2.9078571428571429"/>
    <d v="2022-01-30T00:00:00"/>
    <n v="1"/>
    <s v="Trail"/>
  </r>
  <r>
    <x v="0"/>
    <s v="M"/>
    <n v="3"/>
    <n v="20.309999999999999"/>
    <d v="1899-12-30T03:28:07"/>
    <d v="1899-12-30T03:58:30"/>
    <d v="1899-12-30T03:43:19"/>
    <n v="1131"/>
    <d v="1899-12-30T00:11:00"/>
    <n v="4.8357142857142854"/>
    <n v="0"/>
    <n v="2.75"/>
    <x v="2"/>
    <n v="0.5"/>
    <n v="0.25"/>
    <n v="0.25"/>
    <n v="0.754"/>
    <n v="0"/>
    <n v="0"/>
    <n v="0"/>
    <n v="3.8593571428571427"/>
    <d v="2022-01-29T00:00:00"/>
    <n v="1"/>
    <s v="Road"/>
  </r>
  <r>
    <x v="8"/>
    <s v="F"/>
    <n v="3"/>
    <n v="8.1300000000000008"/>
    <d v="1899-12-30T00:57:26"/>
    <d v="1899-12-30T01:27:28"/>
    <d v="1899-12-30T01:12:27"/>
    <n v="0"/>
    <d v="1899-12-30T00:08:55"/>
    <n v="2.0325000000000002"/>
    <n v="1"/>
    <n v="2.5"/>
    <x v="2"/>
    <n v="0.5"/>
    <n v="0.25"/>
    <n v="0.25"/>
    <n v="0"/>
    <n v="0"/>
    <n v="0"/>
    <n v="0.7"/>
    <n v="2.5912500000000001"/>
    <d v="2022-01-26T00:00:00"/>
    <n v="1"/>
    <s v="Road"/>
  </r>
  <r>
    <x v="19"/>
    <s v="F"/>
    <n v="3"/>
    <n v="10.01"/>
    <d v="1899-12-30T00:56:20"/>
    <d v="1899-12-30T01:01:25"/>
    <d v="1899-12-30T00:58:52"/>
    <n v="0"/>
    <d v="1899-12-30T00:05:53"/>
    <n v="2.5024999999999999"/>
    <n v="2"/>
    <n v="1.5"/>
    <x v="2"/>
    <n v="0.5"/>
    <n v="0.25"/>
    <n v="0.25"/>
    <n v="0"/>
    <n v="0"/>
    <n v="0"/>
    <n v="0"/>
    <n v="2.1262499999999998"/>
    <d v="2022-01-29T00:00:00"/>
    <n v="1"/>
    <s v="Trail"/>
  </r>
  <r>
    <x v="11"/>
    <s v="F"/>
    <n v="3"/>
    <n v="10.039999999999999"/>
    <d v="1899-12-30T01:16:58"/>
    <d v="1899-12-30T01:17:35"/>
    <d v="1899-12-30T01:17:17"/>
    <n v="395"/>
    <d v="1899-12-30T00:07:42"/>
    <n v="2.5099999999999998"/>
    <n v="1"/>
    <n v="3.5"/>
    <x v="0"/>
    <n v="0.25"/>
    <n v="0.25"/>
    <n v="0.5"/>
    <n v="0.26333333333333331"/>
    <n v="0"/>
    <n v="0"/>
    <n v="0"/>
    <n v="2.8908333333333331"/>
    <d v="2022-01-29T00:00:00"/>
    <n v="1"/>
    <s v="Trail"/>
  </r>
  <r>
    <x v="4"/>
    <s v="M"/>
    <n v="3"/>
    <n v="24.25"/>
    <d v="1899-12-30T02:19:36"/>
    <d v="1899-12-30T02:33:22"/>
    <d v="1899-12-30T02:26:29"/>
    <n v="130"/>
    <d v="1899-12-30T00:06:02"/>
    <n v="5"/>
    <n v="1"/>
    <n v="1.5"/>
    <x v="2"/>
    <n v="0.5"/>
    <n v="0.25"/>
    <n v="0.25"/>
    <n v="8.666666666666667E-2"/>
    <n v="0.1"/>
    <n v="0"/>
    <n v="0"/>
    <n v="3.311666666666667"/>
    <d v="2022-01-24T00:00:00"/>
    <n v="1"/>
    <s v="Road"/>
  </r>
  <r>
    <x v="7"/>
    <s v="F"/>
    <n v="3"/>
    <n v="10.02"/>
    <d v="1899-12-30T01:07:16"/>
    <d v="1899-12-30T01:14:27"/>
    <d v="1899-12-30T01:10:52"/>
    <n v="23"/>
    <d v="1899-12-30T00:07:04"/>
    <n v="2.5049999999999999"/>
    <n v="1"/>
    <n v="1.5"/>
    <x v="2"/>
    <n v="0.5"/>
    <n v="0.25"/>
    <n v="0.25"/>
    <n v="0"/>
    <n v="0"/>
    <n v="0"/>
    <n v="0"/>
    <n v="1.8774999999999999"/>
    <d v="2022-01-26T00:00:00"/>
    <n v="1"/>
    <s v="Road"/>
  </r>
  <r>
    <x v="10"/>
    <s v="M"/>
    <n v="3"/>
    <n v="5.62"/>
    <d v="1899-12-30T00:37:19"/>
    <d v="1899-12-30T00:37:19"/>
    <d v="1899-12-30T00:37:19"/>
    <n v="9"/>
    <d v="1899-12-30T00:06:38"/>
    <n v="1.338095238095238"/>
    <n v="1"/>
    <n v="3.5"/>
    <x v="0"/>
    <n v="0.25"/>
    <n v="0.25"/>
    <n v="0.5"/>
    <n v="0"/>
    <n v="0"/>
    <n v="0"/>
    <n v="0"/>
    <n v="2.3345238095238097"/>
    <d v="2022-01-29T00:00:00"/>
    <n v="1"/>
    <s v="Trail"/>
  </r>
  <r>
    <x v="32"/>
    <s v="M"/>
    <n v="3"/>
    <n v="19.829999999999998"/>
    <d v="1899-12-30T03:07:36"/>
    <d v="1899-12-30T03:09:12"/>
    <d v="1899-12-30T03:08:24"/>
    <n v="1201"/>
    <d v="1899-12-30T00:09:30"/>
    <n v="4.7214285714285706"/>
    <n v="0"/>
    <n v="2"/>
    <x v="2"/>
    <n v="0.5"/>
    <n v="0.25"/>
    <n v="0.25"/>
    <n v="0.80066666666666664"/>
    <n v="0"/>
    <n v="0"/>
    <n v="0"/>
    <n v="3.6613809523809522"/>
    <d v="2022-01-29T00:00:00"/>
    <n v="1"/>
    <s v="Road"/>
  </r>
  <r>
    <x v="15"/>
    <s v="M"/>
    <n v="3"/>
    <n v="41"/>
    <d v="1899-12-30T03:47:39"/>
    <d v="1899-12-30T03:58:24"/>
    <d v="1899-12-30T03:53:01"/>
    <n v="48"/>
    <d v="1899-12-30T00:05:41"/>
    <n v="5"/>
    <n v="1.5"/>
    <n v="2.5"/>
    <x v="2"/>
    <n v="0.5"/>
    <n v="0.25"/>
    <n v="0.25"/>
    <n v="0"/>
    <n v="1"/>
    <n v="0"/>
    <n v="0"/>
    <n v="4.5"/>
    <d v="2022-01-30T00:00:00"/>
    <n v="1"/>
    <s v="Road"/>
  </r>
  <r>
    <x v="18"/>
    <s v="M"/>
    <n v="3"/>
    <n v="10.210000000000001"/>
    <d v="1899-12-30T00:50:21"/>
    <d v="1899-12-30T00:53:05"/>
    <d v="1899-12-30T00:51:43"/>
    <n v="120"/>
    <d v="1899-12-30T00:05:04"/>
    <n v="2.4309523809523812"/>
    <n v="2.5"/>
    <n v="2.25"/>
    <x v="2"/>
    <n v="0.5"/>
    <n v="0.25"/>
    <n v="0.25"/>
    <n v="0.08"/>
    <n v="0"/>
    <n v="0"/>
    <n v="0"/>
    <n v="2.4829761904761907"/>
    <d v="2022-01-30T00:00:00"/>
    <n v="1"/>
    <s v="Road"/>
  </r>
  <r>
    <x v="14"/>
    <s v="M"/>
    <n v="3"/>
    <n v="21.2"/>
    <d v="1899-12-30T01:52:37"/>
    <d v="1899-12-30T01:52:43"/>
    <d v="1899-12-30T01:52:40"/>
    <n v="85"/>
    <d v="1899-12-30T00:05:19"/>
    <n v="5"/>
    <n v="2"/>
    <n v="3"/>
    <x v="1"/>
    <n v="0.25"/>
    <n v="0.5"/>
    <n v="0.25"/>
    <n v="5.6666666666666664E-2"/>
    <n v="0"/>
    <n v="0"/>
    <n v="0"/>
    <n v="3.0566666666666666"/>
    <d v="2022-01-29T00:00:00"/>
    <n v="1"/>
    <s v="Road"/>
  </r>
  <r>
    <x v="5"/>
    <s v="M"/>
    <n v="3"/>
    <n v="10.3"/>
    <d v="1899-12-30T00:47:15"/>
    <d v="1899-12-30T00:47:51"/>
    <d v="1899-12-30T00:47:33"/>
    <n v="0"/>
    <d v="1899-12-30T00:04:37"/>
    <n v="2.4523809523809526"/>
    <n v="3.5"/>
    <n v="1"/>
    <x v="2"/>
    <n v="0.5"/>
    <n v="0.25"/>
    <n v="0.25"/>
    <n v="0"/>
    <n v="0"/>
    <n v="0"/>
    <n v="0"/>
    <n v="2.3511904761904763"/>
    <d v="2022-01-27T00:00:00"/>
    <n v="1"/>
    <e v="#N/A"/>
  </r>
  <r>
    <x v="28"/>
    <s v="F"/>
    <n v="3"/>
    <n v="3.01"/>
    <d v="1899-12-30T00:16:39"/>
    <d v="1899-12-30T00:16:39"/>
    <d v="1899-12-30T00:16:39"/>
    <n v="35"/>
    <d v="1899-12-30T00:05:32"/>
    <n v="0.75249999999999995"/>
    <n v="2.5"/>
    <n v="3"/>
    <x v="1"/>
    <n v="0.25"/>
    <n v="0.5"/>
    <n v="0.25"/>
    <n v="0"/>
    <n v="0"/>
    <n v="0"/>
    <n v="0"/>
    <n v="2.1881249999999999"/>
    <d v="2022-01-29T00:00:00"/>
    <n v="1"/>
    <s v="Road"/>
  </r>
  <r>
    <x v="30"/>
    <s v="M"/>
    <n v="3"/>
    <m/>
    <m/>
    <m/>
    <m/>
    <m/>
    <m/>
    <n v="0"/>
    <n v="0"/>
    <m/>
    <x v="3"/>
    <n v="0.25"/>
    <n v="0.25"/>
    <n v="0.25"/>
    <n v="0"/>
    <n v="0"/>
    <n v="0"/>
    <n v="0"/>
    <n v="1.5"/>
    <m/>
    <n v="1"/>
    <s v="Road"/>
  </r>
  <r>
    <x v="3"/>
    <s v="F"/>
    <n v="3"/>
    <n v="21.45"/>
    <d v="1899-12-30T03:08:07"/>
    <d v="1899-12-30T04:00:33"/>
    <d v="1899-12-30T03:34:20"/>
    <n v="741"/>
    <d v="1899-12-30T00:10:00"/>
    <n v="5"/>
    <n v="0"/>
    <n v="3.5"/>
    <x v="2"/>
    <n v="0.5"/>
    <n v="0.25"/>
    <n v="0.25"/>
    <n v="0.49399999999999999"/>
    <n v="0"/>
    <n v="0"/>
    <n v="0"/>
    <n v="3.8689999999999998"/>
    <d v="2022-01-29T00:00:00"/>
    <n v="1"/>
    <e v="#N/A"/>
  </r>
  <r>
    <x v="29"/>
    <s v="F"/>
    <n v="3"/>
    <n v="14.01"/>
    <d v="1899-12-30T01:26:43"/>
    <d v="1899-12-30T01:41:34"/>
    <d v="1899-12-30T01:34:08"/>
    <n v="34"/>
    <d v="1899-12-30T00:06:43"/>
    <n v="3.5024999999999999"/>
    <n v="1"/>
    <n v="3"/>
    <x v="2"/>
    <n v="0.5"/>
    <n v="0.25"/>
    <n v="0.25"/>
    <n v="0"/>
    <n v="0"/>
    <n v="0"/>
    <n v="0"/>
    <n v="2.7512499999999998"/>
    <d v="2022-01-29T00:00:00"/>
    <n v="1"/>
    <s v="Trail"/>
  </r>
  <r>
    <x v="1"/>
    <s v="M"/>
    <n v="4"/>
    <n v="35.01"/>
    <d v="1899-12-30T02:28:45"/>
    <d v="1899-12-30T02:28:45"/>
    <d v="1899-12-30T02:28:45"/>
    <n v="339"/>
    <d v="1899-12-30T00:04:15"/>
    <n v="5"/>
    <n v="4.5"/>
    <n v="3"/>
    <x v="2"/>
    <n v="0.5"/>
    <n v="0.25"/>
    <n v="0.25"/>
    <n v="0.22600000000000001"/>
    <n v="0.7"/>
    <n v="0"/>
    <n v="0"/>
    <n v="5.3010000000000002"/>
    <d v="2022-02-01T00:00:00"/>
    <n v="1"/>
    <s v="Road"/>
  </r>
  <r>
    <x v="22"/>
    <s v="M"/>
    <n v="4"/>
    <n v="42.03"/>
    <d v="1899-12-30T05:05:57"/>
    <d v="1899-12-30T06:10:31"/>
    <d v="1899-12-30T05:38:14"/>
    <n v="2090"/>
    <d v="1899-12-30T00:08:03"/>
    <n v="5"/>
    <n v="0"/>
    <n v="4.25"/>
    <x v="2"/>
    <n v="0.5"/>
    <n v="0.25"/>
    <n v="0.25"/>
    <n v="1.3933333333333333"/>
    <n v="1"/>
    <n v="0"/>
    <n v="0"/>
    <n v="5.9558333333333335"/>
    <d v="2022-02-05T00:00:00"/>
    <n v="1"/>
    <s v="Trail"/>
  </r>
  <r>
    <x v="17"/>
    <s v="M"/>
    <n v="4"/>
    <n v="15.23"/>
    <d v="1899-12-30T01:14:06"/>
    <d v="1899-12-30T01:14:06"/>
    <d v="1899-12-30T01:14:06"/>
    <n v="442"/>
    <d v="1899-12-30T00:04:52"/>
    <n v="3.6261904761904762"/>
    <n v="3"/>
    <n v="3.75"/>
    <x v="0"/>
    <n v="0.25"/>
    <n v="0.25"/>
    <n v="0.5"/>
    <n v="0.29466666666666669"/>
    <n v="0"/>
    <n v="0"/>
    <n v="0"/>
    <n v="3.8262142857142858"/>
    <d v="2022-02-05T00:00:00"/>
    <n v="1"/>
    <s v="Trail"/>
  </r>
  <r>
    <x v="26"/>
    <s v="M"/>
    <n v="4"/>
    <n v="50.03"/>
    <d v="1899-12-30T05:55:20"/>
    <d v="1899-12-30T06:19:12"/>
    <d v="1899-12-30T06:07:16"/>
    <n v="1672"/>
    <d v="1899-12-30T00:07:20"/>
    <n v="5"/>
    <n v="1"/>
    <n v="3.5"/>
    <x v="2"/>
    <n v="0.5"/>
    <n v="0.25"/>
    <n v="0.25"/>
    <n v="1.1146666666666667"/>
    <n v="1.4"/>
    <n v="0"/>
    <n v="0"/>
    <n v="6.1396666666666668"/>
    <d v="2022-02-05T00:00:00"/>
    <n v="1"/>
    <s v="Trail"/>
  </r>
  <r>
    <x v="27"/>
    <s v="M"/>
    <n v="4"/>
    <n v="3.04"/>
    <d v="1899-12-30T00:11:45"/>
    <d v="1899-12-30T00:11:45"/>
    <d v="1899-12-30T00:11:45"/>
    <n v="7"/>
    <d v="1899-12-30T00:03:52"/>
    <n v="0.72380952380952379"/>
    <n v="5"/>
    <n v="1.5"/>
    <x v="1"/>
    <n v="0.25"/>
    <n v="0.5"/>
    <n v="0.25"/>
    <n v="0"/>
    <n v="0"/>
    <n v="0.45000000000000007"/>
    <n v="0"/>
    <n v="3.5059523809523809"/>
    <d v="2022-02-02T00:00:00"/>
    <n v="1"/>
    <s v="Trail"/>
  </r>
  <r>
    <x v="9"/>
    <s v="F"/>
    <n v="4"/>
    <n v="12.01"/>
    <d v="1899-12-30T01:05:19"/>
    <d v="1899-12-30T01:08:39"/>
    <d v="1899-12-30T01:06:59"/>
    <n v="16"/>
    <d v="1899-12-30T00:05:35"/>
    <n v="3.0024999999999999"/>
    <n v="2.5"/>
    <n v="1"/>
    <x v="1"/>
    <n v="0.25"/>
    <n v="0.5"/>
    <n v="0.25"/>
    <n v="0"/>
    <n v="0"/>
    <n v="0"/>
    <n v="0"/>
    <n v="2.2506249999999999"/>
    <d v="2022-01-31T00:00:00"/>
    <n v="1"/>
    <s v="Trail"/>
  </r>
  <r>
    <x v="2"/>
    <s v="M"/>
    <n v="4"/>
    <n v="21.43"/>
    <d v="1899-12-30T02:34:01"/>
    <d v="1899-12-30T02:34:11"/>
    <d v="1899-12-30T02:34:06"/>
    <n v="958"/>
    <d v="1899-12-30T00:07:11"/>
    <n v="5"/>
    <n v="1"/>
    <n v="4"/>
    <x v="2"/>
    <n v="0.5"/>
    <n v="0.25"/>
    <n v="0.25"/>
    <n v="0.63866666666666672"/>
    <n v="0"/>
    <n v="0"/>
    <n v="0"/>
    <n v="4.3886666666666665"/>
    <d v="2022-02-01T00:00:00"/>
    <n v="1"/>
    <s v="Trail"/>
  </r>
  <r>
    <x v="16"/>
    <s v="F"/>
    <n v="4"/>
    <n v="15.22"/>
    <d v="1899-12-30T01:24:39"/>
    <d v="1899-12-30T01:24:44"/>
    <d v="1899-12-30T01:24:41"/>
    <n v="446"/>
    <d v="1899-12-30T00:05:34"/>
    <n v="3.8050000000000002"/>
    <n v="2.5"/>
    <n v="3.75"/>
    <x v="0"/>
    <n v="0.25"/>
    <n v="0.25"/>
    <n v="0.5"/>
    <n v="0.29733333333333334"/>
    <n v="0"/>
    <n v="0"/>
    <n v="0"/>
    <n v="3.7485833333333334"/>
    <d v="2022-02-05T00:00:00"/>
    <n v="1"/>
    <s v="Trail"/>
  </r>
  <r>
    <x v="13"/>
    <s v="M"/>
    <n v="4"/>
    <n v="11.01"/>
    <d v="1899-12-30T01:09:52"/>
    <d v="1899-12-30T01:31:31"/>
    <d v="1899-12-30T01:20:42"/>
    <n v="161"/>
    <d v="1899-12-30T00:07:20"/>
    <n v="2.6214285714285714"/>
    <n v="1"/>
    <n v="3.5"/>
    <x v="2"/>
    <n v="0.5"/>
    <n v="0.25"/>
    <n v="0.25"/>
    <n v="0.10733333333333334"/>
    <n v="0"/>
    <n v="0"/>
    <n v="0.4"/>
    <n v="2.9430476190476194"/>
    <d v="2022-02-06T00:00:00"/>
    <n v="1"/>
    <s v="Road"/>
  </r>
  <r>
    <x v="0"/>
    <s v="M"/>
    <n v="4"/>
    <n v="4.0199999999999996"/>
    <d v="1899-12-30T00:17:19"/>
    <d v="1899-12-30T00:17:47"/>
    <d v="1899-12-30T00:17:33"/>
    <n v="6"/>
    <d v="1899-12-30T00:04:22"/>
    <n v="0.95714285714285696"/>
    <n v="4"/>
    <n v="2"/>
    <x v="1"/>
    <n v="0.25"/>
    <n v="0.5"/>
    <n v="0.25"/>
    <n v="0"/>
    <n v="0"/>
    <n v="0"/>
    <n v="0"/>
    <n v="2.7392857142857143"/>
    <d v="2022-02-03T00:00:00"/>
    <n v="1"/>
    <s v="Road"/>
  </r>
  <r>
    <x v="15"/>
    <s v="M"/>
    <n v="4"/>
    <n v="50.01"/>
    <d v="1899-12-30T04:30:19"/>
    <d v="1899-12-30T04:46:04"/>
    <d v="1899-12-30T04:38:12"/>
    <n v="50"/>
    <d v="1899-12-30T00:05:34"/>
    <n v="5"/>
    <n v="1.5"/>
    <n v="2.5"/>
    <x v="2"/>
    <n v="0.5"/>
    <n v="0.25"/>
    <n v="0.25"/>
    <n v="3.3333333333333333E-2"/>
    <n v="1.4"/>
    <n v="0"/>
    <n v="0"/>
    <n v="4.9333333333333336"/>
    <d v="2022-02-06T00:00:00"/>
    <n v="1"/>
    <s v="Road"/>
  </r>
  <r>
    <x v="23"/>
    <s v="M"/>
    <n v="4"/>
    <n v="21.53"/>
    <d v="1899-12-30T01:56:05"/>
    <d v="1899-12-30T01:56:36"/>
    <d v="1899-12-30T01:56:20"/>
    <n v="65"/>
    <d v="1899-12-30T00:05:24"/>
    <n v="5"/>
    <n v="2"/>
    <n v="1.25"/>
    <x v="2"/>
    <n v="0.5"/>
    <n v="0.25"/>
    <n v="0.25"/>
    <n v="4.3333333333333335E-2"/>
    <n v="0"/>
    <n v="0"/>
    <n v="0"/>
    <n v="3.3558333333333334"/>
    <d v="2022-02-06T00:00:00"/>
    <n v="1"/>
    <s v="Road"/>
  </r>
  <r>
    <x v="21"/>
    <s v="M"/>
    <n v="4"/>
    <n v="15.4"/>
    <d v="1899-12-30T01:23:37"/>
    <d v="1899-12-30T01:24:27"/>
    <d v="1899-12-30T01:24:02"/>
    <n v="441"/>
    <d v="1899-12-30T00:05:27"/>
    <n v="3.6666666666666665"/>
    <n v="2"/>
    <n v="2.5"/>
    <x v="1"/>
    <n v="0.25"/>
    <n v="0.5"/>
    <n v="0.25"/>
    <n v="0.29399999999999998"/>
    <n v="0"/>
    <n v="0"/>
    <n v="0"/>
    <n v="2.8356666666666666"/>
    <d v="2022-02-05T00:00:00"/>
    <n v="1"/>
    <s v="Trail"/>
  </r>
  <r>
    <x v="6"/>
    <s v="F"/>
    <n v="4"/>
    <n v="10.32"/>
    <d v="1899-12-30T01:35:34"/>
    <d v="1899-12-30T01:38:36"/>
    <d v="1899-12-30T01:37:05"/>
    <n v="430"/>
    <d v="1899-12-30T00:09:24"/>
    <n v="2.58"/>
    <n v="0"/>
    <n v="4"/>
    <x v="2"/>
    <n v="0.5"/>
    <n v="0.25"/>
    <n v="0.25"/>
    <n v="0.28666666666666668"/>
    <n v="0"/>
    <n v="0"/>
    <n v="0"/>
    <n v="2.5766666666666667"/>
    <d v="2022-02-06T00:00:00"/>
    <n v="1"/>
    <s v="Trail"/>
  </r>
  <r>
    <x v="20"/>
    <s v="M"/>
    <n v="4"/>
    <n v="12.12"/>
    <d v="1899-12-30T01:46:56"/>
    <d v="1899-12-30T01:52:46"/>
    <d v="1899-12-30T01:49:51"/>
    <n v="432"/>
    <d v="1899-12-30T00:09:04"/>
    <n v="2.8857142857142852"/>
    <n v="0"/>
    <n v="4"/>
    <x v="2"/>
    <n v="0.5"/>
    <n v="0.25"/>
    <n v="0.25"/>
    <n v="0.28799999999999998"/>
    <n v="0"/>
    <n v="0"/>
    <n v="0"/>
    <n v="2.7308571428571424"/>
    <d v="2022-02-06T00:00:00"/>
    <n v="1"/>
    <s v="Trail"/>
  </r>
  <r>
    <x v="11"/>
    <s v="F"/>
    <n v="4"/>
    <n v="14.01"/>
    <d v="1899-12-30T01:16:39"/>
    <d v="1899-12-30T01:19:14"/>
    <d v="1899-12-30T01:17:57"/>
    <n v="34.200000000000003"/>
    <d v="1899-12-30T00:05:34"/>
    <n v="3.5024999999999999"/>
    <n v="2.5"/>
    <n v="1"/>
    <x v="2"/>
    <n v="0.5"/>
    <n v="0.25"/>
    <n v="0.25"/>
    <n v="0"/>
    <n v="0"/>
    <n v="0"/>
    <n v="0"/>
    <n v="2.6262499999999998"/>
    <d v="2022-02-06T00:00:00"/>
    <n v="1"/>
    <s v="Trail"/>
  </r>
  <r>
    <x v="4"/>
    <s v="M"/>
    <n v="4"/>
    <n v="42.24"/>
    <d v="1899-12-30T04:18:04"/>
    <d v="1899-12-30T05:03:45"/>
    <d v="1899-12-30T04:40:55"/>
    <n v="188"/>
    <d v="1899-12-30T00:06:39"/>
    <n v="5"/>
    <n v="1"/>
    <n v="2"/>
    <x v="2"/>
    <n v="0.5"/>
    <n v="0.25"/>
    <n v="0.25"/>
    <n v="0.12533333333333332"/>
    <n v="1"/>
    <n v="0"/>
    <n v="0"/>
    <n v="4.3753333333333337"/>
    <d v="2022-02-06T00:00:00"/>
    <n v="1"/>
    <s v="Road"/>
  </r>
  <r>
    <x v="8"/>
    <s v="F"/>
    <n v="4"/>
    <n v="8.14"/>
    <d v="1899-12-30T00:58:43"/>
    <d v="1899-12-30T01:23:47"/>
    <d v="1899-12-30T01:11:15"/>
    <n v="0"/>
    <d v="1899-12-30T00:08:45"/>
    <n v="2.0350000000000001"/>
    <n v="1"/>
    <n v="2.5"/>
    <x v="1"/>
    <n v="0.25"/>
    <n v="0.5"/>
    <n v="0.25"/>
    <n v="0"/>
    <n v="0"/>
    <n v="0"/>
    <n v="0.7"/>
    <n v="2.3337500000000002"/>
    <d v="2022-02-02T00:00:00"/>
    <n v="1"/>
    <s v="Road"/>
  </r>
  <r>
    <x v="19"/>
    <s v="F"/>
    <n v="4"/>
    <n v="14.01"/>
    <d v="1899-12-30T01:27:50"/>
    <d v="1899-12-30T01:29:21"/>
    <d v="1899-12-30T01:28:36"/>
    <n v="8"/>
    <d v="1899-12-30T00:06:19"/>
    <n v="3.5024999999999999"/>
    <n v="1.5"/>
    <n v="2.75"/>
    <x v="1"/>
    <n v="0.25"/>
    <n v="0.5"/>
    <n v="0.25"/>
    <n v="0"/>
    <n v="0"/>
    <n v="0"/>
    <n v="0"/>
    <n v="2.3131249999999999"/>
    <d v="2022-02-05T00:00:00"/>
    <n v="1"/>
    <s v="Trail"/>
  </r>
  <r>
    <x v="10"/>
    <s v="M"/>
    <n v="4"/>
    <n v="13.27"/>
    <d v="1899-12-30T01:17:57"/>
    <d v="1899-12-30T01:18:50"/>
    <d v="1899-12-30T01:18:23"/>
    <n v="42"/>
    <d v="1899-12-30T00:05:54"/>
    <n v="3.1595238095238094"/>
    <n v="1.5"/>
    <n v="3"/>
    <x v="2"/>
    <n v="0.5"/>
    <n v="0.25"/>
    <n v="0.25"/>
    <n v="0"/>
    <n v="0"/>
    <n v="0"/>
    <n v="0"/>
    <n v="2.7047619047619049"/>
    <d v="2022-02-06T00:00:00"/>
    <n v="1"/>
    <s v="Trail"/>
  </r>
  <r>
    <x v="18"/>
    <s v="M"/>
    <n v="4"/>
    <n v="10.16"/>
    <d v="1899-12-30T00:47:20"/>
    <d v="1899-12-30T00:47:20"/>
    <d v="1899-12-30T00:47:20"/>
    <n v="67"/>
    <d v="1899-12-30T00:04:40"/>
    <n v="2.4190476190476189"/>
    <n v="3.5"/>
    <n v="1"/>
    <x v="1"/>
    <n v="0.25"/>
    <n v="0.5"/>
    <n v="0.25"/>
    <n v="4.4666666666666667E-2"/>
    <n v="0"/>
    <n v="0"/>
    <n v="0"/>
    <n v="2.6494285714285715"/>
    <d v="2022-01-31T00:00:00"/>
    <n v="1"/>
    <s v="Road"/>
  </r>
  <r>
    <x v="14"/>
    <s v="M"/>
    <n v="4"/>
    <n v="5.01"/>
    <d v="1899-12-30T00:23:26"/>
    <d v="1899-12-30T00:23:26"/>
    <d v="1899-12-30T00:23:26"/>
    <n v="11"/>
    <d v="1899-12-30T00:04:41"/>
    <n v="1.1928571428571428"/>
    <n v="3.5"/>
    <n v="0.5"/>
    <x v="1"/>
    <n v="0.25"/>
    <n v="0.5"/>
    <n v="0.25"/>
    <n v="0"/>
    <n v="0"/>
    <n v="0"/>
    <n v="0"/>
    <n v="2.1732142857142858"/>
    <d v="2022-02-05T00:00:00"/>
    <n v="1"/>
    <s v="Road"/>
  </r>
  <r>
    <x v="7"/>
    <s v="F"/>
    <n v="4"/>
    <n v="2.52"/>
    <d v="1899-12-30T00:14:23"/>
    <d v="1899-12-30T00:14:23"/>
    <d v="1899-12-30T00:14:23"/>
    <n v="24"/>
    <d v="1899-12-30T00:05:42"/>
    <n v="0.63"/>
    <n v="2.5"/>
    <n v="1.5"/>
    <x v="1"/>
    <n v="0.25"/>
    <n v="0.5"/>
    <n v="0.25"/>
    <n v="0"/>
    <n v="0"/>
    <n v="0"/>
    <n v="0"/>
    <n v="1.7825"/>
    <d v="2022-02-03T00:00:00"/>
    <n v="1"/>
    <s v="Road"/>
  </r>
  <r>
    <x v="3"/>
    <s v="F"/>
    <n v="4"/>
    <n v="5"/>
    <d v="1899-12-30T00:33:42"/>
    <d v="1899-12-30T00:42:59"/>
    <d v="1899-12-30T00:38:21"/>
    <n v="3"/>
    <d v="1899-12-30T00:07:40"/>
    <n v="1.25"/>
    <n v="1"/>
    <n v="3.5"/>
    <x v="1"/>
    <n v="0.25"/>
    <n v="0.5"/>
    <n v="0.25"/>
    <n v="0"/>
    <n v="0"/>
    <n v="0"/>
    <n v="0"/>
    <n v="1.6875"/>
    <d v="2022-02-03T00:00:00"/>
    <n v="1"/>
    <e v="#N/A"/>
  </r>
  <r>
    <x v="5"/>
    <s v="M"/>
    <n v="4"/>
    <n v="3"/>
    <d v="1899-12-30T00:12:20"/>
    <d v="1899-12-30T00:12:31"/>
    <d v="1899-12-30T00:12:26"/>
    <n v="0"/>
    <d v="1899-12-30T00:04:09"/>
    <n v="0.7142857142857143"/>
    <n v="4.5"/>
    <n v="1"/>
    <x v="1"/>
    <n v="0.25"/>
    <n v="0.5"/>
    <n v="0.25"/>
    <n v="0"/>
    <n v="0"/>
    <n v="0"/>
    <n v="0"/>
    <n v="2.6785714285714284"/>
    <d v="2022-02-03T00:00:00"/>
    <n v="1"/>
    <e v="#N/A"/>
  </r>
  <r>
    <x v="28"/>
    <s v="F"/>
    <n v="4"/>
    <n v="10"/>
    <d v="1899-12-30T01:03:50"/>
    <d v="1899-12-30T01:06:16"/>
    <d v="1899-12-30T01:05:03"/>
    <n v="136"/>
    <d v="1899-12-30T00:06:30"/>
    <n v="2.5"/>
    <n v="1.5"/>
    <n v="3.5"/>
    <x v="0"/>
    <n v="0.25"/>
    <n v="0.25"/>
    <n v="0.5"/>
    <n v="9.0666666666666673E-2"/>
    <n v="0"/>
    <n v="0"/>
    <n v="0"/>
    <n v="2.8406666666666665"/>
    <d v="2022-02-05T00:00:00"/>
    <n v="1"/>
    <s v="Road"/>
  </r>
  <r>
    <x v="29"/>
    <s v="F"/>
    <n v="4"/>
    <n v="12.04"/>
    <d v="1899-12-30T01:08:59"/>
    <d v="1899-12-30T02:07:15"/>
    <d v="1899-12-30T01:38:07"/>
    <n v="275"/>
    <d v="1899-12-30T00:08:09"/>
    <n v="3.01"/>
    <n v="1"/>
    <n v="3.5"/>
    <x v="1"/>
    <n v="0.25"/>
    <n v="0.5"/>
    <n v="0.25"/>
    <n v="0.18333333333333332"/>
    <n v="0"/>
    <n v="0"/>
    <n v="0"/>
    <n v="2.3108333333333331"/>
    <d v="2022-02-05T00:00:00"/>
    <n v="1"/>
    <s v="Trail"/>
  </r>
  <r>
    <x v="30"/>
    <s v="M"/>
    <n v="4"/>
    <n v="7.07"/>
    <d v="1899-12-30T00:37:44"/>
    <d v="1899-12-30T00:37:59"/>
    <d v="1899-12-30T00:37:52"/>
    <n v="30"/>
    <d v="1899-12-30T00:05:21"/>
    <n v="1.6833333333333333"/>
    <n v="2"/>
    <n v="1.5"/>
    <x v="1"/>
    <n v="0.25"/>
    <n v="0.5"/>
    <n v="0.25"/>
    <n v="0"/>
    <n v="0"/>
    <n v="0"/>
    <n v="0"/>
    <n v="1.7958333333333334"/>
    <d v="2022-02-04T00:00:00"/>
    <n v="1"/>
    <s v="Road"/>
  </r>
  <r>
    <x v="31"/>
    <s v="M"/>
    <n v="4"/>
    <n v="21.55"/>
    <d v="1899-12-30T02:02:47"/>
    <d v="1899-12-30T02:44:10"/>
    <d v="1899-12-30T02:23:28"/>
    <n v="52"/>
    <d v="1899-12-30T00:06:39"/>
    <n v="5"/>
    <n v="1"/>
    <n v="2.5"/>
    <x v="2"/>
    <n v="0.5"/>
    <n v="0.25"/>
    <n v="0.25"/>
    <n v="3.4666666666666665E-2"/>
    <n v="0"/>
    <n v="0"/>
    <n v="0"/>
    <n v="3.4096666666666668"/>
    <d v="2022-02-04T00:00:00"/>
    <n v="1"/>
    <s v="Trail"/>
  </r>
  <r>
    <x v="33"/>
    <s v="M"/>
    <n v="4"/>
    <n v="16.03"/>
    <d v="1899-12-30T01:34:06"/>
    <d v="1899-12-30T02:34:07"/>
    <d v="1899-12-30T02:04:06"/>
    <n v="58"/>
    <d v="1899-12-30T00:07:45"/>
    <n v="3.8166666666666669"/>
    <n v="1"/>
    <n v="2"/>
    <x v="1"/>
    <n v="0.25"/>
    <n v="0.5"/>
    <n v="0.25"/>
    <n v="3.8666666666666669E-2"/>
    <n v="0"/>
    <n v="0"/>
    <n v="0"/>
    <n v="1.9928333333333332"/>
    <d v="2022-02-06T00:00:00"/>
    <n v="1"/>
    <e v="#N/A"/>
  </r>
  <r>
    <x v="1"/>
    <s v="M"/>
    <n v="5"/>
    <n v="10"/>
    <d v="1899-12-30T00:35:22"/>
    <d v="1899-12-30T00:35:22"/>
    <d v="1899-12-30T00:35:22"/>
    <n v="54"/>
    <d v="1899-12-30T00:03:32"/>
    <n v="2.3809523809523809"/>
    <n v="5"/>
    <n v="3.5"/>
    <x v="1"/>
    <n v="0.25"/>
    <n v="0.5"/>
    <n v="0.25"/>
    <n v="3.5999999999999997E-2"/>
    <n v="0"/>
    <n v="3.1500000000000004"/>
    <n v="0"/>
    <n v="7.1562380952380957"/>
    <d v="2022-02-10T00:00:00"/>
    <n v="1"/>
    <s v="Road"/>
  </r>
  <r>
    <x v="22"/>
    <s v="M"/>
    <n v="5"/>
    <n v="35.79"/>
    <d v="1899-12-30T04:34:39"/>
    <d v="1899-12-30T05:28:47"/>
    <d v="1899-12-30T05:01:43"/>
    <n v="1526"/>
    <d v="1899-12-30T00:08:26"/>
    <n v="5"/>
    <n v="0"/>
    <n v="4.5"/>
    <x v="0"/>
    <n v="0.25"/>
    <n v="0.25"/>
    <n v="0.5"/>
    <n v="1.0173333333333334"/>
    <n v="0.7"/>
    <n v="0"/>
    <n v="0"/>
    <n v="5.2173333333333334"/>
    <d v="2022-02-13T00:00:00"/>
    <n v="1"/>
    <s v="Trail"/>
  </r>
  <r>
    <x v="26"/>
    <s v="M"/>
    <n v="5"/>
    <n v="24.11"/>
    <d v="1899-12-30T03:12:18"/>
    <d v="1899-12-30T03:41:52"/>
    <d v="1899-12-30T03:27:05"/>
    <n v="1089"/>
    <d v="1899-12-30T00:08:35"/>
    <n v="5"/>
    <n v="0"/>
    <n v="4.5"/>
    <x v="0"/>
    <n v="0.25"/>
    <n v="0.25"/>
    <n v="0.5"/>
    <n v="0.72599999999999998"/>
    <n v="0.1"/>
    <n v="0"/>
    <n v="0"/>
    <n v="4.3259999999999996"/>
    <d v="2022-02-13T00:00:00"/>
    <n v="1"/>
    <s v="Trail"/>
  </r>
  <r>
    <x v="17"/>
    <s v="M"/>
    <n v="5"/>
    <n v="6.4"/>
    <d v="1899-12-30T00:25:02"/>
    <d v="1899-12-30T00:25:02"/>
    <d v="1899-12-30T00:25:02"/>
    <n v="11"/>
    <d v="1899-12-30T00:03:55"/>
    <n v="1.5238095238095237"/>
    <n v="5"/>
    <n v="2.5"/>
    <x v="1"/>
    <n v="0.25"/>
    <n v="0.5"/>
    <n v="0.25"/>
    <n v="0"/>
    <n v="0"/>
    <n v="0.45000000000000007"/>
    <n v="0"/>
    <n v="3.9559523809523811"/>
    <d v="2022-02-09T00:00:00"/>
    <n v="1"/>
    <s v="Trail"/>
  </r>
  <r>
    <x v="27"/>
    <s v="M"/>
    <n v="5"/>
    <n v="21.22"/>
    <d v="1899-12-30T01:39:59"/>
    <d v="1899-12-30T01:44:18"/>
    <d v="1899-12-30T01:42:09"/>
    <n v="58"/>
    <d v="1899-12-30T00:04:49"/>
    <n v="5"/>
    <n v="3"/>
    <n v="2.5"/>
    <x v="2"/>
    <n v="0.5"/>
    <n v="0.25"/>
    <n v="0.25"/>
    <n v="3.8666666666666669E-2"/>
    <n v="0"/>
    <n v="0"/>
    <n v="0"/>
    <n v="3.9136666666666668"/>
    <d v="2022-02-13T00:00:00"/>
    <n v="1"/>
    <s v="Trail"/>
  </r>
  <r>
    <x v="2"/>
    <s v="M"/>
    <n v="5"/>
    <n v="20.91"/>
    <d v="1899-12-30T03:48:53"/>
    <d v="1899-12-30T05:24:27"/>
    <d v="1899-12-30T04:36:40"/>
    <n v="1194"/>
    <d v="1899-12-30T00:13:14"/>
    <n v="4.9785714285714286"/>
    <n v="0"/>
    <n v="4.75"/>
    <x v="0"/>
    <n v="0.25"/>
    <n v="0.25"/>
    <n v="0.5"/>
    <n v="0.79600000000000004"/>
    <n v="0"/>
    <n v="0"/>
    <n v="0"/>
    <n v="4.4156428571428572"/>
    <d v="2022-02-11T00:00:00"/>
    <n v="1"/>
    <s v="Trail"/>
  </r>
  <r>
    <x v="15"/>
    <s v="M"/>
    <n v="5"/>
    <n v="11.24"/>
    <d v="1899-12-30T00:53:32"/>
    <d v="1899-12-30T01:01:47"/>
    <d v="1899-12-30T00:57:39"/>
    <n v="4"/>
    <d v="1899-12-30T00:05:08"/>
    <n v="2.676190476190476"/>
    <n v="2.5"/>
    <n v="1.5"/>
    <x v="0"/>
    <n v="0.25"/>
    <n v="0.25"/>
    <n v="0.5"/>
    <n v="0"/>
    <n v="0"/>
    <n v="0"/>
    <n v="0"/>
    <n v="2.0440476190476189"/>
    <d v="2022-02-13T00:00:00"/>
    <n v="1"/>
    <s v="Road"/>
  </r>
  <r>
    <x v="12"/>
    <s v="M"/>
    <n v="5"/>
    <n v="36.090000000000003"/>
    <d v="1899-12-30T04:48:58"/>
    <d v="1899-12-30T05:29:32"/>
    <d v="1899-12-30T05:09:15"/>
    <n v="1573"/>
    <d v="1899-12-30T00:08:34"/>
    <n v="5"/>
    <n v="0"/>
    <n v="4.5"/>
    <x v="2"/>
    <n v="0.5"/>
    <n v="0.25"/>
    <n v="0.25"/>
    <n v="1.0486666666666666"/>
    <n v="0.7"/>
    <n v="0"/>
    <n v="0"/>
    <n v="5.3736666666666668"/>
    <d v="2022-02-13T00:00:00"/>
    <n v="1"/>
    <s v="Road"/>
  </r>
  <r>
    <x v="16"/>
    <s v="F"/>
    <n v="5"/>
    <n v="20.309999999999999"/>
    <d v="1899-12-30T01:43:54"/>
    <d v="1899-12-30T01:43:54"/>
    <d v="1899-12-30T01:43:54"/>
    <n v="479"/>
    <d v="1899-12-30T00:05:07"/>
    <n v="5"/>
    <n v="3.5"/>
    <n v="4.5"/>
    <x v="2"/>
    <n v="0.5"/>
    <n v="0.25"/>
    <n v="0.25"/>
    <n v="0.31933333333333336"/>
    <n v="0"/>
    <n v="0"/>
    <n v="0"/>
    <n v="4.8193333333333337"/>
    <d v="2022-02-12T00:00:00"/>
    <n v="1"/>
    <s v="Trail"/>
  </r>
  <r>
    <x v="9"/>
    <s v="F"/>
    <n v="5"/>
    <n v="18.010000000000002"/>
    <d v="1899-12-30T01:36:16"/>
    <d v="1899-12-30T01:39:39"/>
    <d v="1899-12-30T01:37:57"/>
    <n v="49"/>
    <d v="1899-12-30T00:05:26"/>
    <n v="4.5025000000000004"/>
    <n v="3"/>
    <n v="4"/>
    <x v="0"/>
    <n v="0.25"/>
    <n v="0.25"/>
    <n v="0.5"/>
    <n v="0"/>
    <n v="0"/>
    <n v="0"/>
    <n v="0"/>
    <n v="3.8756250000000003"/>
    <d v="2022-02-13T00:00:00"/>
    <n v="1"/>
    <s v="Trail"/>
  </r>
  <r>
    <x v="4"/>
    <s v="M"/>
    <n v="5"/>
    <n v="13.16"/>
    <d v="1899-12-30T01:05:41"/>
    <d v="1899-12-30T01:10:52"/>
    <d v="1899-12-30T01:08:17"/>
    <n v="41"/>
    <d v="1899-12-30T00:05:11"/>
    <n v="3.1333333333333333"/>
    <n v="2.5"/>
    <n v="0.5"/>
    <x v="0"/>
    <n v="0.25"/>
    <n v="0.25"/>
    <n v="0.5"/>
    <n v="0"/>
    <n v="0"/>
    <n v="0"/>
    <n v="0"/>
    <n v="1.6583333333333332"/>
    <d v="2022-02-13T00:00:00"/>
    <n v="1"/>
    <s v="Road"/>
  </r>
  <r>
    <x v="13"/>
    <s v="M"/>
    <n v="5"/>
    <n v="16.739999999999998"/>
    <d v="1899-12-30T02:00:17"/>
    <d v="1899-12-30T02:33:54"/>
    <d v="1899-12-30T02:17:05"/>
    <n v="602"/>
    <d v="1899-12-30T00:08:11"/>
    <n v="3.9857142857142853"/>
    <n v="0"/>
    <n v="2.5"/>
    <x v="0"/>
    <n v="0.25"/>
    <n v="0.25"/>
    <n v="0.5"/>
    <n v="0.40133333333333332"/>
    <n v="0"/>
    <n v="0"/>
    <n v="0.4"/>
    <n v="3.0477619047619045"/>
    <d v="2022-02-13T00:00:00"/>
    <n v="1"/>
    <s v="Road"/>
  </r>
  <r>
    <x v="0"/>
    <s v="M"/>
    <n v="5"/>
    <n v="34.340000000000003"/>
    <d v="1899-12-30T03:06:59"/>
    <d v="1899-12-30T03:08:01"/>
    <d v="1899-12-30T03:07:30"/>
    <n v="34"/>
    <d v="1899-12-30T00:05:28"/>
    <n v="5"/>
    <n v="2"/>
    <n v="3"/>
    <x v="2"/>
    <n v="0.5"/>
    <n v="0.25"/>
    <n v="0.25"/>
    <n v="0"/>
    <n v="0.6"/>
    <n v="0"/>
    <n v="0"/>
    <n v="4.3499999999999996"/>
    <d v="2022-02-12T00:00:00"/>
    <n v="1"/>
    <s v="Road"/>
  </r>
  <r>
    <x v="21"/>
    <s v="M"/>
    <n v="5"/>
    <n v="20.350000000000001"/>
    <d v="1899-12-30T01:44:42"/>
    <d v="1899-12-30T01:45:16"/>
    <d v="1899-12-30T01:44:59"/>
    <n v="461"/>
    <d v="1899-12-30T00:05:10"/>
    <n v="4.8452380952380958"/>
    <n v="2.5"/>
    <n v="2.5"/>
    <x v="0"/>
    <n v="0.25"/>
    <n v="0.25"/>
    <n v="0.5"/>
    <n v="0.30733333333333335"/>
    <n v="0"/>
    <n v="0"/>
    <n v="0"/>
    <n v="3.393642857142857"/>
    <d v="2022-02-12T00:00:00"/>
    <n v="1"/>
    <s v="Trail"/>
  </r>
  <r>
    <x v="6"/>
    <s v="F"/>
    <n v="5"/>
    <n v="5.01"/>
    <d v="1899-12-30T00:25:55"/>
    <d v="1899-12-30T00:25:55"/>
    <d v="1899-12-30T00:25:55"/>
    <n v="20"/>
    <d v="1899-12-30T00:05:10"/>
    <n v="1.2524999999999999"/>
    <n v="3.5"/>
    <n v="3.5"/>
    <x v="0"/>
    <n v="0.25"/>
    <n v="0.25"/>
    <n v="0.5"/>
    <n v="0"/>
    <n v="0"/>
    <n v="0"/>
    <n v="0"/>
    <n v="2.9381249999999999"/>
    <d v="2022-02-13T00:00:00"/>
    <n v="1"/>
    <s v="Trail"/>
  </r>
  <r>
    <x v="20"/>
    <s v="M"/>
    <n v="5"/>
    <n v="4.03"/>
    <d v="1899-12-30T00:25:20"/>
    <d v="1899-12-30T00:26:01"/>
    <d v="1899-12-30T00:25:41"/>
    <n v="24"/>
    <d v="1899-12-30T00:06:22"/>
    <n v="0.95952380952380956"/>
    <n v="1"/>
    <n v="4"/>
    <x v="0"/>
    <n v="0.25"/>
    <n v="0.25"/>
    <n v="0.5"/>
    <n v="0"/>
    <n v="0"/>
    <n v="0"/>
    <n v="0"/>
    <n v="2.4898809523809522"/>
    <d v="2022-02-13T00:00:00"/>
    <n v="1"/>
    <s v="Trail"/>
  </r>
  <r>
    <x v="11"/>
    <s v="F"/>
    <n v="5"/>
    <n v="7.32"/>
    <d v="1899-12-30T00:47:19"/>
    <d v="1899-12-30T00:49:20"/>
    <d v="1899-12-30T00:48:20"/>
    <n v="13"/>
    <d v="1899-12-30T00:06:36"/>
    <n v="1.83"/>
    <n v="1"/>
    <n v="3.5"/>
    <x v="0"/>
    <n v="0.25"/>
    <n v="0.25"/>
    <n v="0.5"/>
    <n v="0"/>
    <n v="0"/>
    <n v="0"/>
    <n v="0"/>
    <n v="2.4575"/>
    <d v="2022-02-09T00:00:00"/>
    <n v="1"/>
    <s v="Trail"/>
  </r>
  <r>
    <x v="8"/>
    <s v="F"/>
    <n v="5"/>
    <n v="8.18"/>
    <d v="1899-12-30T00:58:11"/>
    <d v="1899-12-30T01:21:27"/>
    <d v="1899-12-30T01:09:49"/>
    <n v="0"/>
    <d v="1899-12-30T00:08:32"/>
    <n v="2.0449999999999999"/>
    <n v="1"/>
    <n v="2.5"/>
    <x v="0"/>
    <n v="0.25"/>
    <n v="0.25"/>
    <n v="0.5"/>
    <n v="0"/>
    <n v="0"/>
    <n v="0"/>
    <n v="0.7"/>
    <n v="2.7112499999999997"/>
    <d v="2022-02-11T00:00:00"/>
    <n v="1"/>
    <s v="Road"/>
  </r>
  <r>
    <x v="10"/>
    <s v="M"/>
    <n v="5"/>
    <n v="12.02"/>
    <d v="1899-12-30T01:24:24"/>
    <d v="1899-12-30T01:37:48"/>
    <d v="1899-12-30T01:31:06"/>
    <n v="514"/>
    <d v="1899-12-30T00:07:35"/>
    <n v="2.8619047619047615"/>
    <n v="1"/>
    <n v="4"/>
    <x v="0"/>
    <n v="0.25"/>
    <n v="0.25"/>
    <n v="0.5"/>
    <n v="0.34266666666666667"/>
    <n v="0"/>
    <n v="0"/>
    <n v="0"/>
    <n v="3.3081428571428568"/>
    <d v="2022-02-13T00:00:00"/>
    <n v="1"/>
    <s v="Trail"/>
  </r>
  <r>
    <x v="19"/>
    <s v="F"/>
    <n v="5"/>
    <n v="11"/>
    <d v="1899-12-30T01:11:15"/>
    <d v="1899-12-30T01:14:01"/>
    <d v="1899-12-30T01:12:38"/>
    <n v="220"/>
    <d v="1899-12-30T00:06:36"/>
    <n v="2.75"/>
    <n v="1"/>
    <n v="3.5"/>
    <x v="0"/>
    <n v="0.25"/>
    <n v="0.25"/>
    <n v="0.5"/>
    <n v="0.14666666666666667"/>
    <n v="0"/>
    <n v="0"/>
    <n v="0"/>
    <n v="2.8341666666666665"/>
    <d v="2022-02-12T00:00:00"/>
    <n v="1"/>
    <s v="Trail"/>
  </r>
  <r>
    <x v="18"/>
    <s v="M"/>
    <n v="5"/>
    <n v="5.78"/>
    <d v="1899-12-30T00:25:34"/>
    <d v="1899-12-30T00:25:56"/>
    <d v="1899-12-30T00:25:45"/>
    <n v="26"/>
    <d v="1899-12-30T00:04:27"/>
    <n v="1.3761904761904762"/>
    <n v="4"/>
    <n v="0.5"/>
    <x v="1"/>
    <n v="0.25"/>
    <n v="0.5"/>
    <n v="0.25"/>
    <n v="0"/>
    <n v="0"/>
    <n v="0"/>
    <n v="0"/>
    <n v="2.4690476190476192"/>
    <d v="2022-02-11T00:00:00"/>
    <n v="1"/>
    <s v="Road"/>
  </r>
  <r>
    <x v="14"/>
    <s v="M"/>
    <n v="5"/>
    <n v="25"/>
    <d v="1899-12-30T02:31:34"/>
    <d v="1899-12-30T02:44:01"/>
    <d v="1899-12-30T02:37:47"/>
    <n v="163"/>
    <d v="1899-12-30T00:06:19"/>
    <n v="5"/>
    <n v="1"/>
    <n v="3.5"/>
    <x v="2"/>
    <n v="0.5"/>
    <n v="0.25"/>
    <n v="0.25"/>
    <n v="0.10866666666666666"/>
    <n v="0.2"/>
    <n v="0"/>
    <n v="0"/>
    <n v="3.9336666666666669"/>
    <d v="2022-02-12T00:00:00"/>
    <n v="1"/>
    <s v="Road"/>
  </r>
  <r>
    <x v="5"/>
    <s v="M"/>
    <n v="5"/>
    <n v="12.24"/>
    <d v="1899-12-30T00:58:26"/>
    <d v="1899-12-30T01:01:29"/>
    <d v="1899-12-30T00:59:57"/>
    <n v="16"/>
    <d v="1899-12-30T00:04:54"/>
    <n v="2.9142857142857141"/>
    <n v="3"/>
    <n v="0.5"/>
    <x v="0"/>
    <n v="0.25"/>
    <n v="0.25"/>
    <n v="0.5"/>
    <n v="0"/>
    <n v="0"/>
    <n v="0"/>
    <n v="0"/>
    <n v="1.7285714285714286"/>
    <d v="2022-02-10T00:00:00"/>
    <n v="1"/>
    <e v="#N/A"/>
  </r>
  <r>
    <x v="7"/>
    <s v="F"/>
    <n v="5"/>
    <n v="21"/>
    <d v="1899-12-30T02:21:09"/>
    <d v="1899-12-30T02:35:33"/>
    <d v="1899-12-30T02:28:21"/>
    <n v="90"/>
    <d v="1899-12-30T00:07:04"/>
    <n v="5"/>
    <n v="1"/>
    <n v="3"/>
    <x v="2"/>
    <n v="0.5"/>
    <n v="0.25"/>
    <n v="0.25"/>
    <n v="0.06"/>
    <n v="0"/>
    <n v="0"/>
    <n v="0"/>
    <n v="3.56"/>
    <d v="2022-02-13T00:00:00"/>
    <n v="1"/>
    <s v="Road"/>
  </r>
  <r>
    <x v="3"/>
    <s v="F"/>
    <n v="5"/>
    <n v="12.2"/>
    <d v="1899-12-30T01:11:43"/>
    <d v="1899-12-30T01:12:31"/>
    <d v="1899-12-30T01:12:07"/>
    <n v="61"/>
    <d v="1899-12-30T00:05:55"/>
    <n v="3.05"/>
    <n v="2"/>
    <n v="3"/>
    <x v="0"/>
    <n v="0.25"/>
    <n v="0.25"/>
    <n v="0.5"/>
    <n v="4.0666666666666663E-2"/>
    <n v="0"/>
    <n v="0"/>
    <n v="0"/>
    <n v="2.8031666666666668"/>
    <d v="2022-02-11T00:00:00"/>
    <n v="1"/>
    <e v="#N/A"/>
  </r>
  <r>
    <x v="29"/>
    <s v="F"/>
    <n v="5"/>
    <n v="12.06"/>
    <d v="1899-12-30T01:33:21"/>
    <d v="1899-12-30T01:40:24"/>
    <d v="1899-12-30T01:36:52"/>
    <n v="462"/>
    <d v="1899-12-30T00:08:02"/>
    <n v="3.0150000000000001"/>
    <n v="1"/>
    <n v="4"/>
    <x v="0"/>
    <n v="0.25"/>
    <n v="0.25"/>
    <n v="0.5"/>
    <n v="0.308"/>
    <n v="0"/>
    <n v="0"/>
    <n v="0"/>
    <n v="3.31175"/>
    <d v="2022-02-13T00:00:00"/>
    <n v="1"/>
    <s v="Trail"/>
  </r>
  <r>
    <x v="30"/>
    <s v="M"/>
    <n v="5"/>
    <n v="14.16"/>
    <d v="1899-12-30T01:09:44"/>
    <d v="1899-12-30T01:10:04"/>
    <d v="1899-12-30T01:09:54"/>
    <n v="34"/>
    <d v="1899-12-30T00:04:56"/>
    <n v="3.3714285714285714"/>
    <n v="3"/>
    <n v="2"/>
    <x v="2"/>
    <n v="0.5"/>
    <n v="0.25"/>
    <n v="0.25"/>
    <n v="0"/>
    <n v="0"/>
    <n v="0"/>
    <n v="0"/>
    <n v="2.9357142857142859"/>
    <d v="2022-02-11T00:00:00"/>
    <n v="1"/>
    <s v="Road"/>
  </r>
  <r>
    <x v="33"/>
    <s v="M"/>
    <n v="5"/>
    <n v="11.65"/>
    <d v="1899-12-30T01:07:42"/>
    <d v="1899-12-30T01:28:13"/>
    <d v="1899-12-30T01:17:58"/>
    <n v="41"/>
    <d v="1899-12-30T00:06:42"/>
    <n v="2.7738095238095237"/>
    <n v="1"/>
    <n v="2"/>
    <x v="0"/>
    <n v="0.25"/>
    <n v="0.25"/>
    <n v="0.5"/>
    <n v="0"/>
    <n v="0"/>
    <n v="0"/>
    <n v="0"/>
    <n v="1.9434523809523809"/>
    <d v="2022-02-10T00:00:00"/>
    <n v="1"/>
    <e v="#N/A"/>
  </r>
  <r>
    <x v="25"/>
    <s v="M"/>
    <n v="5"/>
    <n v="21.11"/>
    <d v="1899-12-30T02:28:40"/>
    <d v="1899-12-30T02:29:44"/>
    <d v="1899-12-30T02:29:12"/>
    <n v="43"/>
    <d v="1899-12-30T00:07:04"/>
    <n v="5"/>
    <n v="1"/>
    <n v="2.75"/>
    <x v="0"/>
    <n v="0.25"/>
    <n v="0.25"/>
    <n v="0.5"/>
    <n v="0"/>
    <n v="0"/>
    <n v="0"/>
    <n v="0"/>
    <n v="2.875"/>
    <d v="2022-02-13T00:00:00"/>
    <n v="1"/>
    <e v="#N/A"/>
  </r>
  <r>
    <x v="1"/>
    <s v="M"/>
    <n v="6"/>
    <n v="30.01"/>
    <d v="1899-12-30T02:10:23"/>
    <d v="1899-12-30T02:10:27"/>
    <d v="1899-12-30T02:10:25"/>
    <n v="285"/>
    <d v="1899-12-30T00:04:21"/>
    <n v="5"/>
    <n v="4"/>
    <n v="3.75"/>
    <x v="0"/>
    <n v="0.25"/>
    <n v="0.25"/>
    <n v="0.5"/>
    <n v="0.19"/>
    <n v="0.4"/>
    <n v="0"/>
    <n v="0"/>
    <n v="4.7150000000000007"/>
    <d v="2022-02-15T00:00:00"/>
    <n v="1"/>
    <s v="Road"/>
  </r>
  <r>
    <x v="22"/>
    <s v="M"/>
    <n v="6"/>
    <n v="21"/>
    <d v="1899-12-30T01:37:52"/>
    <d v="1899-12-30T01:39:00"/>
    <d v="1899-12-30T01:38:26"/>
    <n v="69"/>
    <d v="1899-12-30T00:04:41"/>
    <n v="5"/>
    <n v="3.5"/>
    <n v="3.75"/>
    <x v="1"/>
    <n v="0.25"/>
    <n v="0.5"/>
    <n v="0.25"/>
    <n v="4.5999999999999999E-2"/>
    <n v="0"/>
    <n v="0"/>
    <n v="0"/>
    <n v="3.9834999999999998"/>
    <d v="2022-02-20T00:00:00"/>
    <n v="1"/>
    <s v="Trail"/>
  </r>
  <r>
    <x v="26"/>
    <s v="M"/>
    <n v="6"/>
    <n v="10.02"/>
    <d v="1899-12-30T00:49:25"/>
    <d v="1899-12-30T00:49:30"/>
    <d v="1899-12-30T00:49:27"/>
    <n v="36"/>
    <d v="1899-12-30T00:04:56"/>
    <n v="2.3857142857142857"/>
    <n v="3"/>
    <n v="4"/>
    <x v="1"/>
    <n v="0.25"/>
    <n v="0.5"/>
    <n v="0.25"/>
    <n v="0"/>
    <n v="0"/>
    <n v="0"/>
    <n v="0"/>
    <n v="3.0964285714285715"/>
    <d v="2022-02-20T00:00:00"/>
    <n v="1"/>
    <s v="Trail"/>
  </r>
  <r>
    <x v="17"/>
    <s v="M"/>
    <n v="6"/>
    <n v="20.45"/>
    <d v="1899-12-30T02:00:40"/>
    <d v="1899-12-30T02:03:12"/>
    <d v="1899-12-30T02:01:56"/>
    <n v="637"/>
    <d v="1899-12-30T00:05:58"/>
    <n v="4.8690476190476186"/>
    <n v="1.5"/>
    <n v="3.5"/>
    <x v="0"/>
    <n v="0.25"/>
    <n v="0.25"/>
    <n v="0.5"/>
    <n v="0.42466666666666669"/>
    <n v="0"/>
    <n v="0"/>
    <n v="0"/>
    <n v="3.7669285714285712"/>
    <d v="2022-02-20T00:00:00"/>
    <n v="1"/>
    <s v="Trail"/>
  </r>
  <r>
    <x v="27"/>
    <s v="M"/>
    <n v="6"/>
    <n v="35.590000000000003"/>
    <d v="1899-12-30T03:14:21"/>
    <d v="1899-12-30T03:37:33"/>
    <d v="1899-12-30T03:25:57"/>
    <n v="134"/>
    <d v="1899-12-30T00:05:47"/>
    <n v="5"/>
    <n v="1.5"/>
    <n v="3.5"/>
    <x v="2"/>
    <n v="0.5"/>
    <n v="0.25"/>
    <n v="0.25"/>
    <n v="8.9333333333333334E-2"/>
    <n v="0.7"/>
    <n v="0"/>
    <n v="0"/>
    <n v="4.5393333333333334"/>
    <d v="2022-02-19T00:00:00"/>
    <n v="1"/>
    <s v="Trail"/>
  </r>
  <r>
    <x v="2"/>
    <s v="M"/>
    <n v="6"/>
    <n v="13.53"/>
    <d v="1899-12-30T01:10:24"/>
    <d v="1899-12-30T01:10:24"/>
    <d v="1899-12-30T01:10:24"/>
    <n v="84"/>
    <d v="1899-12-30T00:05:12"/>
    <n v="3.2214285714285711"/>
    <n v="2.5"/>
    <n v="3.25"/>
    <x v="1"/>
    <n v="0.25"/>
    <n v="0.5"/>
    <n v="0.25"/>
    <n v="5.6000000000000001E-2"/>
    <n v="0"/>
    <n v="0"/>
    <n v="0"/>
    <n v="2.9238571428571429"/>
    <d v="2022-02-16T00:00:00"/>
    <n v="1"/>
    <s v="Trail"/>
  </r>
  <r>
    <x v="12"/>
    <s v="M"/>
    <n v="6"/>
    <n v="34.700000000000003"/>
    <d v="1899-12-30T06:06:21"/>
    <d v="1899-12-30T06:54:24"/>
    <d v="1899-12-30T06:30:22"/>
    <n v="1577"/>
    <d v="1899-12-30T00:11:15"/>
    <n v="5"/>
    <n v="0"/>
    <n v="4.5"/>
    <x v="0"/>
    <n v="0.25"/>
    <n v="0.25"/>
    <n v="0.5"/>
    <n v="1.0513333333333332"/>
    <n v="0.6"/>
    <n v="0"/>
    <n v="0"/>
    <n v="5.1513333333333327"/>
    <d v="2022-02-20T00:00:00"/>
    <n v="1"/>
    <s v="Road"/>
  </r>
  <r>
    <x v="16"/>
    <s v="F"/>
    <n v="6"/>
    <n v="8"/>
    <d v="1899-12-30T00:35:18"/>
    <d v="1899-12-30T00:35:18"/>
    <d v="1899-12-30T00:35:18"/>
    <n v="0"/>
    <d v="1899-12-30T00:04:25"/>
    <n v="2"/>
    <n v="5"/>
    <n v="2.75"/>
    <x v="1"/>
    <n v="0.25"/>
    <n v="0.5"/>
    <n v="0.25"/>
    <n v="0"/>
    <n v="0"/>
    <n v="0.45000000000000007"/>
    <n v="0"/>
    <n v="4.1375000000000002"/>
    <d v="2022-02-14T00:00:00"/>
    <n v="1"/>
    <s v="Trail"/>
  </r>
  <r>
    <x v="9"/>
    <s v="F"/>
    <n v="6"/>
    <n v="17.010000000000002"/>
    <d v="1899-12-30T01:52:02"/>
    <d v="1899-12-30T01:55:21"/>
    <d v="1899-12-30T01:53:41"/>
    <n v="563"/>
    <d v="1899-12-30T00:06:41"/>
    <n v="4.2525000000000004"/>
    <n v="1"/>
    <n v="3.25"/>
    <x v="2"/>
    <n v="0.5"/>
    <n v="0.25"/>
    <n v="0.25"/>
    <n v="0.37533333333333335"/>
    <n v="0"/>
    <n v="0"/>
    <n v="0"/>
    <n v="3.5640833333333335"/>
    <d v="2022-02-20T00:00:00"/>
    <n v="1"/>
    <s v="Trail"/>
  </r>
  <r>
    <x v="0"/>
    <s v="M"/>
    <n v="6"/>
    <n v="14.01"/>
    <d v="1899-12-30T01:08:39"/>
    <d v="1899-12-30T01:08:58"/>
    <d v="1899-12-30T01:08:49"/>
    <n v="28"/>
    <d v="1899-12-30T00:04:55"/>
    <n v="3.3357142857142854"/>
    <n v="3"/>
    <n v="3.5"/>
    <x v="0"/>
    <n v="0.25"/>
    <n v="0.25"/>
    <n v="0.5"/>
    <n v="0"/>
    <n v="0"/>
    <n v="0"/>
    <n v="0"/>
    <n v="3.3339285714285714"/>
    <d v="2022-02-16T00:00:00"/>
    <n v="1"/>
    <s v="Road"/>
  </r>
  <r>
    <x v="15"/>
    <s v="M"/>
    <n v="6"/>
    <n v="6.93"/>
    <d v="1899-12-30T00:36:59"/>
    <d v="1899-12-30T00:38:03"/>
    <d v="1899-12-30T00:37:31"/>
    <n v="2"/>
    <d v="1899-12-30T00:05:25"/>
    <n v="1.65"/>
    <n v="2"/>
    <n v="2"/>
    <x v="2"/>
    <n v="0.5"/>
    <n v="0.25"/>
    <n v="0.25"/>
    <n v="0"/>
    <n v="0"/>
    <n v="0"/>
    <n v="0"/>
    <n v="1.825"/>
    <d v="2022-02-20T00:00:00"/>
    <n v="1"/>
    <s v="Road"/>
  </r>
  <r>
    <x v="13"/>
    <s v="M"/>
    <n v="6"/>
    <n v="11.15"/>
    <d v="1899-12-30T01:03:55"/>
    <d v="1899-12-30T01:06:45"/>
    <d v="1899-12-30T01:05:20"/>
    <n v="183"/>
    <d v="1899-12-30T00:05:52"/>
    <n v="2.6547619047619047"/>
    <n v="1.5"/>
    <n v="2"/>
    <x v="1"/>
    <n v="0.25"/>
    <n v="0.5"/>
    <n v="0.25"/>
    <n v="0.122"/>
    <n v="0"/>
    <n v="0"/>
    <n v="0.4"/>
    <n v="2.4356904761904761"/>
    <d v="2022-02-16T00:00:00"/>
    <n v="1"/>
    <s v="Road"/>
  </r>
  <r>
    <x v="6"/>
    <s v="F"/>
    <n v="6"/>
    <n v="5.01"/>
    <d v="1899-12-30T00:26:33"/>
    <d v="1899-12-30T00:26:33"/>
    <d v="1899-12-30T00:26:33"/>
    <n v="20"/>
    <d v="1899-12-30T00:05:18"/>
    <n v="1.2524999999999999"/>
    <n v="3"/>
    <n v="2.5"/>
    <x v="1"/>
    <n v="0.25"/>
    <n v="0.5"/>
    <n v="0.25"/>
    <n v="0"/>
    <n v="0"/>
    <n v="0"/>
    <n v="0"/>
    <n v="2.4381249999999999"/>
    <d v="2022-02-19T00:00:00"/>
    <n v="1"/>
    <s v="Trail"/>
  </r>
  <r>
    <x v="4"/>
    <s v="M"/>
    <n v="6"/>
    <n v="13.02"/>
    <d v="1899-12-30T01:10:47"/>
    <d v="1899-12-30T01:12:47"/>
    <d v="1899-12-30T01:11:47"/>
    <n v="64"/>
    <d v="1899-12-30T00:05:31"/>
    <n v="3.0999999999999996"/>
    <n v="2"/>
    <n v="0"/>
    <x v="2"/>
    <n v="0.5"/>
    <n v="0.25"/>
    <n v="0.25"/>
    <n v="4.2666666666666665E-2"/>
    <n v="0"/>
    <n v="0"/>
    <n v="0"/>
    <n v="2.0926666666666667"/>
    <d v="2022-02-17T00:00:00"/>
    <n v="1"/>
    <s v="Road"/>
  </r>
  <r>
    <x v="20"/>
    <s v="M"/>
    <n v="6"/>
    <n v="14"/>
    <d v="1899-12-30T02:06:50"/>
    <d v="1899-12-30T02:16:41"/>
    <d v="1899-12-30T02:11:45"/>
    <n v="505"/>
    <d v="1899-12-30T00:09:25"/>
    <n v="3.333333333333333"/>
    <n v="0"/>
    <n v="3.75"/>
    <x v="2"/>
    <n v="0.5"/>
    <n v="0.25"/>
    <n v="0.25"/>
    <n v="0.33666666666666667"/>
    <n v="0"/>
    <n v="0"/>
    <n v="0"/>
    <n v="2.940833333333333"/>
    <d v="2022-02-20T00:00:00"/>
    <n v="1"/>
    <s v="Trail"/>
  </r>
  <r>
    <x v="11"/>
    <s v="F"/>
    <n v="6"/>
    <n v="7.01"/>
    <d v="1899-12-30T00:38:10"/>
    <d v="1899-12-30T00:38:10"/>
    <d v="1899-12-30T00:38:10"/>
    <n v="22"/>
    <d v="1899-12-30T00:05:27"/>
    <n v="1.7524999999999999"/>
    <n v="3"/>
    <n v="3"/>
    <x v="1"/>
    <n v="0.25"/>
    <n v="0.5"/>
    <n v="0.25"/>
    <n v="0"/>
    <n v="0"/>
    <n v="0"/>
    <n v="0"/>
    <n v="2.6881249999999999"/>
    <d v="2022-02-17T00:00:00"/>
    <n v="1"/>
    <s v="Trail"/>
  </r>
  <r>
    <x v="10"/>
    <s v="M"/>
    <n v="6"/>
    <n v="16.850000000000001"/>
    <d v="1899-12-30T01:43:54"/>
    <d v="1899-12-30T01:44:44"/>
    <d v="1899-12-30T01:44:19"/>
    <n v="39"/>
    <d v="1899-12-30T00:06:11"/>
    <n v="4.0119047619047619"/>
    <n v="1"/>
    <n v="3.5"/>
    <x v="2"/>
    <n v="0.5"/>
    <n v="0.25"/>
    <n v="0.25"/>
    <n v="0"/>
    <n v="0"/>
    <n v="0"/>
    <n v="0"/>
    <n v="3.1309523809523809"/>
    <d v="2022-02-20T00:00:00"/>
    <n v="1"/>
    <s v="Trail"/>
  </r>
  <r>
    <x v="14"/>
    <s v="M"/>
    <n v="6"/>
    <n v="13.01"/>
    <d v="1899-12-30T01:07:31"/>
    <d v="1899-12-30T01:08:08"/>
    <d v="1899-12-30T01:07:49"/>
    <n v="35"/>
    <d v="1899-12-30T00:05:13"/>
    <n v="3.0976190476190473"/>
    <n v="2.5"/>
    <n v="3.25"/>
    <x v="1"/>
    <n v="0.25"/>
    <n v="0.5"/>
    <n v="0.25"/>
    <n v="0"/>
    <n v="0"/>
    <n v="0"/>
    <n v="0"/>
    <n v="2.836904761904762"/>
    <d v="2022-02-19T00:00:00"/>
    <n v="1"/>
    <s v="Road"/>
  </r>
  <r>
    <x v="8"/>
    <s v="F"/>
    <n v="6"/>
    <n v="8.1199999999999992"/>
    <d v="1899-12-30T01:03:49"/>
    <d v="1899-12-30T01:39:20"/>
    <d v="1899-12-30T01:21:35"/>
    <n v="0"/>
    <d v="1899-12-30T00:10:03"/>
    <n v="2.0299999999999998"/>
    <n v="0"/>
    <n v="2.5"/>
    <x v="2"/>
    <n v="0.5"/>
    <n v="0.25"/>
    <n v="0.25"/>
    <n v="0"/>
    <n v="0"/>
    <n v="0"/>
    <n v="0.7"/>
    <n v="2.34"/>
    <d v="2022-02-16T00:00:00"/>
    <n v="1"/>
    <s v="Road"/>
  </r>
  <r>
    <x v="19"/>
    <s v="F"/>
    <n v="6"/>
    <n v="3.01"/>
    <d v="1899-12-30T00:14:58"/>
    <d v="1899-12-30T00:15:05"/>
    <d v="1899-12-30T00:15:01"/>
    <n v="0"/>
    <d v="1899-12-30T00:05:00"/>
    <n v="0.75249999999999995"/>
    <n v="4"/>
    <n v="0"/>
    <x v="1"/>
    <n v="0.25"/>
    <n v="0.5"/>
    <n v="0.25"/>
    <n v="0"/>
    <n v="0"/>
    <n v="0"/>
    <n v="0"/>
    <n v="2.1881249999999999"/>
    <d v="2022-02-20T00:00:00"/>
    <n v="1"/>
    <s v="Trail"/>
  </r>
  <r>
    <x v="23"/>
    <s v="M"/>
    <n v="6"/>
    <n v="15.14"/>
    <d v="1899-12-30T01:57:55"/>
    <d v="1899-12-30T01:58:09"/>
    <d v="1899-12-30T01:58:02"/>
    <n v="1033"/>
    <d v="1899-12-30T00:07:48"/>
    <n v="3.6047619047619048"/>
    <n v="1"/>
    <n v="2"/>
    <x v="2"/>
    <n v="0.5"/>
    <n v="0.25"/>
    <n v="0.25"/>
    <n v="0.68866666666666665"/>
    <n v="0"/>
    <n v="0"/>
    <n v="0"/>
    <n v="3.241047619047619"/>
    <d v="2022-02-20T00:00:00"/>
    <n v="1"/>
    <s v="Road"/>
  </r>
  <r>
    <x v="18"/>
    <s v="M"/>
    <n v="6"/>
    <n v="6.01"/>
    <d v="1899-12-30T00:26:08"/>
    <d v="1899-12-30T00:26:08"/>
    <d v="1899-12-30T00:26:08"/>
    <n v="0"/>
    <d v="1899-12-30T00:04:21"/>
    <n v="1.4309523809523808"/>
    <n v="4"/>
    <n v="0.5"/>
    <x v="1"/>
    <n v="0.25"/>
    <n v="0.5"/>
    <n v="0.25"/>
    <n v="0"/>
    <n v="0"/>
    <n v="0"/>
    <n v="0"/>
    <n v="2.4827380952380951"/>
    <d v="2022-02-18T00:00:00"/>
    <n v="1"/>
    <s v="Road"/>
  </r>
  <r>
    <x v="7"/>
    <s v="F"/>
    <n v="6"/>
    <n v="10"/>
    <d v="1899-12-30T01:03:17"/>
    <d v="1899-12-30T01:06:11"/>
    <d v="1899-12-30T01:04:44"/>
    <n v="8"/>
    <d v="1899-12-30T00:06:28"/>
    <n v="2.5"/>
    <n v="1.5"/>
    <n v="4"/>
    <x v="0"/>
    <n v="0.25"/>
    <n v="0.25"/>
    <n v="0.5"/>
    <n v="0"/>
    <n v="0"/>
    <n v="0"/>
    <n v="0"/>
    <n v="3"/>
    <d v="2022-02-19T00:00:00"/>
    <n v="1"/>
    <s v="Road"/>
  </r>
  <r>
    <x v="3"/>
    <s v="F"/>
    <n v="6"/>
    <n v="6.01"/>
    <d v="1899-12-30T00:32:35"/>
    <d v="1899-12-30T01:55:53"/>
    <d v="1899-12-30T01:14:14"/>
    <n v="10"/>
    <d v="1899-12-30T00:12:21"/>
    <n v="1.5024999999999999"/>
    <n v="0"/>
    <n v="2.5"/>
    <x v="0"/>
    <n v="0.25"/>
    <n v="0.25"/>
    <n v="0.5"/>
    <n v="0"/>
    <n v="0"/>
    <n v="0"/>
    <n v="0"/>
    <n v="1.6256249999999999"/>
    <d v="2022-02-17T00:00:00"/>
    <n v="1"/>
    <e v="#N/A"/>
  </r>
  <r>
    <x v="29"/>
    <s v="F"/>
    <n v="6"/>
    <n v="6"/>
    <d v="1899-12-30T00:43:14"/>
    <d v="1899-12-30T00:53:37"/>
    <d v="1899-12-30T00:48:26"/>
    <n v="141"/>
    <d v="1899-12-30T00:08:04"/>
    <n v="1.5"/>
    <n v="1"/>
    <n v="1"/>
    <x v="2"/>
    <n v="0.5"/>
    <n v="0.25"/>
    <n v="0.25"/>
    <n v="9.4E-2"/>
    <n v="0"/>
    <n v="0"/>
    <n v="0"/>
    <n v="1.3440000000000001"/>
    <d v="2022-02-19T00:00:00"/>
    <n v="1"/>
    <s v="Trail"/>
  </r>
  <r>
    <x v="5"/>
    <s v="M"/>
    <n v="6"/>
    <n v="11.25"/>
    <d v="1899-12-30T00:54:19"/>
    <d v="1899-12-30T00:55:55"/>
    <d v="1899-12-30T00:55:07"/>
    <n v="0"/>
    <d v="1899-12-30T00:04:54"/>
    <n v="2.6785714285714284"/>
    <n v="3"/>
    <n v="3"/>
    <x v="2"/>
    <n v="0.5"/>
    <n v="0.25"/>
    <n v="0.25"/>
    <n v="0"/>
    <n v="0"/>
    <n v="0"/>
    <n v="0"/>
    <n v="2.8392857142857144"/>
    <d v="2022-02-17T00:00:00"/>
    <n v="1"/>
    <e v="#N/A"/>
  </r>
  <r>
    <x v="30"/>
    <s v="M"/>
    <n v="6"/>
    <n v="15.7"/>
    <d v="1899-12-30T01:30:32"/>
    <d v="1899-12-30T01:31:01"/>
    <d v="1899-12-30T01:30:46"/>
    <n v="36"/>
    <d v="1899-12-30T00:05:47"/>
    <n v="3.7380952380952377"/>
    <n v="1.5"/>
    <n v="2"/>
    <x v="2"/>
    <n v="0.5"/>
    <n v="0.25"/>
    <n v="0.25"/>
    <n v="0"/>
    <n v="0"/>
    <n v="0"/>
    <n v="0"/>
    <n v="2.7440476190476186"/>
    <d v="2022-02-17T00:00:00"/>
    <n v="1"/>
    <s v="Road"/>
  </r>
  <r>
    <x v="28"/>
    <s v="F"/>
    <n v="6"/>
    <n v="6.01"/>
    <d v="1899-12-30T00:36:18"/>
    <d v="1899-12-30T00:36:23"/>
    <d v="1899-12-30T00:36:21"/>
    <n v="91"/>
    <d v="1899-12-30T00:06:03"/>
    <n v="1.5024999999999999"/>
    <n v="1.5"/>
    <n v="1.5"/>
    <x v="2"/>
    <n v="0.5"/>
    <n v="0.25"/>
    <n v="0.25"/>
    <n v="6.0666666666666667E-2"/>
    <n v="0"/>
    <n v="0"/>
    <n v="0"/>
    <n v="1.5619166666666666"/>
    <d v="2022-02-22T00:00:00"/>
    <n v="1"/>
    <s v="Road"/>
  </r>
  <r>
    <x v="31"/>
    <s v="M"/>
    <n v="6"/>
    <n v="12.01"/>
    <d v="1899-12-30T01:36:57"/>
    <d v="1899-12-30T01:40:57"/>
    <d v="1899-12-30T01:38:57"/>
    <n v="660"/>
    <d v="1899-12-30T00:08:14"/>
    <n v="2.8595238095238091"/>
    <n v="0"/>
    <n v="2"/>
    <x v="2"/>
    <n v="0.5"/>
    <n v="0.25"/>
    <n v="0.25"/>
    <n v="0.44"/>
    <n v="0"/>
    <n v="0"/>
    <n v="0"/>
    <n v="2.3697619047619045"/>
    <d v="2022-02-20T00:00:00"/>
    <n v="1"/>
    <s v="Trail"/>
  </r>
  <r>
    <x v="25"/>
    <s v="M"/>
    <n v="6"/>
    <n v="10.1"/>
    <d v="1899-12-30T01:03:55"/>
    <d v="1899-12-30T01:03:55"/>
    <d v="1899-12-30T01:03:55"/>
    <n v="8"/>
    <d v="1899-12-30T00:06:20"/>
    <n v="2.4047619047619047"/>
    <n v="1"/>
    <n v="2.5"/>
    <x v="2"/>
    <n v="0.5"/>
    <n v="0.25"/>
    <n v="0.25"/>
    <n v="0"/>
    <n v="0"/>
    <n v="0"/>
    <n v="0"/>
    <n v="2.0773809523809526"/>
    <d v="2022-02-16T00:00:00"/>
    <n v="1"/>
    <e v="#N/A"/>
  </r>
  <r>
    <x v="33"/>
    <s v="M"/>
    <n v="6"/>
    <n v="17.2"/>
    <d v="1899-12-30T01:42:00"/>
    <d v="1899-12-30T01:58:45"/>
    <d v="1899-12-30T01:50:22"/>
    <n v="59"/>
    <d v="1899-12-30T00:06:25"/>
    <n v="4.0952380952380949"/>
    <n v="1"/>
    <n v="1"/>
    <x v="2"/>
    <n v="0.5"/>
    <n v="0.25"/>
    <n v="0.25"/>
    <n v="3.9333333333333331E-2"/>
    <n v="0"/>
    <n v="0"/>
    <n v="0"/>
    <n v="2.5869523809523809"/>
    <d v="2022-02-19T00:00:00"/>
    <n v="1"/>
    <e v="#N/A"/>
  </r>
  <r>
    <x v="32"/>
    <s v="M"/>
    <n v="6"/>
    <n v="14.3"/>
    <d v="1899-12-30T02:34:29"/>
    <d v="1899-12-30T02:42:55"/>
    <d v="1899-12-30T02:38:42"/>
    <n v="819"/>
    <d v="1899-12-30T00:11:06"/>
    <n v="3.4047619047619047"/>
    <n v="0"/>
    <n v="2"/>
    <x v="2"/>
    <n v="0.5"/>
    <n v="0.25"/>
    <n v="0.25"/>
    <n v="0.54600000000000004"/>
    <n v="0"/>
    <n v="0"/>
    <n v="0"/>
    <n v="2.7483809523809528"/>
    <d v="2022-02-20T00:00:00"/>
    <n v="1"/>
    <s v="Road"/>
  </r>
  <r>
    <x v="34"/>
    <s v="F"/>
    <n v="6"/>
    <n v="4.5199999999999996"/>
    <d v="1899-12-30T00:28:18"/>
    <d v="1899-12-30T00:29:12"/>
    <d v="1899-12-30T00:28:45"/>
    <n v="5"/>
    <d v="1899-12-30T00:06:22"/>
    <n v="1.1299999999999999"/>
    <n v="1.5"/>
    <n v="2"/>
    <x v="2"/>
    <n v="0.5"/>
    <n v="0.25"/>
    <n v="0.25"/>
    <n v="0"/>
    <n v="0"/>
    <n v="0"/>
    <n v="0"/>
    <n v="1.44"/>
    <d v="2022-02-19T00:00:00"/>
    <n v="1"/>
    <e v="#N/A"/>
  </r>
  <r>
    <x v="1"/>
    <s v="M"/>
    <n v="7"/>
    <n v="10.01"/>
    <d v="1899-12-30T00:35:02"/>
    <d v="1899-12-30T00:35:02"/>
    <d v="1899-12-30T00:35:02"/>
    <n v="64"/>
    <d v="1899-12-30T00:03:30"/>
    <n v="2.3833333333333333"/>
    <n v="5"/>
    <n v="2.5"/>
    <x v="1"/>
    <n v="0.25"/>
    <n v="0.5"/>
    <n v="0.25"/>
    <n v="4.2666666666666665E-2"/>
    <n v="0"/>
    <n v="4.1999999999999993"/>
    <n v="0"/>
    <n v="7.9634999999999998"/>
    <d v="2022-02-23T00:00:00"/>
    <n v="1"/>
    <s v="Road"/>
  </r>
  <r>
    <x v="22"/>
    <s v="M"/>
    <n v="7"/>
    <n v="43.4"/>
    <d v="1899-12-30T06:35:43"/>
    <d v="1899-12-30T06:39:19"/>
    <d v="1899-12-30T06:37:31"/>
    <n v="1947"/>
    <d v="1899-12-30T00:09:10"/>
    <n v="5"/>
    <n v="0"/>
    <n v="4.5"/>
    <x v="0"/>
    <n v="0.25"/>
    <n v="0.25"/>
    <n v="0.5"/>
    <n v="1.298"/>
    <n v="1.1000000000000001"/>
    <n v="0"/>
    <n v="0"/>
    <n v="5.8979999999999997"/>
    <d v="2022-02-27T00:00:00"/>
    <n v="1"/>
    <s v="Trail"/>
  </r>
  <r>
    <x v="26"/>
    <s v="M"/>
    <n v="7"/>
    <n v="43.76"/>
    <d v="1899-12-30T06:12:42"/>
    <d v="1899-12-30T06:39:47"/>
    <d v="1899-12-30T06:26:14"/>
    <n v="1955"/>
    <d v="1899-12-30T00:08:50"/>
    <n v="5"/>
    <n v="0"/>
    <n v="2"/>
    <x v="2"/>
    <n v="0.5"/>
    <n v="0.25"/>
    <n v="0.25"/>
    <n v="1.3033333333333332"/>
    <n v="1.1000000000000001"/>
    <n v="0"/>
    <n v="0"/>
    <n v="5.4033333333333324"/>
    <d v="2022-02-27T00:00:00"/>
    <n v="1"/>
    <s v="Trail"/>
  </r>
  <r>
    <x v="17"/>
    <s v="M"/>
    <n v="7"/>
    <n v="35.549999999999997"/>
    <d v="1899-12-30T03:25:49"/>
    <d v="1899-12-30T03:33:18"/>
    <d v="1899-12-30T03:29:33"/>
    <n v="831"/>
    <d v="1899-12-30T00:05:54"/>
    <n v="5"/>
    <n v="1.5"/>
    <n v="4"/>
    <x v="2"/>
    <n v="0.5"/>
    <n v="0.25"/>
    <n v="0.25"/>
    <n v="0.55400000000000005"/>
    <n v="0.7"/>
    <n v="0"/>
    <n v="0"/>
    <n v="5.1290000000000004"/>
    <d v="2022-02-27T00:00:00"/>
    <n v="1"/>
    <s v="Trail"/>
  </r>
  <r>
    <x v="27"/>
    <s v="M"/>
    <n v="7"/>
    <n v="16.21"/>
    <d v="1899-12-30T01:31:46"/>
    <d v="1899-12-30T01:48:25"/>
    <d v="1899-12-30T01:40:06"/>
    <n v="77"/>
    <d v="1899-12-30T00:06:10"/>
    <n v="3.8595238095238096"/>
    <n v="1"/>
    <n v="4"/>
    <x v="0"/>
    <n v="0.25"/>
    <n v="0.25"/>
    <n v="0.5"/>
    <n v="5.1333333333333335E-2"/>
    <n v="0"/>
    <n v="0"/>
    <n v="0"/>
    <n v="3.2662142857142857"/>
    <d v="2022-02-26T00:00:00"/>
    <n v="1"/>
    <s v="Trail"/>
  </r>
  <r>
    <x v="12"/>
    <s v="M"/>
    <n v="7"/>
    <n v="12.4"/>
    <d v="1899-12-30T00:56:38"/>
    <d v="1899-12-30T00:56:45"/>
    <d v="1899-12-30T00:56:42"/>
    <n v="14"/>
    <d v="1899-12-30T00:04:34"/>
    <n v="2.9523809523809526"/>
    <n v="3.5"/>
    <n v="3.5"/>
    <x v="1"/>
    <n v="0.25"/>
    <n v="0.5"/>
    <n v="0.25"/>
    <n v="0"/>
    <n v="0"/>
    <n v="0"/>
    <n v="0"/>
    <n v="3.3630952380952381"/>
    <d v="2022-02-24T00:00:00"/>
    <n v="1"/>
    <s v="Road"/>
  </r>
  <r>
    <x v="2"/>
    <s v="M"/>
    <n v="7"/>
    <n v="21.17"/>
    <d v="1899-12-30T02:04:06"/>
    <d v="1899-12-30T02:04:10"/>
    <d v="1899-12-30T02:04:08"/>
    <n v="337"/>
    <d v="1899-12-30T00:05:52"/>
    <n v="5"/>
    <n v="1.5"/>
    <n v="3.75"/>
    <x v="2"/>
    <n v="0.5"/>
    <n v="0.25"/>
    <n v="0.25"/>
    <n v="0.22466666666666665"/>
    <n v="0"/>
    <n v="0"/>
    <n v="0"/>
    <n v="4.0371666666666668"/>
    <d v="2022-02-21T00:00:00"/>
    <n v="1"/>
    <s v="Trail"/>
  </r>
  <r>
    <x v="16"/>
    <s v="F"/>
    <n v="7"/>
    <n v="18.52"/>
    <d v="1899-12-30T01:36:47"/>
    <d v="1899-12-30T01:46:22"/>
    <d v="1899-12-30T01:41:34"/>
    <n v="81"/>
    <d v="1899-12-30T00:05:29"/>
    <n v="4.63"/>
    <n v="3"/>
    <n v="3.5"/>
    <x v="2"/>
    <n v="0.5"/>
    <n v="0.25"/>
    <n v="0.25"/>
    <n v="5.3999999999999999E-2"/>
    <n v="0"/>
    <n v="0"/>
    <n v="0"/>
    <n v="3.9939999999999998"/>
    <d v="2022-02-24T00:00:00"/>
    <n v="1"/>
    <s v="Trail"/>
  </r>
  <r>
    <x v="9"/>
    <s v="F"/>
    <n v="7"/>
    <n v="16.010000000000002"/>
    <d v="1899-12-30T01:24:09"/>
    <d v="1899-12-30T01:29:11"/>
    <d v="1899-12-30T01:26:40"/>
    <n v="70"/>
    <d v="1899-12-30T00:05:25"/>
    <n v="4.0025000000000004"/>
    <n v="3"/>
    <n v="1.5"/>
    <x v="1"/>
    <n v="0.25"/>
    <n v="0.5"/>
    <n v="0.25"/>
    <n v="4.6666666666666669E-2"/>
    <n v="0"/>
    <n v="0"/>
    <n v="0"/>
    <n v="2.9222916666666672"/>
    <d v="2022-02-27T00:00:00"/>
    <n v="1"/>
    <s v="Trail"/>
  </r>
  <r>
    <x v="0"/>
    <s v="M"/>
    <n v="7"/>
    <n v="10"/>
    <d v="1899-12-30T00:41:56"/>
    <d v="1899-12-30T00:42:03"/>
    <d v="1899-12-30T00:42:00"/>
    <n v="31"/>
    <d v="1899-12-30T00:04:12"/>
    <n v="2.3809523809523809"/>
    <n v="4.5"/>
    <n v="2.75"/>
    <x v="1"/>
    <n v="0.25"/>
    <n v="0.5"/>
    <n v="0.25"/>
    <n v="0"/>
    <n v="0"/>
    <n v="0"/>
    <n v="0"/>
    <n v="3.5327380952380953"/>
    <d v="2022-02-23T00:00:00"/>
    <n v="1"/>
    <s v="Road"/>
  </r>
  <r>
    <x v="15"/>
    <s v="M"/>
    <n v="7"/>
    <n v="20.23"/>
    <d v="1899-12-30T01:44:13"/>
    <d v="1899-12-30T01:48:36"/>
    <d v="1899-12-30T01:46:25"/>
    <n v="15"/>
    <d v="1899-12-30T00:05:16"/>
    <n v="4.8166666666666664"/>
    <n v="2.5"/>
    <n v="0.5"/>
    <x v="1"/>
    <n v="0.25"/>
    <n v="0.5"/>
    <n v="0.25"/>
    <n v="0"/>
    <n v="0"/>
    <n v="0"/>
    <n v="0"/>
    <n v="2.5791666666666666"/>
    <d v="2022-02-27T00:00:00"/>
    <n v="1"/>
    <s v="Road"/>
  </r>
  <r>
    <x v="13"/>
    <s v="M"/>
    <n v="7"/>
    <n v="22.01"/>
    <d v="1899-12-30T02:27:16"/>
    <d v="1899-12-30T02:54:30"/>
    <d v="1899-12-30T02:40:53"/>
    <n v="514"/>
    <d v="1899-12-30T00:07:19"/>
    <n v="5"/>
    <n v="1"/>
    <n v="4"/>
    <x v="1"/>
    <n v="0.25"/>
    <n v="0.5"/>
    <n v="0.25"/>
    <n v="0.34266666666666667"/>
    <n v="0"/>
    <n v="0"/>
    <n v="0.4"/>
    <n v="3.4926666666666666"/>
    <d v="2022-02-27T00:00:00"/>
    <n v="1"/>
    <s v="Road"/>
  </r>
  <r>
    <x v="6"/>
    <s v="F"/>
    <n v="7"/>
    <n v="10.02"/>
    <d v="1899-12-30T00:58:17"/>
    <d v="1899-12-30T01:09:04"/>
    <d v="1899-12-30T01:03:41"/>
    <n v="123"/>
    <d v="1899-12-30T00:06:21"/>
    <n v="2.5049999999999999"/>
    <n v="1.5"/>
    <n v="2.5"/>
    <x v="1"/>
    <n v="0.25"/>
    <n v="0.5"/>
    <n v="0.25"/>
    <n v="8.2000000000000003E-2"/>
    <n v="0"/>
    <n v="0"/>
    <n v="0"/>
    <n v="2.0832499999999996"/>
    <d v="2022-02-22T00:00:00"/>
    <n v="1"/>
    <s v="Trail"/>
  </r>
  <r>
    <x v="20"/>
    <s v="M"/>
    <n v="7"/>
    <n v="3.02"/>
    <d v="1899-12-30T00:13:04"/>
    <d v="1899-12-30T00:13:04"/>
    <d v="1899-12-30T00:13:04"/>
    <n v="10"/>
    <d v="1899-12-30T00:04:20"/>
    <n v="0.71904761904761905"/>
    <n v="4"/>
    <n v="3.5"/>
    <x v="1"/>
    <n v="0.25"/>
    <n v="0.5"/>
    <n v="0.25"/>
    <n v="0"/>
    <n v="0"/>
    <n v="0"/>
    <n v="0"/>
    <n v="3.0547619047619046"/>
    <d v="2022-02-27T00:00:00"/>
    <n v="1"/>
    <s v="Trail"/>
  </r>
  <r>
    <x v="4"/>
    <s v="M"/>
    <n v="7"/>
    <n v="15.67"/>
    <d v="1899-12-30T01:21:42"/>
    <d v="1899-12-30T01:25:42"/>
    <d v="1899-12-30T01:23:42"/>
    <n v="28"/>
    <d v="1899-12-30T00:05:20"/>
    <n v="3.7309523809523806"/>
    <n v="2"/>
    <n v="0.5"/>
    <x v="1"/>
    <n v="0.25"/>
    <n v="0.5"/>
    <n v="0.25"/>
    <n v="0"/>
    <n v="0"/>
    <n v="0"/>
    <n v="0"/>
    <n v="2.0577380952380953"/>
    <d v="2022-02-23T00:00:00"/>
    <n v="1"/>
    <s v="Road"/>
  </r>
  <r>
    <x v="10"/>
    <s v="M"/>
    <n v="7"/>
    <n v="10.01"/>
    <d v="1899-12-30T00:54:06"/>
    <d v="1899-12-30T00:54:14"/>
    <d v="1899-12-30T00:54:10"/>
    <n v="19"/>
    <d v="1899-12-30T00:05:25"/>
    <n v="2.3833333333333333"/>
    <n v="2"/>
    <n v="2"/>
    <x v="1"/>
    <n v="0.25"/>
    <n v="0.5"/>
    <n v="0.25"/>
    <n v="0"/>
    <n v="0"/>
    <n v="0"/>
    <n v="0"/>
    <n v="2.0958333333333332"/>
    <d v="2022-02-26T00:00:00"/>
    <n v="1"/>
    <s v="Trail"/>
  </r>
  <r>
    <x v="11"/>
    <s v="F"/>
    <n v="7"/>
    <n v="3.7"/>
    <d v="1899-12-30T00:21:10"/>
    <d v="1899-12-30T00:23:52"/>
    <d v="1899-12-30T00:22:31"/>
    <n v="24"/>
    <d v="1899-12-30T00:06:05"/>
    <n v="0.92500000000000004"/>
    <n v="1.5"/>
    <n v="3.5"/>
    <x v="0"/>
    <n v="0.25"/>
    <n v="0.25"/>
    <n v="0.5"/>
    <n v="0"/>
    <n v="0"/>
    <n v="0"/>
    <n v="0"/>
    <n v="2.3562500000000002"/>
    <d v="2022-02-25T00:00:00"/>
    <n v="1"/>
    <s v="Trail"/>
  </r>
  <r>
    <x v="23"/>
    <s v="M"/>
    <n v="7"/>
    <n v="15.14"/>
    <d v="1899-12-30T01:57:55"/>
    <d v="1899-12-30T01:58:09"/>
    <d v="1899-12-30T01:58:02"/>
    <n v="1033"/>
    <d v="1899-12-30T00:07:48"/>
    <n v="3.6047619047619048"/>
    <n v="1"/>
    <n v="2"/>
    <x v="2"/>
    <n v="0.5"/>
    <n v="0.25"/>
    <n v="0.25"/>
    <n v="0.68866666666666665"/>
    <n v="0"/>
    <n v="0"/>
    <n v="0"/>
    <n v="3.241047619047619"/>
    <d v="2022-02-20T00:00:00"/>
    <n v="1"/>
    <s v="Road"/>
  </r>
  <r>
    <x v="8"/>
    <s v="F"/>
    <n v="7"/>
    <n v="8.15"/>
    <d v="1899-12-30T01:02:42"/>
    <d v="1899-12-30T01:23:39"/>
    <d v="1899-12-30T01:13:11"/>
    <n v="0"/>
    <d v="1899-12-30T00:08:59"/>
    <n v="2.0375000000000001"/>
    <n v="1"/>
    <n v="1.5"/>
    <x v="1"/>
    <n v="0.25"/>
    <n v="0.5"/>
    <n v="0.25"/>
    <n v="0"/>
    <n v="0"/>
    <n v="0"/>
    <n v="0.7"/>
    <n v="2.0843749999999996"/>
    <d v="2022-02-21T00:00:00"/>
    <n v="1"/>
    <s v="Road"/>
  </r>
  <r>
    <x v="7"/>
    <s v="F"/>
    <n v="7"/>
    <n v="7.41"/>
    <d v="1899-12-30T00:42:56"/>
    <d v="1899-12-30T00:42:56"/>
    <d v="1899-12-30T00:42:56"/>
    <n v="8"/>
    <d v="1899-12-30T00:05:48"/>
    <n v="1.8525"/>
    <n v="2"/>
    <n v="4"/>
    <x v="1"/>
    <n v="0.25"/>
    <n v="0.5"/>
    <n v="0.25"/>
    <n v="0"/>
    <n v="0"/>
    <n v="0"/>
    <n v="0"/>
    <n v="2.4631249999999998"/>
    <d v="2022-02-27T00:00:00"/>
    <n v="1"/>
    <s v="Road"/>
  </r>
  <r>
    <x v="21"/>
    <s v="M"/>
    <n v="7"/>
    <n v="17.82"/>
    <d v="1899-12-30T01:35:08"/>
    <d v="1899-12-30T01:44:36"/>
    <d v="1899-12-30T01:39:52"/>
    <n v="65"/>
    <d v="1899-12-30T00:05:36"/>
    <n v="4.2428571428571429"/>
    <n v="1.5"/>
    <n v="3.25"/>
    <x v="1"/>
    <n v="0.25"/>
    <n v="0.5"/>
    <n v="0.25"/>
    <n v="4.3333333333333335E-2"/>
    <n v="0"/>
    <n v="0"/>
    <n v="0"/>
    <n v="2.6665476190476194"/>
    <d v="2022-02-24T00:00:00"/>
    <n v="1"/>
    <s v="Trail"/>
  </r>
  <r>
    <x v="19"/>
    <s v="F"/>
    <n v="7"/>
    <n v="10.01"/>
    <d v="1899-12-30T00:58:16"/>
    <d v="1899-12-30T01:00:17"/>
    <d v="1899-12-30T00:59:17"/>
    <n v="13"/>
    <d v="1899-12-30T00:05:55"/>
    <n v="2.5024999999999999"/>
    <n v="2"/>
    <n v="2.5"/>
    <x v="2"/>
    <n v="0.5"/>
    <n v="0.25"/>
    <n v="0.25"/>
    <n v="0"/>
    <n v="0"/>
    <n v="0"/>
    <n v="0"/>
    <n v="2.3762499999999998"/>
    <d v="2022-02-27T00:00:00"/>
    <n v="1"/>
    <s v="Trail"/>
  </r>
  <r>
    <x v="5"/>
    <s v="M"/>
    <n v="7"/>
    <n v="5.37"/>
    <d v="1899-12-30T00:21:42"/>
    <d v="1899-12-30T00:21:53"/>
    <d v="1899-12-30T00:21:47"/>
    <n v="0"/>
    <d v="1899-12-30T00:04:03"/>
    <n v="1.2785714285714285"/>
    <n v="4.5"/>
    <n v="2"/>
    <x v="1"/>
    <n v="0.25"/>
    <n v="0.5"/>
    <n v="0.25"/>
    <n v="0"/>
    <n v="0"/>
    <n v="0"/>
    <n v="0"/>
    <n v="3.0696428571428571"/>
    <d v="2022-02-24T00:00:00"/>
    <n v="1"/>
    <e v="#N/A"/>
  </r>
  <r>
    <x v="3"/>
    <s v="F"/>
    <n v="7"/>
    <n v="5.03"/>
    <d v="1899-12-30T00:26:49"/>
    <d v="1899-12-30T00:32:30"/>
    <d v="1899-12-30T00:29:39"/>
    <n v="0"/>
    <d v="1899-12-30T00:05:54"/>
    <n v="1.2575000000000001"/>
    <n v="2"/>
    <n v="2"/>
    <x v="1"/>
    <n v="0.25"/>
    <n v="0.5"/>
    <n v="0.25"/>
    <n v="0"/>
    <n v="0"/>
    <n v="0"/>
    <n v="0"/>
    <n v="1.8143750000000001"/>
    <d v="2022-02-21T00:00:00"/>
    <n v="1"/>
    <e v="#N/A"/>
  </r>
  <r>
    <x v="29"/>
    <s v="F"/>
    <n v="7"/>
    <n v="12"/>
    <d v="1899-12-30T01:09:07"/>
    <d v="1899-12-30T01:15:19"/>
    <d v="1899-12-30T01:12:13"/>
    <n v="6"/>
    <d v="1899-12-30T00:06:01"/>
    <n v="3"/>
    <n v="1.5"/>
    <n v="2"/>
    <x v="1"/>
    <n v="0.25"/>
    <n v="0.5"/>
    <n v="0.25"/>
    <n v="0"/>
    <n v="0"/>
    <n v="0"/>
    <n v="0"/>
    <n v="2"/>
    <d v="2022-02-26T00:00:00"/>
    <n v="1"/>
    <s v="Trail"/>
  </r>
  <r>
    <x v="30"/>
    <s v="M"/>
    <n v="7"/>
    <n v="13.16"/>
    <d v="1899-12-30T01:05:28"/>
    <d v="1899-12-30T01:06:12"/>
    <d v="1899-12-30T01:05:50"/>
    <n v="36"/>
    <d v="1899-12-30T00:05:00"/>
    <n v="3.1333333333333333"/>
    <n v="3"/>
    <n v="1.5"/>
    <x v="1"/>
    <n v="0.25"/>
    <n v="0.5"/>
    <n v="0.25"/>
    <n v="0"/>
    <n v="0"/>
    <n v="0"/>
    <n v="0"/>
    <n v="2.6583333333333332"/>
    <d v="2022-02-21T00:00:00"/>
    <n v="1"/>
    <s v="Road"/>
  </r>
  <r>
    <x v="28"/>
    <s v="F"/>
    <n v="7"/>
    <n v="10.32"/>
    <d v="1899-12-30T01:04:09"/>
    <d v="1899-12-30T01:05:01"/>
    <d v="1899-12-30T01:04:35"/>
    <n v="116"/>
    <d v="1899-12-30T00:06:15"/>
    <n v="2.58"/>
    <n v="1.5"/>
    <n v="2"/>
    <x v="1"/>
    <n v="0.25"/>
    <n v="0.5"/>
    <n v="0.25"/>
    <n v="7.7333333333333337E-2"/>
    <n v="0"/>
    <n v="0"/>
    <n v="0"/>
    <n v="1.9723333333333333"/>
    <d v="2022-02-24T00:00:00"/>
    <n v="1"/>
    <s v="Road"/>
  </r>
  <r>
    <x v="34"/>
    <s v="F"/>
    <n v="7"/>
    <n v="6"/>
    <d v="1899-12-30T00:35:00"/>
    <d v="1899-12-30T00:35:11"/>
    <d v="1899-12-30T00:35:05"/>
    <n v="9"/>
    <d v="1899-12-30T00:05:51"/>
    <n v="1.5"/>
    <n v="2"/>
    <n v="0.5"/>
    <x v="1"/>
    <n v="0.25"/>
    <n v="0.5"/>
    <n v="0.25"/>
    <n v="0"/>
    <n v="0"/>
    <n v="0"/>
    <n v="0"/>
    <n v="1.5"/>
    <d v="2022-02-22T00:00:00"/>
    <n v="1"/>
    <e v="#N/A"/>
  </r>
  <r>
    <x v="1"/>
    <s v="M"/>
    <n v="8"/>
    <n v="34.01"/>
    <d v="1899-12-30T02:18:04"/>
    <d v="1899-12-30T02:18:04"/>
    <d v="1899-12-30T02:18:04"/>
    <n v="337"/>
    <d v="1899-12-30T00:04:04"/>
    <n v="5"/>
    <n v="4.5"/>
    <n v="3"/>
    <x v="2"/>
    <n v="0.5"/>
    <n v="0.25"/>
    <n v="0.25"/>
    <n v="0.22466666666666665"/>
    <n v="0.6"/>
    <n v="0"/>
    <n v="0"/>
    <n v="5.1996666666666664"/>
    <d v="2022-03-01T00:00:00"/>
    <n v="1"/>
    <s v="Road"/>
  </r>
  <r>
    <x v="22"/>
    <s v="M"/>
    <n v="8"/>
    <n v="19.010000000000002"/>
    <d v="1899-12-30T02:28:47"/>
    <d v="1899-12-30T02:41:41"/>
    <d v="1899-12-30T02:35:14"/>
    <n v="925"/>
    <d v="1899-12-30T00:08:10"/>
    <n v="4.5261904761904761"/>
    <n v="0"/>
    <n v="4.5"/>
    <x v="0"/>
    <n v="0.25"/>
    <n v="0.25"/>
    <n v="0.5"/>
    <n v="0.6166666666666667"/>
    <n v="0"/>
    <n v="0"/>
    <n v="0"/>
    <n v="3.9982142857142855"/>
    <d v="2022-03-06T00:00:00"/>
    <n v="1"/>
    <s v="Trail"/>
  </r>
  <r>
    <x v="26"/>
    <s v="M"/>
    <n v="8"/>
    <n v="25.82"/>
    <d v="1899-12-30T05:00:37"/>
    <d v="1899-12-30T06:49:48"/>
    <d v="1899-12-30T05:55:13"/>
    <n v="1169"/>
    <d v="1899-12-30T00:13:45"/>
    <n v="5"/>
    <n v="0"/>
    <n v="4.5"/>
    <x v="0"/>
    <n v="0.25"/>
    <n v="0.25"/>
    <n v="0.5"/>
    <n v="0.77933333333333332"/>
    <n v="0.2"/>
    <n v="0"/>
    <n v="0"/>
    <n v="4.4793333333333338"/>
    <d v="2022-03-06T00:00:00"/>
    <n v="1"/>
    <s v="Trail"/>
  </r>
  <r>
    <x v="17"/>
    <s v="M"/>
    <n v="8"/>
    <n v="38.74"/>
    <d v="1899-12-30T03:24:32"/>
    <d v="1899-12-30T03:29:30"/>
    <d v="1899-12-30T03:27:01"/>
    <n v="442"/>
    <d v="1899-12-30T00:05:21"/>
    <n v="5"/>
    <n v="2"/>
    <n v="4"/>
    <x v="2"/>
    <n v="0.5"/>
    <n v="0.25"/>
    <n v="0.25"/>
    <n v="0.29466666666666669"/>
    <n v="0.8"/>
    <n v="0"/>
    <n v="0"/>
    <n v="5.0946666666666669"/>
    <d v="2022-03-05T00:00:00"/>
    <n v="1"/>
    <s v="Trail"/>
  </r>
  <r>
    <x v="12"/>
    <s v="M"/>
    <n v="8"/>
    <n v="36.5"/>
    <d v="1899-12-30T05:04:45"/>
    <d v="1899-12-30T05:47:19"/>
    <d v="1899-12-30T05:26:02"/>
    <n v="1396"/>
    <d v="1899-12-30T00:08:56"/>
    <n v="5"/>
    <n v="0"/>
    <n v="4.25"/>
    <x v="2"/>
    <n v="0.5"/>
    <n v="0.25"/>
    <n v="0.25"/>
    <n v="0.93066666666666664"/>
    <n v="0.7"/>
    <n v="0"/>
    <n v="0"/>
    <n v="5.1931666666666665"/>
    <d v="2022-03-06T00:00:00"/>
    <n v="1"/>
    <s v="Road"/>
  </r>
  <r>
    <x v="27"/>
    <s v="M"/>
    <n v="8"/>
    <n v="21.16"/>
    <s v="1.53.29"/>
    <d v="1899-12-30T02:07:45"/>
    <d v="1899-12-30T02:07:45"/>
    <n v="45"/>
    <d v="1899-12-30T00:06:02"/>
    <n v="5"/>
    <n v="1"/>
    <n v="4.5"/>
    <x v="0"/>
    <n v="0.25"/>
    <n v="0.25"/>
    <n v="0.5"/>
    <n v="0"/>
    <n v="0"/>
    <n v="0"/>
    <n v="0"/>
    <n v="3.75"/>
    <d v="2022-03-02T00:00:00"/>
    <n v="1"/>
    <s v="Trail"/>
  </r>
  <r>
    <x v="2"/>
    <s v="M"/>
    <n v="8"/>
    <n v="12.5"/>
    <d v="1899-12-30T02:01:28"/>
    <d v="1899-12-30T02:03:40"/>
    <d v="1899-12-30T02:02:34"/>
    <n v="1004"/>
    <d v="1899-12-30T00:09:48"/>
    <n v="2.9761904761904763"/>
    <n v="0"/>
    <n v="4"/>
    <x v="0"/>
    <n v="0.25"/>
    <n v="0.25"/>
    <n v="0.5"/>
    <n v="0.66933333333333334"/>
    <n v="0"/>
    <n v="0"/>
    <n v="0"/>
    <n v="3.4133809523809524"/>
    <d v="2022-02-28T00:00:00"/>
    <n v="1"/>
    <s v="Trail"/>
  </r>
  <r>
    <x v="9"/>
    <s v="F"/>
    <n v="8"/>
    <n v="16.13"/>
    <d v="1899-12-30T01:57:33"/>
    <d v="1899-12-30T02:17:35"/>
    <d v="1899-12-30T02:07:34"/>
    <n v="624"/>
    <d v="1899-12-30T00:07:55"/>
    <n v="4.0324999999999998"/>
    <n v="1"/>
    <n v="3"/>
    <x v="0"/>
    <n v="0.25"/>
    <n v="0.25"/>
    <n v="0.5"/>
    <n v="0.41599999999999998"/>
    <n v="0"/>
    <n v="0"/>
    <n v="0"/>
    <n v="3.1741249999999996"/>
    <d v="2022-03-06T00:00:00"/>
    <n v="1"/>
    <s v="Trail"/>
  </r>
  <r>
    <x v="16"/>
    <s v="F"/>
    <n v="8"/>
    <n v="25"/>
    <d v="1899-12-30T02:05:08"/>
    <d v="1899-12-30T02:05:12"/>
    <d v="1899-12-30T02:05:10"/>
    <n v="86"/>
    <d v="1899-12-30T00:05:00"/>
    <n v="5"/>
    <n v="4"/>
    <n v="2.5"/>
    <x v="0"/>
    <n v="0.25"/>
    <n v="0.25"/>
    <n v="0.5"/>
    <n v="5.7333333333333333E-2"/>
    <n v="0.2"/>
    <n v="0"/>
    <n v="0"/>
    <n v="3.7573333333333334"/>
    <d v="2022-03-05T00:00:00"/>
    <n v="1"/>
    <s v="Trail"/>
  </r>
  <r>
    <x v="0"/>
    <s v="M"/>
    <n v="8"/>
    <n v="17"/>
    <d v="1899-12-30T01:19:58"/>
    <d v="1899-12-30T01:20:05"/>
    <d v="1899-12-30T01:20:02"/>
    <n v="30"/>
    <d v="1899-12-30T00:04:42"/>
    <n v="4.0476190476190474"/>
    <n v="3.5"/>
    <n v="1.5"/>
    <x v="2"/>
    <n v="0.5"/>
    <n v="0.25"/>
    <n v="0.25"/>
    <n v="0"/>
    <n v="0"/>
    <n v="0"/>
    <n v="0"/>
    <n v="3.2738095238095237"/>
    <d v="2022-03-04T00:00:00"/>
    <n v="1"/>
    <s v="Road"/>
  </r>
  <r>
    <x v="13"/>
    <s v="M"/>
    <n v="8"/>
    <n v="13.29"/>
    <d v="1899-12-30T01:19:06"/>
    <d v="1899-12-30T01:29:51"/>
    <d v="1899-12-30T01:24:29"/>
    <n v="197"/>
    <d v="1899-12-30T00:06:21"/>
    <n v="3.1642857142857141"/>
    <n v="1"/>
    <n v="3"/>
    <x v="0"/>
    <n v="0.25"/>
    <n v="0.25"/>
    <n v="0.5"/>
    <n v="0.13133333333333333"/>
    <n v="0"/>
    <n v="0"/>
    <n v="0.4"/>
    <n v="3.0724047619047621"/>
    <d v="2022-03-02T00:00:00"/>
    <n v="1"/>
    <s v="Road"/>
  </r>
  <r>
    <x v="15"/>
    <s v="M"/>
    <n v="8"/>
    <n v="10.7"/>
    <d v="1899-12-30T00:52:42"/>
    <d v="1899-12-30T00:54:18"/>
    <d v="1899-12-30T00:53:30"/>
    <n v="39"/>
    <d v="1899-12-30T00:05:00"/>
    <n v="2.5476190476190474"/>
    <n v="3"/>
    <n v="1"/>
    <x v="0"/>
    <n v="0.25"/>
    <n v="0.25"/>
    <n v="0.5"/>
    <n v="0"/>
    <n v="0"/>
    <n v="0"/>
    <n v="0"/>
    <n v="1.8869047619047619"/>
    <d v="2022-03-06T00:00:00"/>
    <n v="1"/>
    <s v="Road"/>
  </r>
  <r>
    <x v="20"/>
    <s v="M"/>
    <n v="8"/>
    <n v="14"/>
    <d v="1899-12-30T01:53:08"/>
    <d v="1899-12-30T01:55:06"/>
    <d v="1899-12-30T01:54:07"/>
    <n v="426"/>
    <d v="1899-12-30T00:08:09"/>
    <n v="3.333333333333333"/>
    <n v="0"/>
    <n v="4.5"/>
    <x v="0"/>
    <n v="0.25"/>
    <n v="0.25"/>
    <n v="0.5"/>
    <n v="0.28399999999999997"/>
    <n v="0"/>
    <n v="0"/>
    <n v="0"/>
    <n v="3.3673333333333328"/>
    <d v="2022-03-06T00:00:00"/>
    <n v="1"/>
    <s v="Trail"/>
  </r>
  <r>
    <x v="23"/>
    <s v="M"/>
    <n v="8"/>
    <n v="21.21"/>
    <d v="1899-12-30T01:58:09"/>
    <d v="1899-12-30T01:58:40"/>
    <d v="1899-12-30T01:58:25"/>
    <n v="77"/>
    <d v="1899-12-30T00:05:35"/>
    <n v="5"/>
    <n v="1.5"/>
    <n v="1.5"/>
    <x v="0"/>
    <n v="0.25"/>
    <n v="0.25"/>
    <n v="0.5"/>
    <n v="5.1333333333333335E-2"/>
    <n v="0"/>
    <n v="0"/>
    <n v="0"/>
    <n v="2.4263333333333335"/>
    <d v="2022-03-06T00:00:00"/>
    <n v="1"/>
    <s v="Road"/>
  </r>
  <r>
    <x v="6"/>
    <s v="F"/>
    <n v="8"/>
    <n v="13.02"/>
    <d v="1899-12-30T01:38:42"/>
    <d v="1899-12-30T01:51:22"/>
    <d v="1899-12-30T01:45:02"/>
    <n v="426"/>
    <d v="1899-12-30T00:08:04"/>
    <n v="3.2549999999999999"/>
    <n v="1"/>
    <n v="4"/>
    <x v="0"/>
    <n v="0.25"/>
    <n v="0.25"/>
    <n v="0.5"/>
    <n v="0.28399999999999997"/>
    <n v="0"/>
    <n v="0"/>
    <n v="0"/>
    <n v="3.3477499999999996"/>
    <d v="2022-03-06T00:00:00"/>
    <n v="1"/>
    <s v="Trail"/>
  </r>
  <r>
    <x v="10"/>
    <s v="M"/>
    <n v="8"/>
    <n v="7.04"/>
    <d v="1899-12-30T00:40:13"/>
    <d v="1899-12-30T00:40:15"/>
    <d v="1899-12-30T00:40:14"/>
    <n v="16"/>
    <d v="1899-12-30T00:05:43"/>
    <n v="1.6761904761904762"/>
    <n v="1.5"/>
    <n v="2.75"/>
    <x v="1"/>
    <n v="0.25"/>
    <n v="0.5"/>
    <n v="0.25"/>
    <n v="0"/>
    <n v="0"/>
    <n v="0"/>
    <n v="0"/>
    <n v="1.8565476190476191"/>
    <d v="2022-03-05T00:00:00"/>
    <n v="1"/>
    <s v="Trail"/>
  </r>
  <r>
    <x v="4"/>
    <s v="M"/>
    <n v="8"/>
    <n v="11.01"/>
    <d v="1899-12-30T00:55:08"/>
    <d v="1899-12-30T01:01:32"/>
    <d v="1899-12-30T00:58:20"/>
    <n v="47"/>
    <d v="1899-12-30T00:05:18"/>
    <n v="2.6214285714285714"/>
    <n v="2"/>
    <n v="0"/>
    <x v="1"/>
    <n v="0.25"/>
    <n v="0.5"/>
    <n v="0.25"/>
    <n v="0"/>
    <n v="0"/>
    <n v="0"/>
    <n v="0"/>
    <n v="1.655357142857143"/>
    <d v="2022-03-01T00:00:00"/>
    <n v="1"/>
    <s v="Road"/>
  </r>
  <r>
    <x v="11"/>
    <s v="F"/>
    <n v="8"/>
    <n v="8.64"/>
    <d v="1899-12-30T00:54:15"/>
    <d v="1899-12-30T00:56:22"/>
    <d v="1899-12-30T00:55:19"/>
    <n v="38"/>
    <d v="1899-12-30T00:06:24"/>
    <n v="2.16"/>
    <n v="1.5"/>
    <n v="3.25"/>
    <x v="2"/>
    <n v="0.5"/>
    <n v="0.25"/>
    <n v="0.25"/>
    <n v="0"/>
    <n v="0"/>
    <n v="0"/>
    <n v="0"/>
    <n v="2.2675000000000001"/>
    <d v="2022-03-06T00:00:00"/>
    <n v="1"/>
    <s v="Trail"/>
  </r>
  <r>
    <x v="21"/>
    <s v="M"/>
    <n v="8"/>
    <n v="25.12"/>
    <d v="1899-12-30T02:04:59"/>
    <d v="1899-12-30T02:05:12"/>
    <d v="1899-12-30T02:05:05"/>
    <n v="73"/>
    <d v="1899-12-30T00:04:59"/>
    <n v="5"/>
    <n v="3"/>
    <n v="3"/>
    <x v="2"/>
    <n v="0.5"/>
    <n v="0.25"/>
    <n v="0.25"/>
    <n v="4.8666666666666664E-2"/>
    <n v="0.2"/>
    <n v="0"/>
    <n v="0"/>
    <n v="4.2486666666666668"/>
    <d v="2022-03-05T00:00:00"/>
    <n v="1"/>
    <s v="Trail"/>
  </r>
  <r>
    <x v="7"/>
    <s v="F"/>
    <n v="8"/>
    <n v="5"/>
    <d v="1899-12-30T00:34:10"/>
    <d v="1899-12-30T00:36:16"/>
    <d v="1899-12-30T00:35:13"/>
    <n v="16"/>
    <d v="1899-12-30T00:07:03"/>
    <n v="1.25"/>
    <n v="1"/>
    <n v="4"/>
    <x v="0"/>
    <n v="0.25"/>
    <n v="0.25"/>
    <n v="0.5"/>
    <n v="0"/>
    <n v="0"/>
    <n v="0"/>
    <n v="0"/>
    <n v="2.5625"/>
    <d v="2022-03-03T00:00:00"/>
    <n v="1"/>
    <s v="Road"/>
  </r>
  <r>
    <x v="8"/>
    <s v="F"/>
    <n v="8"/>
    <n v="8"/>
    <d v="1899-12-30T01:01:13"/>
    <d v="1899-12-30T01:19:03"/>
    <d v="1899-12-30T01:10:08"/>
    <n v="0"/>
    <d v="1899-12-30T00:08:46"/>
    <n v="2"/>
    <n v="1"/>
    <n v="2.5"/>
    <x v="0"/>
    <n v="0.25"/>
    <n v="0.25"/>
    <n v="0.5"/>
    <n v="0"/>
    <n v="0"/>
    <n v="0"/>
    <n v="0.7"/>
    <n v="2.7"/>
    <d v="2022-03-02T00:00:00"/>
    <n v="1"/>
    <s v="Road"/>
  </r>
  <r>
    <x v="19"/>
    <s v="F"/>
    <n v="8"/>
    <n v="14.01"/>
    <d v="1899-12-30T01:33:54"/>
    <d v="1899-12-30T01:49:39"/>
    <d v="1899-12-30T01:41:47"/>
    <n v="0"/>
    <d v="1899-12-30T00:07:16"/>
    <n v="3.5024999999999999"/>
    <n v="1"/>
    <n v="3.5"/>
    <x v="2"/>
    <n v="0.5"/>
    <n v="0.25"/>
    <n v="0.25"/>
    <n v="0"/>
    <n v="0"/>
    <n v="0"/>
    <n v="0"/>
    <n v="2.8762499999999998"/>
    <d v="2022-03-06T00:00:00"/>
    <n v="1"/>
    <s v="Trail"/>
  </r>
  <r>
    <x v="5"/>
    <s v="M"/>
    <n v="8"/>
    <n v="12.47"/>
    <d v="1899-12-30T01:01:01"/>
    <d v="1899-12-30T01:06:12"/>
    <d v="1899-12-30T01:03:37"/>
    <n v="28"/>
    <d v="1899-12-30T00:05:06"/>
    <n v="2.9690476190476192"/>
    <n v="2.5"/>
    <n v="1.25"/>
    <x v="0"/>
    <n v="0.25"/>
    <n v="0.25"/>
    <n v="0.5"/>
    <n v="0"/>
    <n v="0"/>
    <n v="0"/>
    <n v="0"/>
    <n v="1.9922619047619048"/>
    <d v="2022-03-06T00:00:00"/>
    <n v="1"/>
    <e v="#N/A"/>
  </r>
  <r>
    <x v="14"/>
    <s v="M"/>
    <n v="8"/>
    <n v="6"/>
    <d v="1899-12-30T00:29:55"/>
    <d v="1899-12-30T00:30:01"/>
    <d v="1899-12-30T00:29:58"/>
    <n v="21"/>
    <d v="1899-12-30T00:05:00"/>
    <n v="1.4285714285714286"/>
    <n v="3"/>
    <n v="1.5"/>
    <x v="1"/>
    <n v="0.25"/>
    <n v="0.5"/>
    <n v="0.25"/>
    <n v="0"/>
    <n v="0"/>
    <n v="0"/>
    <n v="0"/>
    <n v="2.2321428571428572"/>
    <d v="2022-03-01T00:00:00"/>
    <n v="1"/>
    <s v="Road"/>
  </r>
  <r>
    <x v="30"/>
    <s v="M"/>
    <n v="8"/>
    <n v="8.51"/>
    <d v="1899-12-30T00:41:58"/>
    <d v="1899-12-30T00:42:21"/>
    <d v="1899-12-30T00:42:09"/>
    <n v="23"/>
    <d v="1899-12-30T00:04:57"/>
    <n v="2.0261904761904761"/>
    <n v="3"/>
    <n v="3.5"/>
    <x v="0"/>
    <n v="0.25"/>
    <n v="0.25"/>
    <n v="0.5"/>
    <n v="0"/>
    <n v="0"/>
    <n v="0"/>
    <n v="0"/>
    <n v="3.0065476190476188"/>
    <d v="2022-03-04T00:00:00"/>
    <n v="1"/>
    <s v="Road"/>
  </r>
  <r>
    <x v="3"/>
    <s v="F"/>
    <n v="8"/>
    <n v="11.01"/>
    <d v="1899-12-30T00:58:30"/>
    <d v="1899-12-30T01:24:06"/>
    <d v="1899-12-30T01:11:18"/>
    <n v="0"/>
    <d v="1899-12-30T00:06:29"/>
    <n v="2.7524999999999999"/>
    <n v="1.5"/>
    <n v="3"/>
    <x v="0"/>
    <n v="0.25"/>
    <n v="0.25"/>
    <n v="0.5"/>
    <n v="0"/>
    <n v="0"/>
    <n v="0"/>
    <n v="0"/>
    <n v="2.5631249999999999"/>
    <d v="2022-03-02T00:00:00"/>
    <n v="1"/>
    <e v="#N/A"/>
  </r>
  <r>
    <x v="29"/>
    <s v="F"/>
    <n v="8"/>
    <n v="16.010000000000002"/>
    <d v="1899-12-30T01:32:49"/>
    <d v="1899-12-30T01:50:43"/>
    <d v="1899-12-30T01:41:46"/>
    <n v="25"/>
    <d v="1899-12-30T00:06:21"/>
    <n v="4.0025000000000004"/>
    <n v="1.5"/>
    <n v="2"/>
    <x v="1"/>
    <n v="0.25"/>
    <n v="0.5"/>
    <n v="0.25"/>
    <n v="0"/>
    <n v="0"/>
    <n v="0"/>
    <n v="0"/>
    <n v="2.2506250000000003"/>
    <d v="2022-03-05T00:00:00"/>
    <n v="1"/>
    <s v="Trail"/>
  </r>
  <r>
    <x v="28"/>
    <s v="F"/>
    <n v="8"/>
    <n v="5.01"/>
    <d v="1899-12-30T00:30:10"/>
    <d v="1899-12-30T00:30:10"/>
    <d v="1899-12-30T00:30:10"/>
    <n v="78"/>
    <d v="1899-12-30T00:06:01"/>
    <n v="1.2524999999999999"/>
    <n v="1.5"/>
    <n v="1.5"/>
    <x v="0"/>
    <n v="0.25"/>
    <n v="0.25"/>
    <n v="0.5"/>
    <n v="5.1999999999999998E-2"/>
    <n v="0"/>
    <n v="0"/>
    <n v="0"/>
    <n v="1.4901249999999999"/>
    <d v="2022-03-03T00:00:00"/>
    <n v="1"/>
    <s v="Road"/>
  </r>
  <r>
    <x v="25"/>
    <s v="M"/>
    <n v="8"/>
    <n v="17.239999999999998"/>
    <d v="1899-12-30T02:32:33"/>
    <d v="1899-12-30T02:37:46"/>
    <d v="1899-12-30T02:35:10"/>
    <n v="477"/>
    <d v="1899-12-30T00:09:00"/>
    <n v="4.1047619047619044"/>
    <n v="0"/>
    <n v="3"/>
    <x v="0"/>
    <n v="0.25"/>
    <n v="0.25"/>
    <n v="0.5"/>
    <n v="0.318"/>
    <n v="0"/>
    <n v="0"/>
    <n v="0"/>
    <n v="2.8441904761904762"/>
    <d v="2022-03-05T00:00:00"/>
    <n v="1"/>
    <e v="#N/A"/>
  </r>
  <r>
    <x v="1"/>
    <s v="M"/>
    <n v="9"/>
    <n v="22.1"/>
    <d v="1899-12-30T01:25:30"/>
    <d v="1899-12-30T01:25:30"/>
    <d v="1899-12-30T01:25:30"/>
    <n v="231"/>
    <d v="1899-12-30T00:03:52"/>
    <n v="5"/>
    <n v="5"/>
    <n v="3.5"/>
    <x v="0"/>
    <n v="0.25"/>
    <n v="0.25"/>
    <n v="0.5"/>
    <n v="0.154"/>
    <n v="0"/>
    <n v="0.45000000000000007"/>
    <n v="0"/>
    <n v="4.8540000000000001"/>
    <d v="2022-03-12T00:00:00"/>
    <n v="1"/>
    <s v="Road"/>
  </r>
  <r>
    <x v="22"/>
    <s v="M"/>
    <n v="9"/>
    <n v="19.010000000000002"/>
    <d v="1899-12-30T02:29:24"/>
    <d v="1899-12-30T02:47:40"/>
    <d v="1899-12-30T02:38:32"/>
    <n v="1010"/>
    <d v="1899-12-30T00:08:20"/>
    <n v="4.5261904761904761"/>
    <n v="0"/>
    <n v="4"/>
    <x v="0"/>
    <n v="0.25"/>
    <n v="0.25"/>
    <n v="0.5"/>
    <n v="0.67333333333333334"/>
    <n v="0"/>
    <n v="0"/>
    <n v="0"/>
    <n v="3.8048809523809521"/>
    <d v="2022-03-12T00:00:00"/>
    <n v="1"/>
    <s v="Trail"/>
  </r>
  <r>
    <x v="26"/>
    <s v="M"/>
    <n v="9"/>
    <n v="21.21"/>
    <d v="1899-12-30T02:01:28"/>
    <d v="1899-12-30T02:01:32"/>
    <d v="1899-12-30T02:01:30"/>
    <n v="58"/>
    <d v="1899-12-30T00:05:44"/>
    <n v="5"/>
    <n v="1.5"/>
    <n v="3.5"/>
    <x v="2"/>
    <n v="0.5"/>
    <n v="0.25"/>
    <n v="0.25"/>
    <n v="3.8666666666666669E-2"/>
    <n v="0"/>
    <n v="0"/>
    <n v="0"/>
    <n v="3.7886666666666668"/>
    <d v="2022-03-12T00:00:00"/>
    <n v="1"/>
    <s v="Trail"/>
  </r>
  <r>
    <x v="17"/>
    <s v="M"/>
    <n v="9"/>
    <n v="32.35"/>
    <d v="1899-12-30T03:18:18"/>
    <d v="1899-12-30T03:23:33"/>
    <d v="1899-12-30T03:20:56"/>
    <n v="1159"/>
    <d v="1899-12-30T00:06:13"/>
    <n v="5"/>
    <n v="1"/>
    <n v="4"/>
    <x v="0"/>
    <n v="0.25"/>
    <n v="0.25"/>
    <n v="0.5"/>
    <n v="0.77266666666666661"/>
    <n v="0.5"/>
    <n v="0"/>
    <n v="0"/>
    <n v="4.7726666666666668"/>
    <d v="2022-03-12T00:00:00"/>
    <n v="1"/>
    <s v="Trail"/>
  </r>
  <r>
    <x v="12"/>
    <s v="M"/>
    <n v="9"/>
    <n v="56.09"/>
    <d v="1899-12-30T06:33:46"/>
    <d v="1899-12-30T07:21:17"/>
    <d v="1899-12-30T06:57:32"/>
    <n v="1507"/>
    <d v="1899-12-30T00:07:27"/>
    <n v="5"/>
    <n v="1"/>
    <n v="4"/>
    <x v="2"/>
    <n v="0.5"/>
    <n v="0.25"/>
    <n v="0.25"/>
    <n v="1.0046666666666666"/>
    <n v="1.7"/>
    <n v="0"/>
    <n v="0"/>
    <n v="6.4546666666666672"/>
    <d v="2022-03-12T00:00:00"/>
    <n v="1"/>
    <s v="Road"/>
  </r>
  <r>
    <x v="27"/>
    <s v="M"/>
    <n v="9"/>
    <n v="13.45"/>
    <d v="1899-12-30T01:20:26"/>
    <d v="1899-12-30T01:46:58"/>
    <d v="1899-12-30T01:33:42"/>
    <n v="85"/>
    <d v="1899-12-30T00:06:58"/>
    <n v="3.2023809523809521"/>
    <n v="1"/>
    <n v="4"/>
    <x v="0"/>
    <n v="0.25"/>
    <n v="0.25"/>
    <n v="0.5"/>
    <n v="5.6666666666666664E-2"/>
    <n v="0"/>
    <n v="0"/>
    <n v="0"/>
    <n v="3.1072619047619048"/>
    <d v="2022-03-12T00:00:00"/>
    <n v="1"/>
    <s v="Trail"/>
  </r>
  <r>
    <x v="2"/>
    <s v="M"/>
    <n v="9"/>
    <n v="21.22"/>
    <d v="1899-12-30T02:32:37"/>
    <d v="1899-12-30T02:34:32"/>
    <d v="1899-12-30T02:33:34"/>
    <n v="633"/>
    <d v="1899-12-30T00:07:14"/>
    <n v="5"/>
    <n v="1"/>
    <n v="4"/>
    <x v="0"/>
    <n v="0.25"/>
    <n v="0.25"/>
    <n v="0.5"/>
    <n v="0.42199999999999999"/>
    <n v="0"/>
    <n v="0"/>
    <n v="0"/>
    <n v="3.9220000000000002"/>
    <d v="2022-03-07T00:00:00"/>
    <n v="1"/>
    <s v="Trail"/>
  </r>
  <r>
    <x v="16"/>
    <s v="F"/>
    <n v="9"/>
    <n v="10.01"/>
    <d v="1899-12-30T00:44:39"/>
    <d v="1899-12-30T00:44:39"/>
    <d v="1899-12-30T00:44:39"/>
    <n v="22"/>
    <d v="1899-12-30T00:04:28"/>
    <n v="2.5024999999999999"/>
    <n v="5"/>
    <n v="2.5"/>
    <x v="1"/>
    <n v="0.25"/>
    <n v="0.5"/>
    <n v="0.25"/>
    <n v="0"/>
    <n v="0"/>
    <n v="0.15000000000000002"/>
    <n v="0"/>
    <n v="3.9006249999999998"/>
    <d v="2022-03-12T00:00:00"/>
    <n v="1"/>
    <s v="Trail"/>
  </r>
  <r>
    <x v="0"/>
    <s v="M"/>
    <n v="9"/>
    <n v="7.15"/>
    <d v="1899-12-30T00:31:41"/>
    <d v="1899-12-30T00:31:44"/>
    <d v="1899-12-30T00:31:43"/>
    <n v="10"/>
    <d v="1899-12-30T00:04:26"/>
    <n v="1.7023809523809523"/>
    <n v="4"/>
    <n v="3"/>
    <x v="0"/>
    <n v="0.25"/>
    <n v="0.25"/>
    <n v="0.5"/>
    <n v="0"/>
    <n v="0"/>
    <n v="0"/>
    <n v="0"/>
    <n v="2.9255952380952381"/>
    <d v="2022-03-10T00:00:00"/>
    <n v="1"/>
    <s v="Road"/>
  </r>
  <r>
    <x v="13"/>
    <s v="M"/>
    <n v="9"/>
    <n v="14.8"/>
    <d v="1899-12-30T01:37:50"/>
    <d v="1899-12-30T02:23:19"/>
    <d v="1899-12-30T02:00:34"/>
    <n v="305"/>
    <d v="1899-12-30T00:08:09"/>
    <n v="3.5238095238095237"/>
    <n v="0"/>
    <n v="4"/>
    <x v="2"/>
    <n v="0.5"/>
    <n v="0.25"/>
    <n v="0.25"/>
    <n v="0.20333333333333334"/>
    <n v="0"/>
    <n v="0"/>
    <n v="0.4"/>
    <n v="3.3652380952380949"/>
    <d v="2022-03-13T00:00:00"/>
    <n v="1"/>
    <s v="Road"/>
  </r>
  <r>
    <x v="9"/>
    <s v="F"/>
    <n v="9"/>
    <n v="16"/>
    <d v="1899-12-30T01:50:30"/>
    <d v="1899-12-30T01:50:52"/>
    <d v="1899-12-30T01:50:41"/>
    <n v="694"/>
    <d v="1899-12-30T00:06:55"/>
    <n v="4"/>
    <n v="1"/>
    <n v="2"/>
    <x v="2"/>
    <n v="0.5"/>
    <n v="0.25"/>
    <n v="0.25"/>
    <n v="0.46266666666666667"/>
    <n v="0"/>
    <n v="0"/>
    <n v="0"/>
    <n v="3.2126666666666668"/>
    <d v="2022-03-13T00:00:00"/>
    <n v="1"/>
    <s v="Trail"/>
  </r>
  <r>
    <x v="20"/>
    <s v="M"/>
    <n v="9"/>
    <n v="21.3"/>
    <d v="1899-12-30T02:57:26"/>
    <d v="1899-12-30T03:01:41"/>
    <d v="1899-12-30T02:59:33"/>
    <n v="692"/>
    <d v="1899-12-30T00:08:26"/>
    <n v="5"/>
    <n v="0"/>
    <n v="3.5"/>
    <x v="2"/>
    <n v="0.5"/>
    <n v="0.25"/>
    <n v="0.25"/>
    <n v="0.46133333333333332"/>
    <n v="0"/>
    <n v="0"/>
    <n v="0"/>
    <n v="3.8363333333333332"/>
    <d v="2022-03-13T00:00:00"/>
    <n v="1"/>
    <s v="Trail"/>
  </r>
  <r>
    <x v="15"/>
    <s v="M"/>
    <n v="9"/>
    <n v="14.67"/>
    <d v="1899-12-30T01:33:20"/>
    <d v="1899-12-30T01:33:20"/>
    <d v="1899-12-30T01:33:20"/>
    <n v="0"/>
    <d v="1899-12-30T00:06:22"/>
    <n v="3.4928571428571429"/>
    <n v="1"/>
    <n v="1"/>
    <x v="2"/>
    <n v="0.5"/>
    <n v="0.25"/>
    <n v="0.25"/>
    <n v="0"/>
    <n v="0"/>
    <n v="0"/>
    <n v="0"/>
    <n v="2.2464285714285714"/>
    <d v="2022-03-13T00:00:00"/>
    <n v="1"/>
    <s v="Road"/>
  </r>
  <r>
    <x v="6"/>
    <s v="F"/>
    <n v="9"/>
    <n v="6.01"/>
    <d v="1899-12-30T00:32:02"/>
    <d v="1899-12-30T00:32:02"/>
    <d v="1899-12-30T00:32:02"/>
    <n v="26"/>
    <d v="1899-12-30T00:05:20"/>
    <n v="1.5024999999999999"/>
    <n v="3"/>
    <n v="3.5"/>
    <x v="1"/>
    <n v="0.25"/>
    <n v="0.5"/>
    <n v="0.25"/>
    <n v="0"/>
    <n v="0"/>
    <n v="0"/>
    <n v="0"/>
    <n v="2.7506249999999999"/>
    <d v="2022-03-12T00:00:00"/>
    <n v="1"/>
    <s v="Trail"/>
  </r>
  <r>
    <x v="21"/>
    <s v="M"/>
    <n v="9"/>
    <n v="10.02"/>
    <d v="1899-12-30T00:44:52"/>
    <d v="1899-12-30T00:45:13"/>
    <d v="1899-12-30T00:45:03"/>
    <n v="0"/>
    <d v="1899-12-30T00:04:30"/>
    <n v="2.3857142857142857"/>
    <n v="4"/>
    <n v="2.5"/>
    <x v="1"/>
    <n v="0.25"/>
    <n v="0.5"/>
    <n v="0.25"/>
    <n v="0"/>
    <n v="0"/>
    <n v="0"/>
    <n v="0"/>
    <n v="3.2214285714285715"/>
    <d v="2022-03-12T00:00:00"/>
    <n v="1"/>
    <s v="Trail"/>
  </r>
  <r>
    <x v="23"/>
    <s v="M"/>
    <n v="9"/>
    <n v="15.09"/>
    <d v="1899-12-30T01:28:47"/>
    <d v="1899-12-30T01:30:12"/>
    <d v="1899-12-30T01:29:30"/>
    <n v="170"/>
    <d v="1899-12-30T00:05:56"/>
    <n v="3.5928571428571425"/>
    <n v="1.5"/>
    <n v="3.5"/>
    <x v="1"/>
    <n v="0.25"/>
    <n v="0.5"/>
    <n v="0.25"/>
    <n v="0.11333333333333333"/>
    <n v="0"/>
    <n v="0"/>
    <n v="0"/>
    <n v="2.6365476190476187"/>
    <d v="2022-03-13T00:00:00"/>
    <n v="1"/>
    <s v="Road"/>
  </r>
  <r>
    <x v="11"/>
    <s v="F"/>
    <n v="9"/>
    <n v="5.01"/>
    <d v="1899-12-30T00:27:37"/>
    <d v="1899-12-30T00:27:38"/>
    <d v="1899-12-30T00:27:38"/>
    <n v="24"/>
    <d v="1899-12-30T00:05:31"/>
    <n v="1.2524999999999999"/>
    <n v="3"/>
    <n v="2.5"/>
    <x v="1"/>
    <n v="0.25"/>
    <n v="0.5"/>
    <n v="0.25"/>
    <n v="0"/>
    <n v="0"/>
    <n v="0"/>
    <n v="0"/>
    <n v="2.4381249999999999"/>
    <d v="2022-03-08T00:00:00"/>
    <n v="1"/>
    <s v="Trail"/>
  </r>
  <r>
    <x v="10"/>
    <s v="M"/>
    <n v="9"/>
    <n v="10.68"/>
    <d v="1899-12-30T01:05:34"/>
    <d v="1899-12-30T01:08:08"/>
    <d v="1899-12-30T01:06:51"/>
    <n v="35"/>
    <d v="1899-12-30T00:06:16"/>
    <n v="2.5428571428571427"/>
    <n v="1"/>
    <n v="2.75"/>
    <x v="0"/>
    <n v="0.25"/>
    <n v="0.25"/>
    <n v="0.5"/>
    <n v="0"/>
    <n v="0"/>
    <n v="0"/>
    <n v="0"/>
    <n v="2.2607142857142857"/>
    <d v="2022-03-13T00:00:00"/>
    <n v="1"/>
    <s v="Trail"/>
  </r>
  <r>
    <x v="8"/>
    <s v="F"/>
    <n v="9"/>
    <n v="5.03"/>
    <d v="1899-12-30T00:36:21"/>
    <d v="1899-12-30T00:37:17"/>
    <d v="1899-12-30T00:36:49"/>
    <n v="4"/>
    <d v="1899-12-30T00:07:19"/>
    <n v="1.2575000000000001"/>
    <n v="1"/>
    <n v="2.75"/>
    <x v="2"/>
    <n v="0.5"/>
    <n v="0.25"/>
    <n v="0.25"/>
    <n v="0"/>
    <n v="0"/>
    <n v="0"/>
    <n v="0.7"/>
    <n v="2.2662500000000003"/>
    <d v="2022-03-11T00:00:00"/>
    <n v="1"/>
    <s v="Road"/>
  </r>
  <r>
    <x v="7"/>
    <s v="F"/>
    <n v="9"/>
    <n v="20.010000000000002"/>
    <d v="1899-12-30T02:10:02"/>
    <d v="1899-12-30T02:28:59"/>
    <d v="1899-12-30T02:19:30"/>
    <n v="23"/>
    <d v="1899-12-30T00:06:58"/>
    <n v="5"/>
    <n v="1"/>
    <n v="2"/>
    <x v="2"/>
    <n v="0.5"/>
    <n v="0.25"/>
    <n v="0.25"/>
    <n v="0"/>
    <n v="0"/>
    <n v="0"/>
    <n v="0"/>
    <n v="3.25"/>
    <d v="2022-03-13T00:00:00"/>
    <n v="1"/>
    <s v="Road"/>
  </r>
  <r>
    <x v="19"/>
    <s v="F"/>
    <n v="9"/>
    <n v="7.01"/>
    <d v="1899-12-30T00:37:50"/>
    <d v="1899-12-30T00:39:14"/>
    <d v="1899-12-30T00:38:32"/>
    <n v="0"/>
    <d v="1899-12-30T00:05:30"/>
    <n v="1.7524999999999999"/>
    <n v="3"/>
    <n v="1"/>
    <x v="1"/>
    <n v="0.25"/>
    <n v="0.5"/>
    <n v="0.25"/>
    <n v="0"/>
    <n v="0"/>
    <n v="0"/>
    <n v="0"/>
    <n v="2.1881249999999999"/>
    <d v="2022-03-13T00:00:00"/>
    <n v="1"/>
    <s v="Trail"/>
  </r>
  <r>
    <x v="4"/>
    <s v="M"/>
    <n v="9"/>
    <n v="13.47"/>
    <d v="1899-12-30T01:08:53"/>
    <d v="1899-12-30T01:15:59"/>
    <d v="1899-12-30T01:12:26"/>
    <n v="39"/>
    <d v="1899-12-30T00:05:23"/>
    <n v="3.2071428571428573"/>
    <n v="2"/>
    <n v="2"/>
    <x v="0"/>
    <n v="0.25"/>
    <n v="0.25"/>
    <n v="0.5"/>
    <n v="0"/>
    <n v="0"/>
    <n v="0"/>
    <n v="0"/>
    <n v="2.3017857142857143"/>
    <d v="2022-03-09T00:00:00"/>
    <n v="1"/>
    <s v="Road"/>
  </r>
  <r>
    <x v="5"/>
    <s v="M"/>
    <n v="9"/>
    <n v="5.2"/>
    <d v="1899-12-30T00:22:51"/>
    <d v="1899-12-30T00:22:59"/>
    <d v="1899-12-30T00:22:55"/>
    <n v="0"/>
    <d v="1899-12-30T00:04:24"/>
    <n v="1.2380952380952381"/>
    <n v="4"/>
    <n v="2"/>
    <x v="1"/>
    <n v="0.25"/>
    <n v="0.5"/>
    <n v="0.25"/>
    <n v="0"/>
    <n v="0"/>
    <n v="0"/>
    <n v="0"/>
    <n v="2.8095238095238093"/>
    <d v="2022-03-10T00:00:00"/>
    <n v="1"/>
    <e v="#N/A"/>
  </r>
  <r>
    <x v="30"/>
    <s v="M"/>
    <n v="9"/>
    <n v="10.01"/>
    <d v="1899-12-30T00:44:21"/>
    <d v="1899-12-30T00:44:21"/>
    <d v="1899-12-30T00:44:21"/>
    <n v="21"/>
    <d v="1899-12-30T00:04:26"/>
    <n v="2.3833333333333333"/>
    <n v="4"/>
    <n v="2.8333333333333335"/>
    <x v="1"/>
    <n v="0.25"/>
    <n v="0.5"/>
    <n v="0.25"/>
    <n v="0"/>
    <n v="0"/>
    <n v="0"/>
    <n v="0"/>
    <n v="3.3041666666666667"/>
    <d v="2022-03-13T00:00:00"/>
    <n v="1"/>
    <s v="Road"/>
  </r>
  <r>
    <x v="29"/>
    <s v="F"/>
    <n v="9"/>
    <n v="20.69"/>
    <d v="1899-12-30T02:14:36"/>
    <d v="1899-12-30T02:44:53"/>
    <d v="1899-12-30T02:29:45"/>
    <n v="183"/>
    <d v="1899-12-30T00:07:14"/>
    <n v="5"/>
    <n v="1"/>
    <n v="3.5"/>
    <x v="2"/>
    <n v="0.5"/>
    <n v="0.25"/>
    <n v="0.25"/>
    <n v="0.122"/>
    <n v="0"/>
    <n v="0"/>
    <n v="0"/>
    <n v="3.7469999999999999"/>
    <d v="2022-03-13T00:00:00"/>
    <n v="1"/>
    <s v="Trail"/>
  </r>
  <r>
    <x v="28"/>
    <s v="F"/>
    <n v="9"/>
    <n v="5.81"/>
    <d v="1899-12-30T00:33:31"/>
    <d v="1899-12-30T00:33:46"/>
    <d v="1899-12-30T00:33:38"/>
    <n v="92"/>
    <d v="1899-12-30T00:05:47"/>
    <n v="1.4524999999999999"/>
    <n v="2"/>
    <n v="3"/>
    <x v="1"/>
    <n v="0.25"/>
    <n v="0.5"/>
    <n v="0.25"/>
    <n v="6.133333333333333E-2"/>
    <n v="0"/>
    <n v="0"/>
    <n v="0"/>
    <n v="2.1744583333333334"/>
    <d v="2022-03-08T00:00:00"/>
    <n v="1"/>
    <s v="Road"/>
  </r>
  <r>
    <x v="33"/>
    <s v="M"/>
    <n v="9"/>
    <n v="16.16"/>
    <d v="1899-12-30T01:42:03"/>
    <d v="1899-12-30T02:03:37"/>
    <d v="1899-12-30T01:52:50"/>
    <n v="56"/>
    <d v="1899-12-30T00:06:59"/>
    <n v="3.8476190476190473"/>
    <n v="1"/>
    <n v="2.5"/>
    <x v="2"/>
    <n v="0.5"/>
    <n v="0.25"/>
    <n v="0.25"/>
    <n v="3.7333333333333336E-2"/>
    <n v="0"/>
    <n v="0"/>
    <n v="0"/>
    <n v="2.8361428571428569"/>
    <d v="2022-03-13T00:00:00"/>
    <n v="1"/>
    <e v="#N/A"/>
  </r>
  <r>
    <x v="32"/>
    <s v="M"/>
    <n v="9"/>
    <n v="20.2"/>
    <d v="1899-12-30T04:06:46"/>
    <d v="1899-12-30T04:44:34"/>
    <d v="1899-12-30T04:25:40"/>
    <n v="1025"/>
    <d v="1899-12-30T00:13:09"/>
    <n v="4.8095238095238093"/>
    <n v="0"/>
    <n v="3.75"/>
    <x v="2"/>
    <n v="0.5"/>
    <n v="0.25"/>
    <n v="0.25"/>
    <n v="0.68333333333333335"/>
    <n v="0"/>
    <n v="0"/>
    <n v="0"/>
    <n v="4.0255952380952378"/>
    <d v="2022-03-12T00:00:00"/>
    <n v="1"/>
    <s v="Road"/>
  </r>
  <r>
    <x v="1"/>
    <s v="M"/>
    <n v="10"/>
    <n v="27"/>
    <d v="1899-12-30T01:51:42"/>
    <d v="1899-12-30T01:51:49"/>
    <d v="1899-12-30T01:51:46"/>
    <n v="280"/>
    <d v="1899-12-30T00:04:08"/>
    <n v="5"/>
    <n v="4.5"/>
    <n v="3"/>
    <x v="2"/>
    <n v="0.5"/>
    <n v="0.25"/>
    <n v="0.25"/>
    <n v="0.18666666666666668"/>
    <n v="0.3"/>
    <n v="0"/>
    <n v="0"/>
    <n v="4.8616666666666664"/>
    <d v="2022-03-15T00:00:00"/>
    <n v="1"/>
    <s v="Road"/>
  </r>
  <r>
    <x v="22"/>
    <s v="M"/>
    <n v="10"/>
    <n v="51"/>
    <d v="1899-12-30T07:17:34"/>
    <d v="1899-12-30T07:39:26"/>
    <d v="1899-12-30T07:28:30"/>
    <n v="2205"/>
    <d v="1899-12-30T00:08:48"/>
    <n v="5"/>
    <n v="0"/>
    <n v="3.75"/>
    <x v="2"/>
    <n v="0.5"/>
    <n v="0.25"/>
    <n v="0.25"/>
    <n v="1.47"/>
    <n v="1.5"/>
    <n v="0"/>
    <n v="0"/>
    <n v="6.4074999999999998"/>
    <d v="2022-03-20T00:00:00"/>
    <n v="1"/>
    <s v="Trail"/>
  </r>
  <r>
    <x v="26"/>
    <s v="M"/>
    <n v="10"/>
    <n v="8.06"/>
    <d v="1899-12-30T00:42:46"/>
    <d v="1899-12-30T00:42:50"/>
    <d v="1899-12-30T00:42:48"/>
    <n v="48"/>
    <d v="1899-12-30T00:05:19"/>
    <n v="1.9190476190476191"/>
    <n v="2"/>
    <n v="2.5"/>
    <x v="1"/>
    <n v="0.25"/>
    <n v="0.5"/>
    <n v="0.25"/>
    <n v="0"/>
    <n v="0"/>
    <n v="0"/>
    <n v="0"/>
    <n v="2.1047619047619048"/>
    <d v="2022-03-17T00:00:00"/>
    <n v="1"/>
    <s v="Trail"/>
  </r>
  <r>
    <x v="17"/>
    <s v="M"/>
    <n v="10"/>
    <n v="13.01"/>
    <d v="1899-12-30T00:59:22"/>
    <d v="1899-12-30T00:59:22"/>
    <d v="1899-12-30T00:59:22"/>
    <n v="44"/>
    <d v="1899-12-30T00:04:34"/>
    <n v="3.0976190476190473"/>
    <n v="3.5"/>
    <n v="3.5"/>
    <x v="1"/>
    <n v="0.25"/>
    <n v="0.5"/>
    <n v="0.25"/>
    <n v="0"/>
    <n v="0"/>
    <n v="0"/>
    <n v="0"/>
    <n v="3.399404761904762"/>
    <d v="2022-03-16T00:00:00"/>
    <n v="1"/>
    <s v="Trail"/>
  </r>
  <r>
    <x v="12"/>
    <s v="M"/>
    <n v="10"/>
    <n v="12.5"/>
    <d v="1899-12-30T00:56:00"/>
    <d v="1899-12-30T00:56:00"/>
    <d v="1899-12-30T00:56:00"/>
    <n v="13"/>
    <d v="1899-12-30T00:04:29"/>
    <n v="2.9761904761904763"/>
    <n v="4"/>
    <n v="2.5"/>
    <x v="1"/>
    <n v="0.25"/>
    <n v="0.5"/>
    <n v="0.25"/>
    <n v="0"/>
    <n v="0"/>
    <n v="0"/>
    <n v="0"/>
    <n v="3.3690476190476191"/>
    <d v="2022-03-15T00:00:00"/>
    <n v="1"/>
    <s v="Road"/>
  </r>
  <r>
    <x v="27"/>
    <s v="M"/>
    <n v="10"/>
    <n v="21.26"/>
    <d v="1899-12-30T01:34:35"/>
    <d v="1899-12-30T01:35:03"/>
    <d v="1899-12-30T01:34:49"/>
    <n v="20"/>
    <d v="1899-12-30T00:04:28"/>
    <n v="5"/>
    <n v="4"/>
    <n v="0.5"/>
    <x v="2"/>
    <n v="0.5"/>
    <n v="0.25"/>
    <n v="0.25"/>
    <n v="0"/>
    <n v="0"/>
    <n v="0"/>
    <n v="0"/>
    <n v="3.625"/>
    <d v="2022-03-20T00:00:00"/>
    <n v="1"/>
    <s v="Trail"/>
  </r>
  <r>
    <x v="16"/>
    <s v="F"/>
    <n v="10"/>
    <n v="2.5099999999999998"/>
    <d v="1899-12-30T00:10:40"/>
    <d v="1899-12-30T00:10:40"/>
    <d v="1899-12-30T00:10:40"/>
    <n v="2"/>
    <d v="1899-12-30T00:04:15"/>
    <n v="0.62749999999999995"/>
    <n v="5"/>
    <n v="4"/>
    <x v="1"/>
    <n v="0.25"/>
    <n v="0.5"/>
    <n v="0.25"/>
    <n v="0"/>
    <n v="0"/>
    <n v="1.4999999999999998"/>
    <n v="0"/>
    <n v="5.1568749999999994"/>
    <d v="2022-03-19T00:00:00"/>
    <n v="1"/>
    <s v="Trail"/>
  </r>
  <r>
    <x v="2"/>
    <s v="M"/>
    <n v="10"/>
    <n v="21.16"/>
    <d v="1899-12-30T01:49:22"/>
    <d v="1899-12-30T01:49:25"/>
    <d v="1899-12-30T01:49:23"/>
    <n v="117"/>
    <d v="1899-12-30T00:05:10"/>
    <n v="5"/>
    <n v="2.5"/>
    <n v="3.5"/>
    <x v="1"/>
    <n v="0.25"/>
    <n v="0.5"/>
    <n v="0.25"/>
    <n v="7.8E-2"/>
    <n v="0"/>
    <n v="0"/>
    <n v="0"/>
    <n v="3.4529999999999998"/>
    <d v="2022-03-15T00:00:00"/>
    <n v="1"/>
    <s v="Trail"/>
  </r>
  <r>
    <x v="9"/>
    <s v="F"/>
    <n v="10"/>
    <n v="10.01"/>
    <d v="1899-12-30T00:50:29"/>
    <d v="1899-12-30T00:51:31"/>
    <d v="1899-12-30T00:51:00"/>
    <n v="25"/>
    <d v="1899-12-30T00:05:06"/>
    <n v="2.5024999999999999"/>
    <n v="3.5"/>
    <n v="2.5"/>
    <x v="1"/>
    <n v="0.25"/>
    <n v="0.5"/>
    <n v="0.25"/>
    <n v="0"/>
    <n v="0"/>
    <n v="0"/>
    <n v="0"/>
    <n v="3.0006249999999999"/>
    <d v="2022-03-20T00:00:00"/>
    <n v="1"/>
    <s v="Trail"/>
  </r>
  <r>
    <x v="0"/>
    <s v="M"/>
    <n v="10"/>
    <n v="21.12"/>
    <d v="1899-12-30T01:39:05"/>
    <d v="1899-12-30T01:39:25"/>
    <d v="1899-12-30T01:39:15"/>
    <n v="43"/>
    <d v="1899-12-30T00:04:42"/>
    <n v="5"/>
    <n v="3.5"/>
    <n v="4"/>
    <x v="2"/>
    <n v="0.5"/>
    <n v="0.25"/>
    <n v="0.25"/>
    <n v="0"/>
    <n v="0"/>
    <n v="0"/>
    <n v="0"/>
    <n v="4.375"/>
    <d v="2022-03-20T00:00:00"/>
    <n v="1"/>
    <s v="Road"/>
  </r>
  <r>
    <x v="13"/>
    <s v="M"/>
    <n v="10"/>
    <n v="10.56"/>
    <d v="1899-12-30T01:04:03"/>
    <d v="1899-12-30T01:33:55"/>
    <d v="1899-12-30T01:18:59"/>
    <n v="126"/>
    <d v="1899-12-30T00:07:29"/>
    <n v="2.5142857142857142"/>
    <n v="1"/>
    <n v="3"/>
    <x v="1"/>
    <n v="0.25"/>
    <n v="0.5"/>
    <n v="0.25"/>
    <n v="8.4000000000000005E-2"/>
    <n v="0"/>
    <n v="0"/>
    <n v="0.4"/>
    <n v="2.3625714285714285"/>
    <d v="2022-03-20T00:00:00"/>
    <n v="1"/>
    <s v="Road"/>
  </r>
  <r>
    <x v="20"/>
    <s v="M"/>
    <n v="10"/>
    <n v="3.01"/>
    <d v="1899-12-30T00:14:32"/>
    <d v="1899-12-30T00:14:32"/>
    <d v="1899-12-30T00:14:32"/>
    <n v="14"/>
    <d v="1899-12-30T00:04:50"/>
    <n v="0.71666666666666656"/>
    <n v="3"/>
    <n v="2.5"/>
    <x v="1"/>
    <n v="0.25"/>
    <n v="0.5"/>
    <n v="0.25"/>
    <n v="0"/>
    <n v="0"/>
    <n v="0"/>
    <n v="0"/>
    <n v="2.3041666666666667"/>
    <d v="2022-03-20T00:00:00"/>
    <n v="1"/>
    <s v="Trail"/>
  </r>
  <r>
    <x v="6"/>
    <s v="F"/>
    <n v="10"/>
    <n v="10.01"/>
    <d v="1899-12-30T01:08:34"/>
    <d v="1899-12-30T01:44:52"/>
    <d v="1899-12-30T01:26:43"/>
    <n v="411"/>
    <d v="1899-12-30T00:08:40"/>
    <n v="2.5024999999999999"/>
    <n v="1"/>
    <n v="3"/>
    <x v="0"/>
    <n v="0.25"/>
    <n v="0.25"/>
    <n v="0.5"/>
    <n v="0.27400000000000002"/>
    <n v="0"/>
    <n v="0"/>
    <n v="0"/>
    <n v="2.6496249999999999"/>
    <d v="2022-03-20T00:00:00"/>
    <n v="1"/>
    <s v="Trail"/>
  </r>
  <r>
    <x v="15"/>
    <s v="M"/>
    <n v="10"/>
    <n v="21.12"/>
    <d v="1899-12-30T02:11:45"/>
    <d v="1899-12-30T02:16:26"/>
    <d v="1899-12-30T02:14:05"/>
    <n v="57"/>
    <d v="1899-12-30T00:06:21"/>
    <n v="5"/>
    <n v="1"/>
    <n v="2.25"/>
    <x v="1"/>
    <n v="0.25"/>
    <n v="0.5"/>
    <n v="0.25"/>
    <n v="3.7999999999999999E-2"/>
    <n v="0"/>
    <n v="0"/>
    <n v="0"/>
    <n v="2.3504999999999998"/>
    <d v="2022-03-20T00:00:00"/>
    <n v="1"/>
    <s v="Road"/>
  </r>
  <r>
    <x v="7"/>
    <s v="F"/>
    <n v="10"/>
    <n v="3"/>
    <d v="1899-12-30T00:15:50"/>
    <d v="1899-12-30T00:15:50"/>
    <d v="1899-12-30T00:15:50"/>
    <n v="4"/>
    <d v="1899-12-30T00:05:17"/>
    <n v="0.75"/>
    <n v="3"/>
    <n v="3.5"/>
    <x v="1"/>
    <n v="0.25"/>
    <n v="0.5"/>
    <n v="0.25"/>
    <n v="0"/>
    <n v="0"/>
    <n v="0"/>
    <n v="0"/>
    <n v="2.5625"/>
    <d v="2022-03-19T00:00:00"/>
    <n v="1"/>
    <s v="Road"/>
  </r>
  <r>
    <x v="11"/>
    <s v="F"/>
    <n v="10"/>
    <n v="6.44"/>
    <d v="1899-12-30T00:36:57"/>
    <d v="1899-12-30T00:36:57"/>
    <d v="1899-12-30T00:36:57"/>
    <n v="33"/>
    <d v="1899-12-30T00:05:44"/>
    <n v="1.61"/>
    <n v="2.5"/>
    <n v="3"/>
    <x v="1"/>
    <n v="0.25"/>
    <n v="0.5"/>
    <n v="0.25"/>
    <n v="0"/>
    <n v="0"/>
    <n v="0"/>
    <n v="0"/>
    <n v="2.4024999999999999"/>
    <d v="2022-03-16T00:00:00"/>
    <n v="1"/>
    <s v="Trail"/>
  </r>
  <r>
    <x v="8"/>
    <s v="F"/>
    <n v="10"/>
    <n v="8.2799999999999994"/>
    <d v="1899-12-30T01:02:52"/>
    <d v="1899-12-30T01:23:43"/>
    <d v="1899-12-30T01:13:18"/>
    <n v="0"/>
    <d v="1899-12-30T00:08:51"/>
    <n v="2.0699999999999998"/>
    <n v="1"/>
    <n v="1"/>
    <x v="1"/>
    <n v="0.25"/>
    <n v="0.5"/>
    <n v="0.25"/>
    <n v="0"/>
    <n v="0"/>
    <n v="0"/>
    <n v="0.7"/>
    <n v="1.9675"/>
    <d v="2022-03-18T00:00:00"/>
    <n v="1"/>
    <s v="Road"/>
  </r>
  <r>
    <x v="4"/>
    <s v="M"/>
    <n v="10"/>
    <n v="24.09"/>
    <d v="1899-12-30T02:16:04"/>
    <d v="1899-12-30T02:22:10"/>
    <d v="1899-12-30T02:19:07"/>
    <n v="94"/>
    <d v="1899-12-30T00:05:46"/>
    <n v="5"/>
    <n v="1.5"/>
    <n v="2.5"/>
    <x v="2"/>
    <n v="0.5"/>
    <n v="0.25"/>
    <n v="0.25"/>
    <n v="6.2666666666666662E-2"/>
    <n v="0.1"/>
    <n v="0"/>
    <n v="0"/>
    <n v="3.662666666666667"/>
    <d v="2022-03-15T00:00:00"/>
    <n v="1"/>
    <s v="Road"/>
  </r>
  <r>
    <x v="19"/>
    <s v="F"/>
    <n v="10"/>
    <n v="5.01"/>
    <d v="1899-12-30T00:29:01"/>
    <d v="1899-12-30T00:30:25"/>
    <d v="1899-12-30T00:29:43"/>
    <n v="69"/>
    <d v="1899-12-30T00:05:56"/>
    <n v="1.2524999999999999"/>
    <n v="2"/>
    <n v="3"/>
    <x v="0"/>
    <n v="0.25"/>
    <n v="0.25"/>
    <n v="0.5"/>
    <n v="4.5999999999999999E-2"/>
    <n v="0"/>
    <n v="0"/>
    <n v="0"/>
    <n v="2.3591249999999997"/>
    <d v="2022-03-19T00:00:00"/>
    <n v="1"/>
    <s v="Trail"/>
  </r>
  <r>
    <x v="30"/>
    <s v="M"/>
    <n v="10"/>
    <n v="11.65"/>
    <d v="1899-12-30T01:04:24"/>
    <d v="1899-12-30T01:05:20"/>
    <d v="1899-12-30T01:04:52"/>
    <n v="177"/>
    <d v="1899-12-30T00:05:34"/>
    <n v="2.7738095238095237"/>
    <n v="1.5"/>
    <n v="2.5"/>
    <x v="1"/>
    <n v="0.25"/>
    <n v="0.5"/>
    <n v="0.25"/>
    <n v="0.11799999999999999"/>
    <n v="0"/>
    <n v="0"/>
    <n v="0"/>
    <n v="2.1864523809523808"/>
    <d v="2022-03-15T00:00:00"/>
    <n v="1"/>
    <s v="Road"/>
  </r>
  <r>
    <x v="5"/>
    <s v="M"/>
    <n v="10"/>
    <n v="11.62"/>
    <d v="1899-12-30T00:59:08"/>
    <d v="1899-12-30T00:59:21"/>
    <d v="1899-12-30T00:59:15"/>
    <n v="0"/>
    <d v="1899-12-30T00:05:06"/>
    <n v="2.7666666666666662"/>
    <n v="2.5"/>
    <n v="1.5"/>
    <x v="2"/>
    <n v="0.5"/>
    <n v="0.25"/>
    <n v="0.25"/>
    <n v="0"/>
    <n v="0"/>
    <n v="0"/>
    <n v="0"/>
    <n v="2.3833333333333329"/>
    <d v="2022-03-16T00:00:00"/>
    <n v="1"/>
    <e v="#N/A"/>
  </r>
  <r>
    <x v="29"/>
    <s v="F"/>
    <n v="10"/>
    <n v="15.07"/>
    <d v="1899-12-30T01:29:48"/>
    <d v="1899-12-30T01:52:53"/>
    <d v="1899-12-30T01:41:20"/>
    <n v="8"/>
    <d v="1899-12-30T00:06:43"/>
    <n v="3.7675000000000001"/>
    <n v="1"/>
    <n v="3"/>
    <x v="0"/>
    <n v="0.25"/>
    <n v="0.25"/>
    <n v="0.5"/>
    <n v="0"/>
    <n v="0"/>
    <n v="0"/>
    <n v="0"/>
    <n v="2.691875"/>
    <d v="2022-03-17T00:00:00"/>
    <n v="1"/>
    <s v="Trail"/>
  </r>
  <r>
    <x v="28"/>
    <s v="F"/>
    <n v="10"/>
    <n v="5.0199999999999996"/>
    <d v="1899-12-30T00:27:52"/>
    <d v="1899-12-30T00:27:56"/>
    <d v="1899-12-30T00:27:54"/>
    <n v="49"/>
    <d v="1899-12-30T00:05:33"/>
    <n v="1.2549999999999999"/>
    <n v="2.5"/>
    <n v="2"/>
    <x v="1"/>
    <n v="0.25"/>
    <n v="0.5"/>
    <n v="0.25"/>
    <n v="0"/>
    <n v="0"/>
    <n v="0"/>
    <n v="0"/>
    <n v="2.0637499999999998"/>
    <d v="2022-03-16T00:00:00"/>
    <n v="1"/>
    <s v="Road"/>
  </r>
  <r>
    <x v="18"/>
    <s v="M"/>
    <n v="10"/>
    <n v="12.29"/>
    <d v="1899-12-30T00:58:23"/>
    <d v="1899-12-30T00:59:13"/>
    <d v="1899-12-30T00:58:48"/>
    <n v="0"/>
    <d v="1899-12-30T00:04:47"/>
    <n v="2.926190476190476"/>
    <n v="3"/>
    <n v="2"/>
    <x v="2"/>
    <n v="0.5"/>
    <n v="0.25"/>
    <n v="0.25"/>
    <n v="0"/>
    <n v="0"/>
    <n v="0"/>
    <n v="0"/>
    <n v="2.7130952380952378"/>
    <d v="2022-03-14T00:00:00"/>
    <n v="1"/>
    <s v="Road"/>
  </r>
  <r>
    <x v="32"/>
    <s v="M"/>
    <n v="10"/>
    <n v="19.5"/>
    <d v="1899-12-30T02:31:18"/>
    <d v="1899-12-30T02:42:30"/>
    <d v="1899-12-30T02:36:54"/>
    <n v="738"/>
    <d v="1899-12-30T00:08:03"/>
    <n v="4.6428571428571423"/>
    <n v="0"/>
    <n v="3.5"/>
    <x v="1"/>
    <n v="0.25"/>
    <n v="0.5"/>
    <n v="0.25"/>
    <n v="0.49199999999999999"/>
    <n v="0"/>
    <n v="0"/>
    <n v="0"/>
    <n v="2.5277142857142856"/>
    <d v="2022-03-19T00:00:00"/>
    <n v="1"/>
    <s v="Road"/>
  </r>
  <r>
    <x v="33"/>
    <s v="M"/>
    <n v="10"/>
    <n v="14.01"/>
    <d v="1899-12-30T01:25:18"/>
    <d v="1899-12-30T02:01:30"/>
    <d v="1899-12-30T01:43:24"/>
    <n v="45"/>
    <d v="1899-12-30T00:07:23"/>
    <n v="3.3357142857142854"/>
    <n v="1"/>
    <n v="0.5"/>
    <x v="1"/>
    <n v="0.25"/>
    <n v="0.5"/>
    <n v="0.25"/>
    <n v="0"/>
    <n v="0"/>
    <n v="0"/>
    <n v="0"/>
    <n v="1.4589285714285714"/>
    <d v="2022-03-20T00:00:00"/>
    <n v="1"/>
    <e v="#N/A"/>
  </r>
  <r>
    <x v="33"/>
    <s v="M"/>
    <n v="11"/>
    <n v="22.54"/>
    <d v="1899-12-30T02:12:33"/>
    <d v="1899-12-30T02:58:29"/>
    <d v="1899-12-30T02:35:31"/>
    <n v="102"/>
    <d v="1899-12-30T00:06:54"/>
    <n v="5"/>
    <n v="1"/>
    <n v="3.5"/>
    <x v="0"/>
    <n v="0.25"/>
    <n v="0.25"/>
    <n v="0.5"/>
    <n v="6.8000000000000005E-2"/>
    <n v="0"/>
    <n v="0"/>
    <n v="0"/>
    <n v="3.3180000000000001"/>
    <d v="2022-03-26T00:00:00"/>
    <n v="1"/>
    <e v="#N/A"/>
  </r>
  <r>
    <x v="18"/>
    <s v="M"/>
    <n v="11"/>
    <n v="13.53"/>
    <d v="1899-12-30T01:09:42"/>
    <d v="1899-12-30T01:11:37"/>
    <d v="1899-12-30T01:10:40"/>
    <n v="196"/>
    <d v="1899-12-30T00:05:13"/>
    <n v="3.2214285714285711"/>
    <n v="2.5"/>
    <n v="2.5"/>
    <x v="2"/>
    <n v="0.5"/>
    <n v="0.25"/>
    <n v="0.25"/>
    <n v="0.13066666666666665"/>
    <n v="0"/>
    <n v="0"/>
    <n v="0"/>
    <n v="2.9913809523809523"/>
    <d v="2022-03-25T00:00:00"/>
    <n v="1"/>
    <s v="Road"/>
  </r>
  <r>
    <x v="28"/>
    <s v="F"/>
    <n v="11"/>
    <n v="5.01"/>
    <d v="1899-12-30T00:31:37"/>
    <d v="1899-12-30T00:31:51"/>
    <d v="1899-12-30T00:31:44"/>
    <n v="59"/>
    <d v="1899-12-30T00:06:20"/>
    <n v="1.2524999999999999"/>
    <n v="1.5"/>
    <n v="2.5"/>
    <x v="0"/>
    <n v="0.25"/>
    <n v="0.25"/>
    <n v="0.5"/>
    <n v="3.9333333333333331E-2"/>
    <n v="0"/>
    <n v="0"/>
    <n v="0"/>
    <n v="1.9774583333333333"/>
    <d v="2022-03-27T00:00:00"/>
    <n v="1"/>
    <s v="Road"/>
  </r>
  <r>
    <x v="14"/>
    <s v="M"/>
    <n v="11"/>
    <n v="11.56"/>
    <d v="1899-12-30T01:00:00"/>
    <d v="1899-12-30T01:05:55"/>
    <d v="1899-12-30T01:02:58"/>
    <n v="47"/>
    <d v="1899-12-30T00:05:27"/>
    <n v="2.7523809523809524"/>
    <n v="2"/>
    <n v="1.5"/>
    <x v="0"/>
    <n v="0.25"/>
    <n v="0.25"/>
    <n v="0.5"/>
    <n v="0"/>
    <n v="0"/>
    <n v="0"/>
    <n v="0"/>
    <n v="1.9380952380952381"/>
    <d v="2022-03-25T00:00:00"/>
    <n v="1"/>
    <s v="Road"/>
  </r>
  <r>
    <x v="10"/>
    <s v="M"/>
    <n v="11"/>
    <n v="7.2"/>
    <d v="1899-12-30T00:43:03"/>
    <d v="1899-12-30T00:45:13"/>
    <d v="1899-12-30T00:44:08"/>
    <n v="21"/>
    <d v="1899-12-30T00:06:08"/>
    <n v="1.7142857142857142"/>
    <n v="1"/>
    <n v="3.5"/>
    <x v="0"/>
    <n v="0.25"/>
    <n v="0.25"/>
    <n v="0.5"/>
    <n v="0"/>
    <n v="0"/>
    <n v="0"/>
    <n v="0"/>
    <n v="2.4285714285714288"/>
    <d v="2022-03-26T00:00:00"/>
    <n v="1"/>
    <s v="Trail"/>
  </r>
  <r>
    <x v="29"/>
    <s v="F"/>
    <n v="11"/>
    <n v="43.52"/>
    <d v="1899-12-30T07:18:54"/>
    <d v="1899-12-30T07:27:15"/>
    <d v="1899-12-30T07:23:04"/>
    <n v="112"/>
    <d v="1899-12-30T00:10:11"/>
    <n v="5"/>
    <n v="0"/>
    <n v="4"/>
    <x v="2"/>
    <n v="0.5"/>
    <n v="0.25"/>
    <n v="0.25"/>
    <n v="7.4666666666666673E-2"/>
    <n v="1.1000000000000001"/>
    <n v="0"/>
    <n v="0"/>
    <n v="4.674666666666667"/>
    <d v="2022-03-22T00:00:00"/>
    <n v="1"/>
    <s v="Trail"/>
  </r>
  <r>
    <x v="5"/>
    <s v="M"/>
    <n v="11"/>
    <n v="21.23"/>
    <d v="1899-12-30T01:56:58"/>
    <d v="1899-12-30T02:08:05"/>
    <d v="1899-12-30T02:02:31"/>
    <n v="16"/>
    <d v="1899-12-30T00:05:46"/>
    <n v="5"/>
    <n v="1.5"/>
    <n v="3.5"/>
    <x v="2"/>
    <n v="0.5"/>
    <n v="0.25"/>
    <n v="0.25"/>
    <n v="0"/>
    <n v="0"/>
    <n v="0"/>
    <n v="0"/>
    <n v="3.75"/>
    <d v="2022-03-24T00:00:00"/>
    <n v="1"/>
    <e v="#N/A"/>
  </r>
  <r>
    <x v="23"/>
    <s v="M"/>
    <n v="11"/>
    <n v="56.29"/>
    <d v="1899-12-30T07:55:32"/>
    <d v="1899-12-30T07:55:35"/>
    <d v="1899-12-30T07:55:33"/>
    <n v="2491"/>
    <d v="1899-12-30T00:08:27"/>
    <n v="5"/>
    <n v="0"/>
    <n v="2.5"/>
    <x v="0"/>
    <n v="0.25"/>
    <n v="0.25"/>
    <n v="0.5"/>
    <n v="1.6606666666666667"/>
    <n v="1.7"/>
    <n v="0"/>
    <n v="0"/>
    <n v="5.8606666666666669"/>
    <d v="2022-03-26T00:00:00"/>
    <n v="1"/>
    <s v="Road"/>
  </r>
  <r>
    <x v="8"/>
    <s v="F"/>
    <n v="11"/>
    <n v="8"/>
    <d v="1899-12-30T01:00:13"/>
    <d v="1899-12-30T01:25:17"/>
    <d v="1899-12-30T01:12:45"/>
    <n v="0"/>
    <d v="1899-12-30T00:09:06"/>
    <n v="2"/>
    <n v="0"/>
    <n v="2.5"/>
    <x v="0"/>
    <n v="0.25"/>
    <n v="0.25"/>
    <n v="0.5"/>
    <n v="0"/>
    <n v="0"/>
    <n v="0"/>
    <n v="0.7"/>
    <n v="2.4500000000000002"/>
    <d v="2022-03-21T00:00:00"/>
    <n v="1"/>
    <s v="Road"/>
  </r>
  <r>
    <x v="19"/>
    <s v="F"/>
    <n v="11"/>
    <n v="13.01"/>
    <d v="1899-12-30T01:14:18"/>
    <d v="1899-12-30T01:19:04"/>
    <d v="1899-12-30T01:16:41"/>
    <n v="122"/>
    <d v="1899-12-30T00:05:54"/>
    <n v="3.2524999999999999"/>
    <n v="2"/>
    <n v="2.5"/>
    <x v="2"/>
    <n v="0.5"/>
    <n v="0.25"/>
    <n v="0.25"/>
    <n v="8.1333333333333327E-2"/>
    <n v="0"/>
    <n v="0"/>
    <n v="0"/>
    <n v="2.832583333333333"/>
    <d v="2022-03-27T00:00:00"/>
    <n v="1"/>
    <s v="Trail"/>
  </r>
  <r>
    <x v="21"/>
    <s v="M"/>
    <n v="11"/>
    <n v="10.89"/>
    <d v="1899-12-30T00:58:25"/>
    <d v="1899-12-30T00:59:48"/>
    <d v="1899-12-30T00:59:07"/>
    <n v="32"/>
    <d v="1899-12-30T00:05:26"/>
    <n v="2.592857142857143"/>
    <n v="2"/>
    <n v="3"/>
    <x v="0"/>
    <n v="0.25"/>
    <n v="0.25"/>
    <n v="0.5"/>
    <n v="0"/>
    <n v="0"/>
    <n v="0"/>
    <n v="0"/>
    <n v="2.6482142857142859"/>
    <d v="2022-03-26T00:00:00"/>
    <n v="1"/>
    <s v="Trail"/>
  </r>
  <r>
    <x v="11"/>
    <s v="F"/>
    <n v="11"/>
    <n v="5.0999999999999996"/>
    <d v="1899-12-30T00:29:52"/>
    <d v="1899-12-30T00:31:42"/>
    <d v="1899-12-30T00:30:47"/>
    <n v="11"/>
    <d v="1899-12-30T00:06:02"/>
    <n v="1.2749999999999999"/>
    <n v="1.5"/>
    <n v="4"/>
    <x v="0"/>
    <n v="0.25"/>
    <n v="0.25"/>
    <n v="0.5"/>
    <n v="0"/>
    <n v="0"/>
    <n v="0"/>
    <n v="0"/>
    <n v="2.6937500000000001"/>
    <d v="2022-03-24T00:00:00"/>
    <n v="1"/>
    <s v="Trail"/>
  </r>
  <r>
    <x v="7"/>
    <s v="F"/>
    <n v="11"/>
    <n v="10"/>
    <d v="1899-12-30T01:01:29"/>
    <d v="1899-12-30T01:08:27"/>
    <d v="1899-12-30T01:04:58"/>
    <n v="11"/>
    <d v="1899-12-30T00:06:30"/>
    <n v="2.5"/>
    <n v="1.5"/>
    <n v="3.75"/>
    <x v="0"/>
    <n v="0.25"/>
    <n v="0.25"/>
    <n v="0.5"/>
    <n v="0"/>
    <n v="0"/>
    <n v="0"/>
    <n v="0"/>
    <n v="2.875"/>
    <d v="2022-03-27T00:00:00"/>
    <n v="1"/>
    <s v="Road"/>
  </r>
  <r>
    <x v="4"/>
    <s v="M"/>
    <n v="11"/>
    <n v="14.01"/>
    <d v="1899-12-30T01:07:24"/>
    <d v="1899-12-30T01:08:11"/>
    <d v="1899-12-30T01:07:47"/>
    <n v="56"/>
    <d v="1899-12-30T00:04:50"/>
    <n v="3.3357142857142854"/>
    <n v="3"/>
    <n v="1"/>
    <x v="1"/>
    <n v="0.25"/>
    <n v="0.5"/>
    <n v="0.25"/>
    <n v="3.7333333333333336E-2"/>
    <n v="0"/>
    <n v="0"/>
    <n v="0"/>
    <n v="2.6212619047619046"/>
    <d v="2022-03-23T00:00:00"/>
    <n v="1"/>
    <s v="Road"/>
  </r>
  <r>
    <x v="15"/>
    <s v="M"/>
    <n v="11"/>
    <n v="20"/>
    <d v="1899-12-30T02:01:47"/>
    <d v="1899-12-30T02:03:14"/>
    <d v="1899-12-30T02:02:30"/>
    <n v="19"/>
    <d v="1899-12-30T00:06:08"/>
    <n v="4.7619047619047619"/>
    <n v="1"/>
    <n v="1"/>
    <x v="0"/>
    <n v="0.25"/>
    <n v="0.25"/>
    <n v="0.5"/>
    <n v="0"/>
    <n v="0"/>
    <n v="0"/>
    <n v="0"/>
    <n v="1.9404761904761905"/>
    <d v="2022-04-27T00:00:00"/>
    <n v="1"/>
    <s v="Road"/>
  </r>
  <r>
    <x v="6"/>
    <s v="F"/>
    <n v="11"/>
    <n v="10.029999999999999"/>
    <d v="1899-12-30T00:51:24"/>
    <d v="1899-12-30T00:51:28"/>
    <d v="1899-12-30T00:51:26"/>
    <n v="34"/>
    <d v="1899-12-30T00:05:08"/>
    <n v="2.5074999999999998"/>
    <n v="3.5"/>
    <n v="3"/>
    <x v="1"/>
    <n v="0.25"/>
    <n v="0.5"/>
    <n v="0.25"/>
    <n v="0"/>
    <n v="0"/>
    <n v="0"/>
    <n v="0"/>
    <n v="3.1268750000000001"/>
    <d v="2022-03-26T00:00:00"/>
    <n v="1"/>
    <s v="Trail"/>
  </r>
  <r>
    <x v="20"/>
    <s v="M"/>
    <n v="11"/>
    <n v="13.65"/>
    <d v="1899-12-30T01:52:46"/>
    <d v="1899-12-30T01:55:33"/>
    <d v="1899-12-30T01:54:09"/>
    <n v="427"/>
    <d v="1899-12-30T00:08:22"/>
    <n v="3.25"/>
    <n v="0"/>
    <n v="4"/>
    <x v="0"/>
    <n v="0.25"/>
    <n v="0.25"/>
    <n v="0.5"/>
    <n v="0.28466666666666668"/>
    <n v="0"/>
    <n v="0"/>
    <n v="0"/>
    <n v="3.0971666666666668"/>
    <d v="2022-03-27T00:00:00"/>
    <n v="1"/>
    <s v="Trail"/>
  </r>
  <r>
    <x v="13"/>
    <s v="M"/>
    <n v="11"/>
    <n v="11.37"/>
    <d v="1899-12-30T01:05:11"/>
    <d v="1899-12-30T01:07:41"/>
    <d v="1899-12-30T01:06:26"/>
    <n v="154"/>
    <d v="1899-12-30T00:05:51"/>
    <n v="2.7071428571428569"/>
    <n v="1.5"/>
    <n v="2.5"/>
    <x v="0"/>
    <n v="0.25"/>
    <n v="0.25"/>
    <n v="0.5"/>
    <n v="0.10266666666666667"/>
    <n v="0"/>
    <n v="0"/>
    <n v="0.4"/>
    <n v="2.8044523809523807"/>
    <d v="2022-03-23T00:00:00"/>
    <n v="1"/>
    <s v="Road"/>
  </r>
  <r>
    <x v="9"/>
    <s v="F"/>
    <n v="11"/>
    <n v="20.010000000000002"/>
    <d v="1899-12-30T02:18:59"/>
    <d v="1899-12-30T02:54:24"/>
    <d v="1899-12-30T02:36:42"/>
    <n v="704"/>
    <d v="1899-12-30T00:07:50"/>
    <n v="5"/>
    <n v="1"/>
    <n v="3.75"/>
    <x v="0"/>
    <n v="0.25"/>
    <n v="0.25"/>
    <n v="0.5"/>
    <n v="0.46933333333333332"/>
    <n v="0"/>
    <n v="0"/>
    <n v="0"/>
    <n v="3.8443333333333332"/>
    <d v="2022-03-27T00:00:00"/>
    <n v="1"/>
    <s v="Trail"/>
  </r>
  <r>
    <x v="0"/>
    <s v="M"/>
    <n v="11"/>
    <n v="3.01"/>
    <d v="1899-12-30T00:12:35"/>
    <d v="1899-12-30T00:12:35"/>
    <d v="1899-12-30T00:12:35"/>
    <n v="8"/>
    <d v="1899-12-30T00:04:11"/>
    <n v="0.71666666666666656"/>
    <n v="4.5"/>
    <n v="3.5"/>
    <x v="1"/>
    <n v="0.25"/>
    <n v="0.5"/>
    <n v="0.25"/>
    <n v="0"/>
    <n v="0"/>
    <n v="0"/>
    <n v="0"/>
    <n v="3.3041666666666667"/>
    <d v="2022-03-25T00:00:00"/>
    <n v="1"/>
    <s v="Road"/>
  </r>
  <r>
    <x v="2"/>
    <s v="M"/>
    <n v="11"/>
    <n v="25.31"/>
    <d v="1899-12-30T02:37:53"/>
    <d v="1899-12-30T02:37:53"/>
    <d v="1899-12-30T02:37:53"/>
    <n v="370"/>
    <d v="1899-12-30T00:06:14"/>
    <n v="5"/>
    <n v="1"/>
    <n v="4"/>
    <x v="2"/>
    <n v="0.5"/>
    <n v="0.25"/>
    <n v="0.25"/>
    <n v="0.24666666666666667"/>
    <n v="0.2"/>
    <n v="0"/>
    <n v="0"/>
    <n v="4.1966666666666663"/>
    <d v="2022-03-21T00:00:00"/>
    <n v="1"/>
    <s v="Trail"/>
  </r>
  <r>
    <x v="27"/>
    <s v="M"/>
    <n v="11"/>
    <n v="21.43"/>
    <d v="1899-12-30T01:29:24"/>
    <d v="1899-12-30T01:29:29"/>
    <d v="1899-12-30T01:29:27"/>
    <n v="36"/>
    <d v="1899-12-30T00:04:10"/>
    <n v="5"/>
    <n v="4.5"/>
    <n v="3.5"/>
    <x v="1"/>
    <n v="0.25"/>
    <n v="0.5"/>
    <n v="0.25"/>
    <n v="0"/>
    <n v="0"/>
    <n v="0"/>
    <n v="0"/>
    <n v="4.375"/>
    <d v="2022-03-27T00:00:00"/>
    <n v="1"/>
    <s v="Trail"/>
  </r>
  <r>
    <x v="16"/>
    <s v="F"/>
    <n v="11"/>
    <n v="11"/>
    <d v="1899-12-30T00:56:35"/>
    <d v="1899-12-30T00:57:11"/>
    <d v="1899-12-30T00:56:53"/>
    <n v="38"/>
    <d v="1899-12-30T00:05:10"/>
    <n v="2.75"/>
    <n v="3.5"/>
    <n v="3.5"/>
    <x v="0"/>
    <n v="0.25"/>
    <n v="0.25"/>
    <n v="0.5"/>
    <n v="0"/>
    <n v="0"/>
    <n v="0"/>
    <n v="0"/>
    <n v="3.3125"/>
    <d v="2022-03-26T00:00:00"/>
    <n v="1"/>
    <s v="Trail"/>
  </r>
  <r>
    <x v="26"/>
    <s v="M"/>
    <n v="11"/>
    <n v="22.74"/>
    <d v="1899-12-30T02:14:12"/>
    <d v="1899-12-30T02:14:23"/>
    <d v="1899-12-30T02:14:17"/>
    <n v="29"/>
    <d v="1899-12-30T00:05:54"/>
    <n v="5"/>
    <n v="1.5"/>
    <n v="3.5"/>
    <x v="1"/>
    <n v="0.25"/>
    <n v="0.5"/>
    <n v="0.25"/>
    <n v="0"/>
    <n v="0"/>
    <n v="0"/>
    <n v="0"/>
    <n v="2.875"/>
    <d v="2022-03-27T00:00:00"/>
    <n v="1"/>
    <s v="Trail"/>
  </r>
  <r>
    <x v="12"/>
    <s v="M"/>
    <n v="11"/>
    <n v="32.22"/>
    <d v="1899-12-30T03:25:00"/>
    <d v="1899-12-30T04:10:04"/>
    <d v="1899-12-30T03:47:32"/>
    <n v="812"/>
    <d v="1899-12-30T00:07:04"/>
    <n v="5"/>
    <n v="1"/>
    <n v="4.25"/>
    <x v="0"/>
    <n v="0.25"/>
    <n v="0.25"/>
    <n v="0.5"/>
    <n v="0.54133333333333333"/>
    <n v="0.5"/>
    <n v="0"/>
    <n v="0"/>
    <n v="4.6663333333333332"/>
    <d v="2022-03-27T00:00:00"/>
    <n v="1"/>
    <s v="Road"/>
  </r>
  <r>
    <x v="17"/>
    <s v="M"/>
    <n v="11"/>
    <n v="16.72"/>
    <d v="1899-12-30T02:51:48"/>
    <d v="1899-12-30T03:12:22"/>
    <d v="1899-12-30T03:02:05"/>
    <n v="980"/>
    <d v="1899-12-30T00:10:53"/>
    <n v="3.9809523809523806"/>
    <n v="0"/>
    <n v="3.75"/>
    <x v="0"/>
    <n v="0.25"/>
    <n v="0.25"/>
    <n v="0.5"/>
    <n v="0.65333333333333332"/>
    <n v="0"/>
    <n v="0"/>
    <n v="0"/>
    <n v="3.5235714285714286"/>
    <d v="2022-03-26T00:00:00"/>
    <n v="1"/>
    <s v="Trail"/>
  </r>
  <r>
    <x v="22"/>
    <s v="M"/>
    <n v="11"/>
    <n v="37"/>
    <d v="1899-12-30T04:58:21"/>
    <d v="1899-12-30T05:11:08"/>
    <d v="1899-12-30T05:04:44"/>
    <n v="1564"/>
    <d v="1899-12-30T00:08:14"/>
    <n v="5"/>
    <n v="0"/>
    <n v="4"/>
    <x v="2"/>
    <n v="0.5"/>
    <n v="0.25"/>
    <n v="0.25"/>
    <n v="1.0426666666666666"/>
    <n v="0.8"/>
    <n v="0"/>
    <n v="0"/>
    <n v="5.3426666666666662"/>
    <d v="2022-03-27T00:00:00"/>
    <n v="1"/>
    <s v="Trail"/>
  </r>
  <r>
    <x v="1"/>
    <s v="M"/>
    <n v="11"/>
    <n v="10.01"/>
    <d v="1899-12-30T00:34:26"/>
    <d v="1899-12-30T00:34:26"/>
    <d v="1899-12-30T00:34:26"/>
    <n v="49"/>
    <d v="1899-12-30T00:03:26"/>
    <n v="2.3833333333333333"/>
    <n v="5"/>
    <n v="3.75"/>
    <x v="1"/>
    <n v="0.25"/>
    <n v="0.5"/>
    <n v="0.25"/>
    <n v="0"/>
    <n v="0"/>
    <n v="4.1999999999999993"/>
    <n v="0"/>
    <n v="8.2333333333333325"/>
    <d v="2022-03-23T00:00:00"/>
    <n v="1"/>
    <s v="Road"/>
  </r>
  <r>
    <x v="1"/>
    <s v="M"/>
    <n v="12"/>
    <n v="15"/>
    <d v="1899-12-30T00:57:00"/>
    <d v="1899-12-30T00:57:00"/>
    <d v="1899-12-30T00:57:00"/>
    <n v="132"/>
    <d v="1899-12-30T00:03:48"/>
    <n v="3.5714285714285712"/>
    <n v="5"/>
    <n v="3.5"/>
    <x v="0"/>
    <n v="0.25"/>
    <n v="0.25"/>
    <n v="0.5"/>
    <n v="8.7999999999999995E-2"/>
    <n v="0"/>
    <n v="0.89999999999999991"/>
    <n v="0"/>
    <n v="4.8808571428571428"/>
    <d v="2022-03-29T00:00:00"/>
    <n v="1"/>
    <s v="Road"/>
  </r>
  <r>
    <x v="22"/>
    <s v="M"/>
    <n v="12"/>
    <n v="19.93"/>
    <d v="1899-12-30T01:49:06"/>
    <d v="1899-12-30T01:49:06"/>
    <d v="1899-12-30T01:49:06"/>
    <n v="668"/>
    <d v="1899-12-30T00:05:28"/>
    <n v="4.7452380952380953"/>
    <n v="2"/>
    <n v="4"/>
    <x v="1"/>
    <n v="0.25"/>
    <n v="0.5"/>
    <n v="0.25"/>
    <n v="0.44533333333333336"/>
    <n v="0"/>
    <n v="0"/>
    <n v="0"/>
    <n v="3.6316428571428574"/>
    <d v="2022-04-02T00:00:00"/>
    <n v="1"/>
    <s v="Trail"/>
  </r>
  <r>
    <x v="12"/>
    <s v="M"/>
    <n v="12"/>
    <n v="12.5"/>
    <d v="1899-12-30T00:58:09"/>
    <d v="1899-12-30T00:59:57"/>
    <d v="1899-12-30T00:59:03"/>
    <n v="9"/>
    <d v="1899-12-30T00:04:43"/>
    <n v="2.9761904761904763"/>
    <n v="3.5"/>
    <n v="3.5"/>
    <x v="1"/>
    <n v="0.25"/>
    <n v="0.5"/>
    <n v="0.25"/>
    <n v="0"/>
    <n v="0"/>
    <n v="0"/>
    <n v="0"/>
    <n v="3.3690476190476191"/>
    <d v="2022-04-01T00:00:00"/>
    <n v="1"/>
    <s v="Road"/>
  </r>
  <r>
    <x v="17"/>
    <s v="M"/>
    <n v="12"/>
    <m/>
    <m/>
    <m/>
    <m/>
    <m/>
    <m/>
    <n v="0"/>
    <n v="0"/>
    <m/>
    <x v="3"/>
    <n v="0.25"/>
    <n v="0.25"/>
    <n v="0.25"/>
    <n v="0"/>
    <n v="0"/>
    <n v="0"/>
    <n v="0"/>
    <n v="1.5"/>
    <m/>
    <n v="1"/>
    <s v="Trail"/>
  </r>
  <r>
    <x v="16"/>
    <s v="F"/>
    <n v="12"/>
    <n v="14"/>
    <d v="1899-12-30T01:09:35"/>
    <d v="1899-12-30T01:10:06"/>
    <d v="1899-12-30T01:09:51"/>
    <n v="22"/>
    <d v="1899-12-30T00:04:59"/>
    <n v="3.5"/>
    <n v="4"/>
    <n v="3"/>
    <x v="2"/>
    <n v="0.5"/>
    <n v="0.25"/>
    <n v="0.25"/>
    <n v="0"/>
    <n v="0"/>
    <n v="0"/>
    <n v="0"/>
    <n v="3.5"/>
    <d v="2022-03-30T00:00:00"/>
    <n v="1"/>
    <s v="Trail"/>
  </r>
  <r>
    <x v="27"/>
    <s v="M"/>
    <n v="12"/>
    <n v="16.63"/>
    <d v="1899-12-30T01:20:06"/>
    <d v="1899-12-30T01:49:55"/>
    <d v="1899-12-30T01:35:00"/>
    <n v="108"/>
    <d v="1899-12-30T00:05:43"/>
    <n v="3.9595238095238092"/>
    <n v="1.5"/>
    <n v="1"/>
    <x v="0"/>
    <n v="0.25"/>
    <n v="0.25"/>
    <n v="0.5"/>
    <n v="7.1999999999999995E-2"/>
    <n v="0"/>
    <n v="0"/>
    <n v="0"/>
    <n v="1.9368809523809523"/>
    <d v="2022-03-31T00:00:00"/>
    <n v="1"/>
    <s v="Trail"/>
  </r>
  <r>
    <x v="2"/>
    <s v="M"/>
    <n v="12"/>
    <n v="27.1"/>
    <d v="1899-12-30T02:27:54"/>
    <d v="1899-12-30T02:27:54"/>
    <d v="1899-12-30T02:27:54"/>
    <n v="17"/>
    <d v="1899-12-30T00:05:27"/>
    <n v="5"/>
    <n v="2"/>
    <n v="3.5"/>
    <x v="1"/>
    <n v="0.25"/>
    <n v="0.5"/>
    <n v="0.25"/>
    <n v="0"/>
    <n v="0.3"/>
    <n v="0"/>
    <n v="0"/>
    <n v="3.4249999999999998"/>
    <d v="2022-03-31T00:00:00"/>
    <n v="1"/>
    <s v="Trail"/>
  </r>
  <r>
    <x v="0"/>
    <s v="M"/>
    <n v="12"/>
    <n v="19.690000000000001"/>
    <d v="1899-12-30T01:55:25"/>
    <d v="1899-12-30T01:57:30"/>
    <d v="1899-12-30T01:56:27"/>
    <n v="729"/>
    <d v="1899-12-30T00:05:55"/>
    <n v="4.6880952380952383"/>
    <n v="1.5"/>
    <n v="3.75"/>
    <x v="0"/>
    <n v="0.25"/>
    <n v="0.25"/>
    <n v="0.5"/>
    <n v="0.48599999999999999"/>
    <n v="0"/>
    <n v="0"/>
    <n v="0"/>
    <n v="3.9080238095238098"/>
    <d v="2022-04-02T00:00:00"/>
    <n v="1"/>
    <s v="Road"/>
  </r>
  <r>
    <x v="9"/>
    <s v="F"/>
    <n v="12"/>
    <n v="3.01"/>
    <d v="1899-12-30T00:22:13"/>
    <d v="1899-12-30T00:22:54"/>
    <d v="1899-12-30T00:22:33"/>
    <n v="6"/>
    <d v="1899-12-30T00:07:30"/>
    <n v="0.75249999999999995"/>
    <n v="1"/>
    <n v="4"/>
    <x v="0"/>
    <n v="0.25"/>
    <n v="0.25"/>
    <n v="0.5"/>
    <n v="0"/>
    <n v="0"/>
    <n v="0"/>
    <n v="0"/>
    <n v="2.4381249999999999"/>
    <d v="2022-04-02T00:00:00"/>
    <n v="1"/>
    <s v="Trail"/>
  </r>
  <r>
    <x v="13"/>
    <s v="M"/>
    <n v="12"/>
    <n v="11.18"/>
    <d v="1899-12-30T01:02:10"/>
    <d v="1899-12-30T01:05:31"/>
    <d v="1899-12-30T01:03:51"/>
    <n v="174"/>
    <d v="1899-12-30T00:05:43"/>
    <n v="2.6619047619047618"/>
    <n v="1.5"/>
    <n v="2.5"/>
    <x v="2"/>
    <n v="0.5"/>
    <n v="0.25"/>
    <n v="0.25"/>
    <n v="0.11600000000000001"/>
    <n v="0"/>
    <n v="0"/>
    <n v="0.4"/>
    <n v="2.8469523809523807"/>
    <d v="2022-03-30T00:00:00"/>
    <n v="1"/>
    <s v="Road"/>
  </r>
  <r>
    <x v="20"/>
    <s v="M"/>
    <n v="12"/>
    <n v="19.37"/>
    <d v="1899-12-30T02:37:51"/>
    <d v="1899-12-30T02:47:21"/>
    <d v="1899-12-30T02:42:36"/>
    <n v="673"/>
    <d v="1899-12-30T00:08:24"/>
    <n v="4.6119047619047615"/>
    <n v="0"/>
    <n v="4.25"/>
    <x v="2"/>
    <n v="0.5"/>
    <n v="0.25"/>
    <n v="0.25"/>
    <n v="0.44866666666666666"/>
    <n v="0"/>
    <n v="0"/>
    <n v="0"/>
    <n v="3.8171190476190473"/>
    <d v="2022-04-02T00:00:00"/>
    <n v="1"/>
    <s v="Trail"/>
  </r>
  <r>
    <x v="23"/>
    <s v="M"/>
    <n v="12"/>
    <n v="30.3"/>
    <d v="1899-12-30T02:45:47"/>
    <d v="1899-12-30T02:46:24"/>
    <d v="1899-12-30T02:46:06"/>
    <n v="65"/>
    <d v="1899-12-30T00:05:29"/>
    <n v="5"/>
    <n v="2"/>
    <n v="2"/>
    <x v="0"/>
    <n v="0.25"/>
    <n v="0.25"/>
    <n v="0.5"/>
    <n v="4.3333333333333335E-2"/>
    <n v="0.4"/>
    <n v="0"/>
    <n v="0"/>
    <n v="3.1933333333333334"/>
    <d v="2022-04-03T00:00:00"/>
    <n v="1"/>
    <s v="Road"/>
  </r>
  <r>
    <x v="15"/>
    <s v="M"/>
    <n v="12"/>
    <n v="16.71"/>
    <d v="1899-12-30T01:35:47"/>
    <d v="1899-12-30T01:36:16"/>
    <d v="1899-12-30T01:36:01"/>
    <n v="24"/>
    <d v="1899-12-30T00:05:45"/>
    <n v="3.9785714285714286"/>
    <n v="1.5"/>
    <n v="2.5"/>
    <x v="2"/>
    <n v="0.5"/>
    <n v="0.25"/>
    <n v="0.25"/>
    <n v="0"/>
    <n v="0"/>
    <n v="0"/>
    <n v="0"/>
    <n v="2.9892857142857143"/>
    <d v="2022-04-02T00:00:00"/>
    <n v="1"/>
    <s v="Road"/>
  </r>
  <r>
    <x v="7"/>
    <s v="F"/>
    <n v="12"/>
    <n v="5.01"/>
    <d v="1899-12-30T00:30:50"/>
    <d v="1899-12-30T00:31:07"/>
    <d v="1899-12-30T00:30:58"/>
    <n v="4"/>
    <d v="1899-12-30T00:06:11"/>
    <n v="1.2524999999999999"/>
    <n v="1.5"/>
    <n v="3.75"/>
    <x v="2"/>
    <n v="0.5"/>
    <n v="0.25"/>
    <n v="0.25"/>
    <n v="0"/>
    <n v="0"/>
    <n v="0"/>
    <n v="0"/>
    <n v="1.93875"/>
    <d v="2022-04-03T00:00:00"/>
    <n v="1"/>
    <s v="Road"/>
  </r>
  <r>
    <x v="4"/>
    <s v="M"/>
    <n v="12"/>
    <n v="10.039999999999999"/>
    <d v="1899-12-30T00:49:55"/>
    <d v="1899-12-30T00:55:23"/>
    <d v="1899-12-30T00:52:39"/>
    <n v="28"/>
    <d v="1899-12-30T00:05:15"/>
    <n v="2.39047619047619"/>
    <n v="2.5"/>
    <n v="1.5"/>
    <x v="0"/>
    <n v="0.25"/>
    <n v="0.25"/>
    <n v="0.5"/>
    <n v="0"/>
    <n v="0"/>
    <n v="0"/>
    <n v="0"/>
    <n v="1.9726190476190475"/>
    <d v="2022-04-01T00:00:00"/>
    <n v="1"/>
    <s v="Road"/>
  </r>
  <r>
    <x v="11"/>
    <s v="F"/>
    <n v="12"/>
    <m/>
    <m/>
    <m/>
    <m/>
    <m/>
    <m/>
    <n v="0"/>
    <n v="0"/>
    <m/>
    <x v="3"/>
    <n v="0.25"/>
    <n v="0.25"/>
    <n v="0.25"/>
    <n v="0"/>
    <n v="0"/>
    <n v="0"/>
    <n v="0"/>
    <n v="1.5"/>
    <m/>
    <n v="1"/>
    <s v="Trail"/>
  </r>
  <r>
    <x v="21"/>
    <s v="M"/>
    <n v="12"/>
    <n v="22.21"/>
    <d v="1899-12-30T01:59:14"/>
    <d v="1899-12-30T02:00:35"/>
    <d v="1899-12-30T01:59:55"/>
    <n v="104"/>
    <d v="1899-12-30T00:05:24"/>
    <n v="5"/>
    <n v="2"/>
    <n v="1.5"/>
    <x v="2"/>
    <n v="0.5"/>
    <n v="0.25"/>
    <n v="0.25"/>
    <n v="6.933333333333333E-2"/>
    <n v="0"/>
    <n v="0"/>
    <n v="0"/>
    <n v="3.4443333333333332"/>
    <d v="2022-04-03T00:00:00"/>
    <n v="1"/>
    <s v="Trail"/>
  </r>
  <r>
    <x v="29"/>
    <s v="F"/>
    <n v="12"/>
    <n v="10.07"/>
    <d v="1899-12-30T00:56:07"/>
    <d v="1899-12-30T00:56:07"/>
    <d v="1899-12-30T00:56:07"/>
    <n v="9"/>
    <d v="1899-12-30T00:05:34"/>
    <n v="2.5175000000000001"/>
    <n v="2.5"/>
    <n v="3"/>
    <x v="1"/>
    <n v="0.25"/>
    <n v="0.5"/>
    <n v="0.25"/>
    <n v="0"/>
    <n v="0"/>
    <n v="0"/>
    <n v="0"/>
    <n v="2.629375"/>
    <d v="2022-04-02T00:00:00"/>
    <n v="1"/>
    <s v="Trail"/>
  </r>
  <r>
    <x v="19"/>
    <s v="F"/>
    <n v="12"/>
    <n v="3.02"/>
    <d v="1899-12-30T00:15:17"/>
    <d v="1899-12-30T00:15:40"/>
    <d v="1899-12-30T00:15:29"/>
    <n v="0"/>
    <d v="1899-12-30T00:05:07"/>
    <n v="0.755"/>
    <n v="3.5"/>
    <n v="2.25"/>
    <x v="2"/>
    <n v="0.5"/>
    <n v="0.25"/>
    <n v="0.25"/>
    <n v="0"/>
    <n v="0"/>
    <n v="0"/>
    <n v="0"/>
    <n v="1.8149999999999999"/>
    <d v="2022-04-03T00:00:00"/>
    <n v="1"/>
    <s v="Trail"/>
  </r>
  <r>
    <x v="5"/>
    <s v="M"/>
    <n v="12"/>
    <n v="5.25"/>
    <d v="1899-12-30T00:28:25"/>
    <d v="1899-12-30T00:31:14"/>
    <d v="1899-12-30T00:29:50"/>
    <n v="13"/>
    <d v="1899-12-30T00:05:41"/>
    <n v="1.25"/>
    <n v="1.5"/>
    <n v="2.5"/>
    <x v="2"/>
    <n v="0.5"/>
    <n v="0.25"/>
    <n v="0.25"/>
    <n v="0"/>
    <n v="0"/>
    <n v="0"/>
    <n v="0"/>
    <n v="1.625"/>
    <d v="2022-04-02T00:00:00"/>
    <n v="1"/>
    <e v="#N/A"/>
  </r>
  <r>
    <x v="30"/>
    <s v="M"/>
    <n v="12"/>
    <n v="12.41"/>
    <d v="1899-12-30T01:10:44"/>
    <d v="1899-12-30T01:10:59"/>
    <d v="1899-12-30T01:10:52"/>
    <n v="209"/>
    <d v="1899-12-30T00:05:43"/>
    <n v="2.9547619047619045"/>
    <n v="1.5"/>
    <n v="4"/>
    <x v="0"/>
    <n v="0.25"/>
    <n v="0.25"/>
    <n v="0.5"/>
    <n v="0.13933333333333334"/>
    <n v="0"/>
    <n v="0"/>
    <n v="0"/>
    <n v="3.2530238095238095"/>
    <d v="2022-04-01T00:00:00"/>
    <n v="1"/>
    <s v="Road"/>
  </r>
  <r>
    <x v="18"/>
    <s v="M"/>
    <n v="12"/>
    <n v="10.02"/>
    <d v="1899-12-30T00:48:07"/>
    <d v="1899-12-30T00:48:20"/>
    <d v="1899-12-30T00:48:14"/>
    <n v="90"/>
    <d v="1899-12-30T00:04:49"/>
    <n v="2.3857142857142857"/>
    <n v="3"/>
    <n v="1"/>
    <x v="1"/>
    <n v="0.25"/>
    <n v="0.5"/>
    <n v="0.25"/>
    <n v="0.06"/>
    <n v="0"/>
    <n v="0"/>
    <n v="0"/>
    <n v="2.4064285714285716"/>
    <d v="2022-03-28T00:00:00"/>
    <n v="1"/>
    <s v="Road"/>
  </r>
  <r>
    <x v="14"/>
    <s v="M"/>
    <n v="12"/>
    <n v="21.2"/>
    <d v="1899-12-30T01:55:09"/>
    <d v="1899-12-30T02:10:05"/>
    <d v="1899-12-30T02:02:37"/>
    <n v="31"/>
    <d v="1899-12-30T00:05:47"/>
    <n v="5"/>
    <n v="1.5"/>
    <n v="3"/>
    <x v="2"/>
    <n v="0.5"/>
    <n v="0.25"/>
    <n v="0.25"/>
    <n v="0"/>
    <n v="0"/>
    <n v="0"/>
    <n v="0"/>
    <n v="3.625"/>
    <d v="2022-03-30T00:00:00"/>
    <n v="1"/>
    <s v="Road"/>
  </r>
  <r>
    <x v="28"/>
    <s v="F"/>
    <n v="12"/>
    <n v="10.02"/>
    <d v="1899-12-30T01:02:28"/>
    <d v="1899-12-30T01:02:28"/>
    <d v="1899-12-30T01:02:28"/>
    <n v="0"/>
    <d v="1899-12-30T00:06:14"/>
    <n v="2.5049999999999999"/>
    <n v="1.5"/>
    <n v="1.5"/>
    <x v="2"/>
    <n v="0.5"/>
    <n v="0.25"/>
    <n v="0.25"/>
    <n v="0"/>
    <n v="0"/>
    <n v="0"/>
    <n v="0"/>
    <n v="2.0024999999999999"/>
    <d v="2022-03-31T00:00:00"/>
    <n v="1"/>
    <s v="Road"/>
  </r>
  <r>
    <x v="33"/>
    <s v="M"/>
    <n v="12"/>
    <n v="21.33"/>
    <d v="1899-12-30T02:11:56"/>
    <d v="1899-12-30T02:46:32"/>
    <d v="1899-12-30T02:29:14"/>
    <n v="25"/>
    <d v="1899-12-30T00:07:00"/>
    <n v="5"/>
    <n v="1"/>
    <n v="1.5"/>
    <x v="2"/>
    <n v="0.5"/>
    <n v="0.25"/>
    <n v="0.25"/>
    <n v="0"/>
    <n v="0"/>
    <n v="0"/>
    <n v="0"/>
    <n v="3.125"/>
    <d v="2022-04-03T00:00:00"/>
    <n v="1"/>
    <e v="#N/A"/>
  </r>
  <r>
    <x v="32"/>
    <s v="M"/>
    <n v="12"/>
    <n v="19.84"/>
    <d v="1899-12-30T01:52:39"/>
    <d v="1899-12-30T01:53:03"/>
    <d v="1899-12-30T01:52:51"/>
    <n v="743"/>
    <d v="1899-12-30T00:05:41"/>
    <n v="4.7238095238095239"/>
    <n v="1.5"/>
    <n v="3.5"/>
    <x v="2"/>
    <n v="0.5"/>
    <n v="0.25"/>
    <n v="0.25"/>
    <n v="0.49533333333333335"/>
    <n v="0"/>
    <n v="0"/>
    <n v="0"/>
    <n v="4.1072380952380954"/>
    <d v="2022-04-02T00:00:00"/>
    <n v="1"/>
    <s v="Road"/>
  </r>
  <r>
    <x v="1"/>
    <s v="M"/>
    <n v="13"/>
    <n v="27"/>
    <d v="1899-12-30T01:46:41"/>
    <d v="1899-12-30T01:47:12"/>
    <d v="1899-12-30T01:46:56"/>
    <n v="266"/>
    <d v="1899-12-30T00:03:58"/>
    <n v="5"/>
    <n v="5"/>
    <n v="3.5"/>
    <x v="0"/>
    <n v="0.25"/>
    <n v="0.25"/>
    <n v="0.5"/>
    <n v="0.17733333333333334"/>
    <n v="0.3"/>
    <n v="0.15000000000000002"/>
    <n v="0"/>
    <n v="4.8773333333333335"/>
    <d v="2022-04-05T00:00:00"/>
    <n v="1"/>
    <s v="Road"/>
  </r>
  <r>
    <x v="22"/>
    <s v="M"/>
    <n v="13"/>
    <n v="5"/>
    <d v="1899-12-30T00:19:56"/>
    <d v="1899-12-30T00:19:56"/>
    <d v="1899-12-30T00:19:56"/>
    <n v="9"/>
    <d v="1899-12-30T00:03:59"/>
    <n v="1.1904761904761905"/>
    <n v="5"/>
    <n v="3.75"/>
    <x v="1"/>
    <n v="0.25"/>
    <n v="0.5"/>
    <n v="0.25"/>
    <n v="0"/>
    <n v="0"/>
    <n v="0.15000000000000002"/>
    <n v="0"/>
    <n v="3.8851190476190474"/>
    <d v="2022-04-10T00:00:00"/>
    <n v="1"/>
    <s v="Trail"/>
  </r>
  <r>
    <x v="12"/>
    <s v="M"/>
    <n v="13"/>
    <n v="43"/>
    <d v="1899-12-30T04:54:12"/>
    <d v="1899-12-30T04:57:59"/>
    <d v="1899-12-30T04:56:06"/>
    <n v="1541"/>
    <d v="1899-12-30T00:06:53"/>
    <n v="5"/>
    <n v="1"/>
    <n v="4.25"/>
    <x v="0"/>
    <n v="0.25"/>
    <n v="0.25"/>
    <n v="0.5"/>
    <n v="1.0273333333333334"/>
    <n v="1.1000000000000001"/>
    <n v="0"/>
    <n v="0"/>
    <n v="5.7523333333333326"/>
    <d v="2022-04-09T00:00:00"/>
    <n v="1"/>
    <s v="Road"/>
  </r>
  <r>
    <x v="16"/>
    <s v="F"/>
    <n v="13"/>
    <n v="30.39"/>
    <d v="1899-12-30T02:39:35"/>
    <d v="1899-12-30T02:41:54"/>
    <d v="1899-12-30T02:40:44"/>
    <n v="80"/>
    <d v="1899-12-30T00:05:17"/>
    <n v="5"/>
    <n v="3"/>
    <n v="3"/>
    <x v="2"/>
    <n v="0.5"/>
    <n v="0.25"/>
    <n v="0.25"/>
    <n v="5.3333333333333337E-2"/>
    <n v="0.4"/>
    <n v="0"/>
    <n v="0"/>
    <n v="4.453333333333334"/>
    <d v="2022-04-10T00:00:00"/>
    <n v="1"/>
    <s v="Trail"/>
  </r>
  <r>
    <x v="2"/>
    <s v="M"/>
    <n v="13"/>
    <n v="26.16"/>
    <d v="1899-12-30T03:10:21"/>
    <d v="1899-12-30T03:15:31"/>
    <d v="1899-12-30T03:12:56"/>
    <n v="982"/>
    <d v="1899-12-30T00:07:23"/>
    <n v="5"/>
    <n v="1"/>
    <n v="4"/>
    <x v="0"/>
    <n v="0.25"/>
    <n v="0.25"/>
    <n v="0.5"/>
    <n v="0.65466666666666662"/>
    <n v="0.2"/>
    <n v="0"/>
    <n v="0"/>
    <n v="4.3546666666666667"/>
    <d v="2022-04-05T00:00:00"/>
    <n v="1"/>
    <s v="Trail"/>
  </r>
  <r>
    <x v="27"/>
    <s v="M"/>
    <n v="13"/>
    <n v="42.61"/>
    <d v="1899-12-30T05:27:36"/>
    <d v="1899-12-30T06:33:11"/>
    <d v="1899-12-30T06:00:23"/>
    <n v="1320"/>
    <d v="1899-12-30T00:08:27"/>
    <n v="5"/>
    <n v="0"/>
    <n v="4"/>
    <x v="0"/>
    <n v="0.25"/>
    <n v="0.25"/>
    <n v="0.5"/>
    <n v="0.88"/>
    <n v="1"/>
    <n v="0"/>
    <n v="0"/>
    <n v="5.13"/>
    <d v="2022-04-09T00:00:00"/>
    <n v="1"/>
    <s v="Trail"/>
  </r>
  <r>
    <x v="0"/>
    <s v="M"/>
    <n v="13"/>
    <n v="7.77"/>
    <d v="1899-12-30T00:41:26"/>
    <d v="1899-12-30T00:42:57"/>
    <d v="1899-12-30T00:42:11"/>
    <n v="14"/>
    <d v="1899-12-30T00:05:26"/>
    <n v="1.8499999999999999"/>
    <n v="2"/>
    <n v="1.25"/>
    <x v="1"/>
    <n v="0.25"/>
    <n v="0.5"/>
    <n v="0.25"/>
    <n v="0"/>
    <n v="0"/>
    <n v="0"/>
    <n v="0"/>
    <n v="1.7749999999999999"/>
    <d v="2022-04-05T00:00:00"/>
    <n v="1"/>
    <s v="Road"/>
  </r>
  <r>
    <x v="9"/>
    <s v="F"/>
    <n v="13"/>
    <n v="15.09"/>
    <d v="1899-12-30T01:32:33"/>
    <d v="1899-12-30T01:37:26"/>
    <d v="1899-12-30T01:35:00"/>
    <n v="350"/>
    <d v="1899-12-30T00:06:18"/>
    <n v="3.7725"/>
    <n v="1.5"/>
    <n v="3.5"/>
    <x v="2"/>
    <n v="0.5"/>
    <n v="0.25"/>
    <n v="0.25"/>
    <n v="0.23333333333333334"/>
    <n v="0"/>
    <n v="0"/>
    <n v="0"/>
    <n v="3.3695833333333334"/>
    <d v="2022-04-09T00:00:00"/>
    <n v="1"/>
    <s v="Trail"/>
  </r>
  <r>
    <x v="20"/>
    <s v="M"/>
    <n v="13"/>
    <n v="5"/>
    <d v="1899-12-30T00:22:29"/>
    <d v="1899-12-30T00:22:29"/>
    <d v="1899-12-30T00:22:29"/>
    <n v="0"/>
    <d v="1899-12-30T00:04:30"/>
    <n v="1.1904761904761905"/>
    <n v="4"/>
    <n v="3.75"/>
    <x v="1"/>
    <n v="0.25"/>
    <n v="0.5"/>
    <n v="0.25"/>
    <n v="0"/>
    <n v="0"/>
    <n v="0"/>
    <n v="0"/>
    <n v="3.2351190476190474"/>
    <d v="2022-04-09T00:00:00"/>
    <n v="1"/>
    <s v="Trail"/>
  </r>
  <r>
    <x v="13"/>
    <s v="M"/>
    <n v="13"/>
    <n v="8.1199999999999992"/>
    <d v="1899-12-30T00:43:40"/>
    <d v="1899-12-30T00:47:07"/>
    <d v="1899-12-30T00:45:24"/>
    <n v="15"/>
    <d v="1899-12-30T00:05:35"/>
    <n v="1.9333333333333331"/>
    <n v="1.5"/>
    <n v="3.5"/>
    <x v="1"/>
    <n v="0.25"/>
    <n v="0.5"/>
    <n v="0.25"/>
    <n v="0"/>
    <n v="0"/>
    <n v="0"/>
    <n v="0.4"/>
    <n v="2.5083333333333333"/>
    <d v="2022-04-06T00:00:00"/>
    <n v="1"/>
    <s v="Road"/>
  </r>
  <r>
    <x v="23"/>
    <s v="M"/>
    <n v="13"/>
    <n v="21.06"/>
    <d v="1899-12-30T02:00:20"/>
    <d v="1899-12-30T02:04:57"/>
    <d v="1899-12-30T02:02:39"/>
    <n v="116"/>
    <d v="1899-12-30T00:05:49"/>
    <n v="5"/>
    <n v="1.5"/>
    <n v="2.5"/>
    <x v="0"/>
    <n v="0.25"/>
    <n v="0.25"/>
    <n v="0.5"/>
    <n v="7.7333333333333337E-2"/>
    <n v="0"/>
    <n v="0"/>
    <n v="0"/>
    <n v="2.9523333333333333"/>
    <d v="2022-04-10T00:00:00"/>
    <n v="1"/>
    <s v="Road"/>
  </r>
  <r>
    <x v="15"/>
    <s v="M"/>
    <n v="13"/>
    <n v="115.13"/>
    <d v="1899-12-30T11:44:49"/>
    <d v="1899-12-30T12:00:00"/>
    <d v="1899-12-30T11:52:25"/>
    <n v="29"/>
    <d v="1899-12-30T00:06:11"/>
    <n v="5"/>
    <n v="1"/>
    <n v="1.5"/>
    <x v="1"/>
    <n v="0.25"/>
    <n v="0.5"/>
    <n v="0.25"/>
    <n v="0"/>
    <n v="4.3"/>
    <n v="0"/>
    <n v="0"/>
    <n v="6.4249999999999998"/>
    <d v="2022-04-10T00:00:00"/>
    <n v="1"/>
    <s v="Road"/>
  </r>
  <r>
    <x v="21"/>
    <s v="M"/>
    <n v="13"/>
    <n v="30.01"/>
    <d v="1899-12-30T02:41:17"/>
    <d v="1899-12-30T02:41:48"/>
    <d v="1899-12-30T02:41:33"/>
    <n v="73"/>
    <d v="1899-12-30T00:05:23"/>
    <n v="5"/>
    <n v="2"/>
    <n v="2.5"/>
    <x v="2"/>
    <n v="0.5"/>
    <n v="0.25"/>
    <n v="0.25"/>
    <n v="4.8666666666666664E-2"/>
    <n v="0.4"/>
    <n v="0"/>
    <n v="0"/>
    <n v="4.073666666666667"/>
    <d v="2022-04-10T00:00:00"/>
    <n v="1"/>
    <s v="Trail"/>
  </r>
  <r>
    <x v="7"/>
    <s v="F"/>
    <n v="13"/>
    <n v="22.55"/>
    <d v="1899-12-30T02:21:47"/>
    <d v="1899-12-30T02:31:24"/>
    <d v="1899-12-30T02:26:36"/>
    <n v="21"/>
    <d v="1899-12-30T00:06:30"/>
    <n v="5"/>
    <n v="1.5"/>
    <n v="3.75"/>
    <x v="2"/>
    <n v="0.5"/>
    <n v="0.25"/>
    <n v="0.25"/>
    <n v="0"/>
    <n v="0"/>
    <n v="0"/>
    <n v="0"/>
    <n v="3.8125"/>
    <d v="2022-04-10T00:00:00"/>
    <n v="1"/>
    <s v="Road"/>
  </r>
  <r>
    <x v="4"/>
    <s v="M"/>
    <n v="13"/>
    <n v="21.26"/>
    <d v="1899-12-30T01:58:48"/>
    <d v="1899-12-30T02:05:37"/>
    <d v="1899-12-30T02:02:13"/>
    <n v="94"/>
    <d v="1899-12-30T00:05:45"/>
    <n v="5"/>
    <n v="1.5"/>
    <n v="0"/>
    <x v="2"/>
    <n v="0.5"/>
    <n v="0.25"/>
    <n v="0.25"/>
    <n v="6.2666666666666662E-2"/>
    <n v="0"/>
    <n v="0"/>
    <n v="0"/>
    <n v="2.9376666666666669"/>
    <d v="2022-04-05T00:00:00"/>
    <n v="1"/>
    <s v="Road"/>
  </r>
  <r>
    <x v="29"/>
    <s v="F"/>
    <n v="13"/>
    <n v="15.83"/>
    <d v="1899-12-30T01:35:07"/>
    <d v="1899-12-30T01:54:41"/>
    <d v="1899-12-30T01:44:54"/>
    <n v="26"/>
    <d v="1899-12-30T00:06:38"/>
    <n v="3.9575"/>
    <n v="1"/>
    <n v="3.5"/>
    <x v="1"/>
    <n v="0.25"/>
    <n v="0.5"/>
    <n v="0.25"/>
    <n v="0"/>
    <n v="0"/>
    <n v="0"/>
    <n v="0"/>
    <n v="2.3643749999999999"/>
    <d v="2022-04-06T00:00:00"/>
    <n v="1"/>
    <s v="Trail"/>
  </r>
  <r>
    <x v="11"/>
    <s v="F"/>
    <n v="13"/>
    <n v="10.49"/>
    <d v="1899-12-30T01:12:50"/>
    <d v="1899-12-30T01:14:18"/>
    <d v="1899-12-30T01:13:34"/>
    <n v="23"/>
    <d v="1899-12-30T00:07:01"/>
    <n v="2.6225000000000001"/>
    <n v="1"/>
    <n v="4"/>
    <x v="0"/>
    <n v="0.25"/>
    <n v="0.25"/>
    <n v="0.5"/>
    <n v="0"/>
    <n v="0"/>
    <n v="0"/>
    <n v="0"/>
    <n v="2.9056250000000001"/>
    <d v="2022-04-10T00:00:00"/>
    <n v="1"/>
    <s v="Trail"/>
  </r>
  <r>
    <x v="19"/>
    <s v="F"/>
    <n v="13"/>
    <n v="10.01"/>
    <d v="1899-12-30T01:08:42"/>
    <d v="1899-12-30T01:23:20"/>
    <d v="1899-12-30T01:16:01"/>
    <n v="327"/>
    <d v="1899-12-30T00:07:36"/>
    <n v="2.5024999999999999"/>
    <n v="1"/>
    <n v="3.5"/>
    <x v="0"/>
    <n v="0.25"/>
    <n v="0.25"/>
    <n v="0.5"/>
    <n v="0.218"/>
    <n v="0"/>
    <n v="0"/>
    <n v="0"/>
    <n v="2.8436249999999998"/>
    <d v="2022-04-10T00:00:00"/>
    <n v="1"/>
    <s v="Trail"/>
  </r>
  <r>
    <x v="5"/>
    <s v="M"/>
    <n v="13"/>
    <n v="10.66"/>
    <d v="1899-12-30T00:50:24"/>
    <d v="1899-12-30T00:51:57"/>
    <d v="1899-12-30T00:51:11"/>
    <n v="13"/>
    <d v="1899-12-30T00:04:48"/>
    <n v="2.538095238095238"/>
    <n v="3"/>
    <n v="2.5"/>
    <x v="0"/>
    <n v="0.25"/>
    <n v="0.25"/>
    <n v="0.5"/>
    <n v="0"/>
    <n v="0"/>
    <n v="0"/>
    <n v="0"/>
    <n v="2.6345238095238095"/>
    <d v="2022-04-10T00:00:00"/>
    <n v="1"/>
    <e v="#N/A"/>
  </r>
  <r>
    <x v="8"/>
    <s v="F"/>
    <n v="13"/>
    <n v="8.19"/>
    <d v="1899-12-30T00:59:49"/>
    <d v="1899-12-30T01:44:52"/>
    <d v="1899-12-30T01:22:21"/>
    <n v="0"/>
    <d v="1899-12-30T00:10:03"/>
    <n v="2.0474999999999999"/>
    <n v="0"/>
    <n v="2.25"/>
    <x v="1"/>
    <n v="0.25"/>
    <n v="0.5"/>
    <n v="0.25"/>
    <n v="0"/>
    <n v="0"/>
    <n v="0"/>
    <n v="0.7"/>
    <n v="1.7743749999999998"/>
    <d v="2022-04-06T00:00:00"/>
    <n v="1"/>
    <s v="Road"/>
  </r>
  <r>
    <x v="30"/>
    <s v="M"/>
    <n v="13"/>
    <n v="11.32"/>
    <d v="1899-12-30T01:02:52"/>
    <d v="1899-12-30T01:03:46"/>
    <d v="1899-12-30T01:03:19"/>
    <n v="243"/>
    <d v="1899-12-30T00:05:36"/>
    <n v="2.695238095238095"/>
    <n v="1.5"/>
    <n v="2"/>
    <x v="0"/>
    <n v="0.25"/>
    <n v="0.25"/>
    <n v="0.5"/>
    <n v="0.16200000000000001"/>
    <n v="0"/>
    <n v="0"/>
    <n v="0"/>
    <n v="2.2108095238095236"/>
    <d v="2022-04-06T00:00:00"/>
    <n v="1"/>
    <s v="Road"/>
  </r>
  <r>
    <x v="10"/>
    <s v="M"/>
    <n v="13"/>
    <n v="7.02"/>
    <d v="1899-12-30T00:38:49"/>
    <d v="1899-12-30T00:38:49"/>
    <d v="1899-12-30T00:38:49"/>
    <n v="19"/>
    <d v="1899-12-30T00:05:32"/>
    <n v="1.6714285714285713"/>
    <n v="1.5"/>
    <n v="3"/>
    <x v="1"/>
    <n v="0.25"/>
    <n v="0.5"/>
    <n v="0.25"/>
    <n v="0"/>
    <n v="0"/>
    <n v="0"/>
    <n v="0"/>
    <n v="1.9178571428571427"/>
    <d v="2022-04-09T00:00:00"/>
    <n v="1"/>
    <s v="Trail"/>
  </r>
  <r>
    <x v="18"/>
    <s v="M"/>
    <n v="13"/>
    <n v="20.86"/>
    <d v="1899-12-30T01:37:45"/>
    <d v="1899-12-30T01:38:11"/>
    <d v="1899-12-30T01:37:58"/>
    <n v="388"/>
    <d v="1899-12-30T00:04:42"/>
    <n v="4.9666666666666659"/>
    <n v="3.5"/>
    <n v="1.5"/>
    <x v="2"/>
    <n v="0.5"/>
    <n v="0.25"/>
    <n v="0.25"/>
    <n v="0.25866666666666666"/>
    <n v="0"/>
    <n v="0"/>
    <n v="0"/>
    <n v="3.9919999999999995"/>
    <d v="2022-04-10T00:00:00"/>
    <n v="1"/>
    <s v="Road"/>
  </r>
  <r>
    <x v="28"/>
    <s v="F"/>
    <n v="13"/>
    <n v="16.12"/>
    <d v="1899-12-30T01:58:25"/>
    <d v="1899-12-30T01:58:29"/>
    <d v="1899-12-30T01:58:27"/>
    <n v="353"/>
    <d v="1899-12-30T00:07:21"/>
    <n v="4.03"/>
    <n v="1"/>
    <n v="3"/>
    <x v="2"/>
    <n v="0.5"/>
    <n v="0.25"/>
    <n v="0.25"/>
    <n v="0.23533333333333334"/>
    <n v="0"/>
    <n v="0"/>
    <n v="0"/>
    <n v="3.2503333333333333"/>
    <d v="2022-04-10T00:00:00"/>
    <n v="1"/>
    <s v="Road"/>
  </r>
  <r>
    <x v="32"/>
    <s v="M"/>
    <n v="13"/>
    <n v="27.24"/>
    <d v="1899-12-30T06:06:48"/>
    <d v="1899-12-30T06:24:28"/>
    <d v="1899-12-30T06:15:38"/>
    <n v="1287"/>
    <d v="1899-12-30T00:13:47"/>
    <n v="5"/>
    <n v="0"/>
    <n v="4"/>
    <x v="0"/>
    <n v="0.25"/>
    <n v="0.25"/>
    <n v="0.5"/>
    <n v="0.85799999999999998"/>
    <n v="0.3"/>
    <n v="0"/>
    <n v="0"/>
    <n v="4.4079999999999995"/>
    <d v="2022-04-09T00:00:00"/>
    <n v="1"/>
    <s v="Road"/>
  </r>
  <r>
    <x v="3"/>
    <s v="F"/>
    <n v="13"/>
    <n v="16.12"/>
    <d v="1899-12-30T01:43:13"/>
    <d v="1899-12-30T01:45:11"/>
    <d v="1899-12-30T01:44:12"/>
    <n v="338"/>
    <d v="1899-12-30T00:06:28"/>
    <n v="4.03"/>
    <n v="1.5"/>
    <n v="2.5"/>
    <x v="1"/>
    <n v="0.25"/>
    <n v="0.5"/>
    <n v="0.25"/>
    <n v="0.22533333333333333"/>
    <n v="0"/>
    <n v="0"/>
    <n v="0"/>
    <n v="2.6078333333333337"/>
    <d v="2022-04-06T00:00:00"/>
    <n v="1"/>
    <e v="#N/A"/>
  </r>
  <r>
    <x v="31"/>
    <s v="M"/>
    <n v="13"/>
    <n v="42.95"/>
    <d v="1899-12-30T05:59:50"/>
    <d v="1899-12-30T06:11:53"/>
    <d v="1899-12-30T06:05:51"/>
    <n v="1296"/>
    <d v="1899-12-30T00:08:31"/>
    <n v="5"/>
    <n v="0"/>
    <n v="4.5"/>
    <x v="2"/>
    <n v="0.5"/>
    <n v="0.25"/>
    <n v="0.25"/>
    <n v="0.86399999999999999"/>
    <n v="1"/>
    <n v="0"/>
    <n v="0"/>
    <n v="5.4889999999999999"/>
    <d v="2022-04-10T00:00:00"/>
    <n v="1"/>
    <s v="Trail"/>
  </r>
  <r>
    <x v="1"/>
    <s v="M"/>
    <n v="14"/>
    <n v="21.32"/>
    <d v="1899-12-30T01:14:04"/>
    <d v="1899-12-30T01:14:07"/>
    <d v="1899-12-30T01:14:06"/>
    <n v="112"/>
    <d v="1899-12-30T00:03:29"/>
    <n v="5"/>
    <n v="5"/>
    <n v="3.5"/>
    <x v="1"/>
    <n v="0.25"/>
    <n v="0.5"/>
    <n v="0.25"/>
    <n v="7.4666666666666673E-2"/>
    <n v="0"/>
    <n v="4.1999999999999993"/>
    <n v="0"/>
    <n v="8.8996666666666648"/>
    <d v="2022-04-17T00:00:00"/>
    <n v="1"/>
    <s v="Road"/>
  </r>
  <r>
    <x v="22"/>
    <s v="M"/>
    <n v="14"/>
    <n v="10.81"/>
    <d v="1899-12-30T00:44:30"/>
    <d v="1899-12-30T00:44:30"/>
    <d v="1899-12-30T00:44:30"/>
    <n v="27"/>
    <d v="1899-12-30T00:04:07"/>
    <n v="2.573809523809524"/>
    <n v="4.5"/>
    <n v="4"/>
    <x v="1"/>
    <n v="0.25"/>
    <n v="0.5"/>
    <n v="0.25"/>
    <n v="0"/>
    <n v="0"/>
    <n v="0"/>
    <n v="0"/>
    <n v="3.8934523809523811"/>
    <d v="2022-04-16T00:00:00"/>
    <n v="1"/>
    <s v="Trail"/>
  </r>
  <r>
    <x v="12"/>
    <s v="M"/>
    <n v="14"/>
    <n v="101.68"/>
    <d v="1899-12-30T11:30:38"/>
    <d v="1899-12-30T12:28:27"/>
    <d v="1899-12-30T11:59:32"/>
    <n v="739"/>
    <d v="1899-12-30T00:07:05"/>
    <n v="5"/>
    <n v="1"/>
    <n v="4.25"/>
    <x v="2"/>
    <n v="0.5"/>
    <n v="0.25"/>
    <n v="0.25"/>
    <n v="0.49266666666666664"/>
    <n v="3.9"/>
    <n v="0"/>
    <n v="0"/>
    <n v="8.2051666666666669"/>
    <d v="2022-04-16T00:00:00"/>
    <n v="1"/>
    <s v="Road"/>
  </r>
  <r>
    <x v="16"/>
    <s v="F"/>
    <n v="14"/>
    <n v="20.73"/>
    <d v="1899-12-30T01:43:12"/>
    <d v="1899-12-30T01:43:15"/>
    <d v="1899-12-30T01:43:13"/>
    <n v="249"/>
    <d v="1899-12-30T00:04:59"/>
    <n v="5"/>
    <n v="4"/>
    <n v="3.5"/>
    <x v="0"/>
    <n v="0.25"/>
    <n v="0.25"/>
    <n v="0.5"/>
    <n v="0.16600000000000001"/>
    <n v="0"/>
    <n v="0"/>
    <n v="0"/>
    <n v="4.1660000000000004"/>
    <d v="2022-04-17T00:00:00"/>
    <n v="1"/>
    <s v="Trail"/>
  </r>
  <r>
    <x v="2"/>
    <s v="M"/>
    <n v="14"/>
    <n v="10.029999999999999"/>
    <d v="1899-12-30T00:47:40"/>
    <d v="1899-12-30T00:47:40"/>
    <d v="1899-12-30T00:47:40"/>
    <n v="47"/>
    <d v="1899-12-30T00:04:45"/>
    <n v="2.388095238095238"/>
    <n v="3.5"/>
    <n v="3.5"/>
    <x v="1"/>
    <n v="0.25"/>
    <n v="0.5"/>
    <n v="0.25"/>
    <n v="0"/>
    <n v="0"/>
    <n v="0"/>
    <n v="0"/>
    <n v="3.2220238095238094"/>
    <d v="2022-04-15T00:00:00"/>
    <n v="1"/>
    <s v="Trail"/>
  </r>
  <r>
    <x v="27"/>
    <s v="M"/>
    <n v="14"/>
    <n v="142.80000000000001"/>
    <d v="1899-12-30T16:51:49"/>
    <d v="1899-12-30T23:59:04"/>
    <d v="1899-12-30T20:25:27"/>
    <n v="963"/>
    <d v="1899-12-30T00:08:35"/>
    <n v="5"/>
    <n v="0"/>
    <n v="4.25"/>
    <x v="1"/>
    <n v="0.25"/>
    <n v="0.5"/>
    <n v="0.25"/>
    <n v="0.64200000000000002"/>
    <n v="4.9000000000000004"/>
    <n v="0"/>
    <n v="0"/>
    <n v="7.8544999999999998"/>
    <d v="2022-04-16T00:00:00"/>
    <n v="1"/>
    <s v="Trail"/>
  </r>
  <r>
    <x v="26"/>
    <s v="M"/>
    <n v="14"/>
    <n v="119.01"/>
    <d v="1899-12-30T18:07:28"/>
    <d v="1899-12-30T23:52:14"/>
    <d v="1899-12-30T20:59:51"/>
    <n v="902"/>
    <d v="1899-12-30T00:10:35"/>
    <n v="5"/>
    <n v="0"/>
    <n v="4.25"/>
    <x v="2"/>
    <n v="0.5"/>
    <n v="0.25"/>
    <n v="0.25"/>
    <n v="0.60133333333333339"/>
    <n v="4.4000000000000004"/>
    <n v="0"/>
    <n v="0"/>
    <n v="8.563833333333335"/>
    <d v="2022-04-16T00:00:00"/>
    <n v="1"/>
    <s v="Trail"/>
  </r>
  <r>
    <x v="0"/>
    <s v="M"/>
    <n v="14"/>
    <n v="6.07"/>
    <d v="1899-12-30T00:33:41"/>
    <d v="1899-12-30T01:00:29"/>
    <d v="1899-12-30T00:47:05"/>
    <n v="94"/>
    <d v="1899-12-30T00:07:45"/>
    <n v="1.4452380952380952"/>
    <n v="1"/>
    <n v="4"/>
    <x v="0"/>
    <n v="0.25"/>
    <n v="0.25"/>
    <n v="0.5"/>
    <n v="6.2666666666666662E-2"/>
    <n v="0"/>
    <n v="0"/>
    <n v="0"/>
    <n v="2.673976190476191"/>
    <d v="2022-04-16T00:00:00"/>
    <n v="1"/>
    <s v="Road"/>
  </r>
  <r>
    <x v="9"/>
    <s v="F"/>
    <n v="14"/>
    <n v="16.02"/>
    <d v="1899-12-30T01:24:14"/>
    <d v="1899-12-30T01:24:32"/>
    <d v="1899-12-30T01:24:23"/>
    <n v="62"/>
    <d v="1899-12-30T00:05:16"/>
    <n v="4.0049999999999999"/>
    <n v="3"/>
    <n v="1.75"/>
    <x v="1"/>
    <n v="0.25"/>
    <n v="0.5"/>
    <n v="0.25"/>
    <n v="4.1333333333333333E-2"/>
    <n v="0"/>
    <n v="0"/>
    <n v="0"/>
    <n v="2.980083333333333"/>
    <d v="2022-04-11T00:00:00"/>
    <n v="1"/>
    <s v="Trail"/>
  </r>
  <r>
    <x v="20"/>
    <s v="M"/>
    <n v="14"/>
    <n v="3"/>
    <d v="1899-12-30T00:14:50"/>
    <d v="1899-12-30T00:14:50"/>
    <d v="1899-12-30T00:14:50"/>
    <n v="6"/>
    <d v="1899-12-30T00:04:57"/>
    <n v="0.7142857142857143"/>
    <n v="3"/>
    <n v="3.75"/>
    <x v="1"/>
    <n v="0.25"/>
    <n v="0.5"/>
    <n v="0.25"/>
    <n v="0"/>
    <n v="0"/>
    <n v="0"/>
    <n v="0"/>
    <n v="2.6160714285714288"/>
    <d v="2022-04-17T00:00:00"/>
    <n v="1"/>
    <s v="Trail"/>
  </r>
  <r>
    <x v="21"/>
    <s v="M"/>
    <n v="14"/>
    <n v="20.86"/>
    <d v="1899-12-30T01:36:50"/>
    <d v="1899-12-30T01:36:50"/>
    <d v="1899-12-30T01:36:50"/>
    <n v="234"/>
    <d v="1899-12-30T00:04:39"/>
    <n v="4.9666666666666659"/>
    <n v="3.5"/>
    <n v="3"/>
    <x v="0"/>
    <n v="0.25"/>
    <n v="0.25"/>
    <n v="0.5"/>
    <n v="0.156"/>
    <n v="0"/>
    <n v="0"/>
    <n v="0"/>
    <n v="3.7726666666666664"/>
    <d v="2022-04-17T00:00:00"/>
    <n v="1"/>
    <s v="Trail"/>
  </r>
  <r>
    <x v="7"/>
    <s v="F"/>
    <n v="14"/>
    <n v="5.23"/>
    <d v="1899-12-30T00:35:08"/>
    <d v="1899-12-30T00:38:50"/>
    <d v="1899-12-30T00:36:59"/>
    <n v="7"/>
    <d v="1899-12-30T00:07:04"/>
    <n v="1.3075000000000001"/>
    <n v="1"/>
    <n v="3.75"/>
    <x v="0"/>
    <n v="0.25"/>
    <n v="0.25"/>
    <n v="0.5"/>
    <n v="0"/>
    <n v="0"/>
    <n v="0"/>
    <n v="0"/>
    <n v="2.4518750000000002"/>
    <d v="2022-04-15T00:00:00"/>
    <n v="1"/>
    <s v="Road"/>
  </r>
  <r>
    <x v="4"/>
    <s v="M"/>
    <n v="14"/>
    <n v="21.21"/>
    <d v="1899-12-30T01:55:45"/>
    <d v="1899-12-30T02:00:19"/>
    <d v="1899-12-30T01:58:02"/>
    <n v="83"/>
    <d v="1899-12-30T00:05:34"/>
    <n v="5"/>
    <n v="1.5"/>
    <n v="3.5"/>
    <x v="0"/>
    <n v="0.25"/>
    <n v="0.25"/>
    <n v="0.5"/>
    <n v="5.5333333333333332E-2"/>
    <n v="0"/>
    <n v="0"/>
    <n v="0"/>
    <n v="3.4303333333333335"/>
    <d v="2022-04-12T00:00:00"/>
    <n v="1"/>
    <s v="Road"/>
  </r>
  <r>
    <x v="29"/>
    <s v="F"/>
    <n v="14"/>
    <n v="8.0500000000000007"/>
    <d v="1899-12-30T00:47:01"/>
    <d v="1899-12-30T00:52:37"/>
    <d v="1899-12-30T00:49:49"/>
    <n v="33"/>
    <d v="1899-12-30T00:06:11"/>
    <n v="2.0125000000000002"/>
    <n v="1.5"/>
    <n v="2.75"/>
    <x v="0"/>
    <n v="0.25"/>
    <n v="0.25"/>
    <n v="0.5"/>
    <n v="0"/>
    <n v="0"/>
    <n v="0"/>
    <n v="0"/>
    <n v="2.2531249999999998"/>
    <d v="2022-04-13T00:00:00"/>
    <n v="1"/>
    <s v="Trail"/>
  </r>
  <r>
    <x v="11"/>
    <s v="F"/>
    <n v="14"/>
    <n v="3.48"/>
    <d v="1899-12-30T00:20:53"/>
    <d v="1899-12-30T00:29:06"/>
    <d v="1899-12-30T00:25:00"/>
    <n v="12"/>
    <d v="1899-12-30T00:07:11"/>
    <n v="0.87"/>
    <n v="1"/>
    <n v="3.25"/>
    <x v="2"/>
    <n v="0.5"/>
    <n v="0.25"/>
    <n v="0.25"/>
    <n v="0"/>
    <n v="0"/>
    <n v="0"/>
    <n v="0"/>
    <n v="1.4975000000000001"/>
    <d v="2022-04-16T00:00:00"/>
    <n v="1"/>
    <s v="Trail"/>
  </r>
  <r>
    <x v="19"/>
    <s v="F"/>
    <n v="14"/>
    <n v="3.01"/>
    <d v="1899-12-30T00:15:11"/>
    <d v="1899-12-30T00:15:34"/>
    <d v="1899-12-30T00:15:22"/>
    <n v="0"/>
    <d v="1899-12-30T00:05:06"/>
    <n v="0.75249999999999995"/>
    <n v="3.5"/>
    <n v="2.5"/>
    <x v="1"/>
    <n v="0.25"/>
    <n v="0.5"/>
    <n v="0.25"/>
    <n v="0"/>
    <n v="0"/>
    <n v="0"/>
    <n v="0"/>
    <n v="2.5631249999999999"/>
    <d v="2022-04-17T00:00:00"/>
    <n v="1"/>
    <s v="Trail"/>
  </r>
  <r>
    <x v="5"/>
    <s v="M"/>
    <n v="14"/>
    <n v="7.01"/>
    <d v="1899-12-30T00:34:23"/>
    <d v="1899-12-30T00:34:31"/>
    <d v="1899-12-30T00:34:27"/>
    <n v="10"/>
    <d v="1899-12-30T00:04:55"/>
    <n v="1.6690476190476189"/>
    <n v="3"/>
    <n v="1"/>
    <x v="0"/>
    <n v="0.25"/>
    <n v="0.25"/>
    <n v="0.5"/>
    <n v="0"/>
    <n v="0"/>
    <n v="0"/>
    <n v="0"/>
    <n v="1.6672619047619048"/>
    <d v="2022-04-14T00:00:00"/>
    <n v="1"/>
    <e v="#N/A"/>
  </r>
  <r>
    <x v="6"/>
    <s v="F"/>
    <n v="14"/>
    <n v="11.01"/>
    <d v="1899-12-30T01:13:07"/>
    <d v="1899-12-30T01:18:53"/>
    <d v="1899-12-30T01:16:00"/>
    <n v="171"/>
    <d v="1899-12-30T00:06:54"/>
    <n v="2.7524999999999999"/>
    <n v="1"/>
    <n v="3.5"/>
    <x v="0"/>
    <n v="0.25"/>
    <n v="0.25"/>
    <n v="0.5"/>
    <n v="0.114"/>
    <n v="0"/>
    <n v="0"/>
    <n v="0"/>
    <n v="2.8021249999999998"/>
    <d v="2022-04-16T00:00:00"/>
    <n v="1"/>
    <s v="Trail"/>
  </r>
  <r>
    <x v="30"/>
    <s v="M"/>
    <n v="14"/>
    <n v="8"/>
    <d v="1899-12-30T00:40:30"/>
    <d v="1899-12-30T00:40:38"/>
    <d v="1899-12-30T00:40:34"/>
    <n v="39"/>
    <d v="1899-12-30T00:05:04"/>
    <n v="1.9047619047619047"/>
    <n v="2.5"/>
    <n v="2.5"/>
    <x v="0"/>
    <n v="0.25"/>
    <n v="0.25"/>
    <n v="0.5"/>
    <n v="0"/>
    <n v="0"/>
    <n v="0"/>
    <n v="0"/>
    <n v="2.3511904761904763"/>
    <d v="2022-04-15T00:00:00"/>
    <n v="1"/>
    <s v="Road"/>
  </r>
  <r>
    <x v="28"/>
    <s v="F"/>
    <n v="14"/>
    <n v="3.01"/>
    <d v="1899-12-30T00:17:03"/>
    <d v="1899-12-30T00:17:03"/>
    <d v="1899-12-30T00:17:03"/>
    <n v="26"/>
    <d v="1899-12-30T00:05:40"/>
    <n v="0.75249999999999995"/>
    <n v="2.5"/>
    <n v="3.5"/>
    <x v="0"/>
    <n v="0.25"/>
    <n v="0.25"/>
    <n v="0.5"/>
    <n v="0"/>
    <n v="0"/>
    <n v="0"/>
    <n v="0"/>
    <n v="2.5631249999999999"/>
    <d v="2022-04-16T00:00:00"/>
    <n v="1"/>
    <s v="Road"/>
  </r>
  <r>
    <x v="1"/>
    <s v="M"/>
    <n v="15"/>
    <n v="42.5"/>
    <d v="1899-12-30T02:43:14"/>
    <d v="1899-12-30T02:43:14"/>
    <d v="1899-12-30T02:43:14"/>
    <n v="313"/>
    <d v="1899-12-30T00:03:50"/>
    <n v="5"/>
    <n v="5"/>
    <n v="3.5"/>
    <x v="2"/>
    <n v="0.5"/>
    <n v="0.25"/>
    <n v="0.25"/>
    <n v="0.20866666666666667"/>
    <n v="1"/>
    <n v="0.89999999999999991"/>
    <n v="0"/>
    <n v="6.7336666666666662"/>
    <d v="2022-04-24T00:00:00"/>
    <n v="1"/>
    <s v="Road"/>
  </r>
  <r>
    <x v="22"/>
    <s v="M"/>
    <n v="15"/>
    <n v="13.47"/>
    <d v="1899-12-30T01:02:11"/>
    <d v="1899-12-30T01:03:05"/>
    <d v="1899-12-30T01:02:38"/>
    <n v="21"/>
    <d v="1899-12-30T00:04:39"/>
    <n v="3.2071428571428573"/>
    <n v="3.5"/>
    <n v="3.5"/>
    <x v="1"/>
    <n v="0.25"/>
    <n v="0.5"/>
    <n v="0.25"/>
    <n v="0"/>
    <n v="0"/>
    <n v="0"/>
    <n v="0"/>
    <n v="3.4267857142857143"/>
    <d v="2022-04-22T00:00:00"/>
    <n v="1"/>
    <s v="Trail"/>
  </r>
  <r>
    <x v="12"/>
    <s v="M"/>
    <n v="15"/>
    <n v="12.3"/>
    <d v="1899-12-30T00:59:42"/>
    <d v="1899-12-30T00:59:42"/>
    <d v="1899-12-30T00:59:42"/>
    <n v="12"/>
    <d v="1899-12-30T00:04:51"/>
    <n v="2.9285714285714288"/>
    <n v="3"/>
    <n v="3"/>
    <x v="1"/>
    <n v="0.25"/>
    <n v="0.5"/>
    <n v="0.25"/>
    <n v="0"/>
    <n v="0"/>
    <n v="0"/>
    <n v="0"/>
    <n v="2.9821428571428572"/>
    <d v="2022-04-23T00:00:00"/>
    <n v="1"/>
    <s v="Road"/>
  </r>
  <r>
    <x v="27"/>
    <s v="M"/>
    <n v="15"/>
    <n v="3"/>
    <d v="1899-12-30T00:12:28"/>
    <d v="1899-12-30T00:12:28"/>
    <d v="1899-12-30T00:12:28"/>
    <n v="18"/>
    <d v="1899-12-30T00:04:09"/>
    <n v="0.7142857142857143"/>
    <n v="4.5"/>
    <n v="2"/>
    <x v="1"/>
    <n v="0.25"/>
    <n v="0.5"/>
    <n v="0.25"/>
    <n v="0"/>
    <n v="0"/>
    <n v="0"/>
    <n v="0"/>
    <n v="2.9285714285714284"/>
    <d v="2022-04-18T00:00:00"/>
    <n v="1"/>
    <s v="Trail"/>
  </r>
  <r>
    <x v="16"/>
    <s v="F"/>
    <n v="15"/>
    <n v="17"/>
    <d v="1899-12-30T01:22:49"/>
    <d v="1899-12-30T01:23:11"/>
    <d v="1899-12-30T01:23:00"/>
    <n v="30"/>
    <d v="1899-12-30T00:04:53"/>
    <n v="4.25"/>
    <n v="4"/>
    <n v="3.25"/>
    <x v="1"/>
    <n v="0.25"/>
    <n v="0.5"/>
    <n v="0.25"/>
    <n v="0"/>
    <n v="0"/>
    <n v="0"/>
    <n v="0"/>
    <n v="3.875"/>
    <d v="2022-04-23T00:00:00"/>
    <n v="1"/>
    <s v="Trail"/>
  </r>
  <r>
    <x v="26"/>
    <s v="M"/>
    <n v="15"/>
    <n v="31.23"/>
    <d v="1899-12-30T04:31:04"/>
    <d v="1899-12-30T04:52:23"/>
    <d v="1899-12-30T04:41:44"/>
    <n v="1032"/>
    <d v="1899-12-30T00:09:01"/>
    <n v="5"/>
    <n v="0"/>
    <n v="3.75"/>
    <x v="2"/>
    <n v="0.5"/>
    <n v="0.25"/>
    <n v="0.25"/>
    <n v="0.68799999999999994"/>
    <n v="0.5"/>
    <n v="0"/>
    <n v="0"/>
    <n v="4.6254999999999997"/>
    <d v="2022-04-23T00:00:00"/>
    <n v="1"/>
    <s v="Trail"/>
  </r>
  <r>
    <x v="2"/>
    <s v="M"/>
    <n v="15"/>
    <n v="42.38"/>
    <d v="1899-12-30T04:19:45"/>
    <d v="1899-12-30T04:20:28"/>
    <d v="1899-12-30T04:20:07"/>
    <n v="257"/>
    <d v="1899-12-30T00:06:08"/>
    <n v="5"/>
    <n v="1"/>
    <n v="4"/>
    <x v="2"/>
    <n v="0.5"/>
    <n v="0.25"/>
    <n v="0.25"/>
    <n v="0.17133333333333334"/>
    <n v="1"/>
    <n v="0"/>
    <n v="0"/>
    <n v="4.9213333333333331"/>
    <d v="2022-04-19T00:00:00"/>
    <n v="1"/>
    <s v="Trail"/>
  </r>
  <r>
    <x v="9"/>
    <s v="F"/>
    <n v="15"/>
    <n v="16.010000000000002"/>
    <d v="1899-12-30T01:27:05"/>
    <d v="1899-12-30T01:27:00"/>
    <d v="1899-12-30T01:27:03"/>
    <n v="44"/>
    <d v="1899-12-30T00:05:26"/>
    <n v="4.0025000000000004"/>
    <n v="3"/>
    <n v="3"/>
    <x v="2"/>
    <n v="0.5"/>
    <n v="0.25"/>
    <n v="0.25"/>
    <n v="0"/>
    <n v="0"/>
    <n v="0"/>
    <n v="0"/>
    <n v="3.5012500000000002"/>
    <d v="2022-04-23T00:00:00"/>
    <n v="1"/>
    <s v="Trail"/>
  </r>
  <r>
    <x v="0"/>
    <s v="M"/>
    <n v="15"/>
    <n v="17"/>
    <d v="1899-12-30T01:19:44"/>
    <d v="1899-12-30T01:19:56"/>
    <d v="1899-12-30T01:19:50"/>
    <n v="0"/>
    <d v="1899-12-30T00:04:42"/>
    <n v="4.0476190476190474"/>
    <n v="3.5"/>
    <n v="3.25"/>
    <x v="2"/>
    <n v="0.5"/>
    <n v="0.25"/>
    <n v="0.25"/>
    <n v="0"/>
    <n v="0"/>
    <n v="0"/>
    <n v="0"/>
    <n v="3.7113095238095237"/>
    <d v="2022-04-23T00:00:00"/>
    <n v="1"/>
    <s v="Road"/>
  </r>
  <r>
    <x v="20"/>
    <s v="M"/>
    <n v="15"/>
    <n v="20.260000000000002"/>
    <d v="1899-12-30T02:18:10"/>
    <d v="1899-12-30T02:32:44"/>
    <d v="1899-12-30T02:25:27"/>
    <n v="451"/>
    <d v="1899-12-30T00:07:11"/>
    <n v="4.8238095238095235"/>
    <n v="1"/>
    <n v="3.75"/>
    <x v="0"/>
    <n v="0.25"/>
    <n v="0.25"/>
    <n v="0.5"/>
    <n v="0.30066666666666669"/>
    <n v="0"/>
    <n v="0"/>
    <n v="0"/>
    <n v="3.6316190476190475"/>
    <d v="2022-04-23T00:00:00"/>
    <n v="1"/>
    <s v="Trail"/>
  </r>
  <r>
    <x v="21"/>
    <s v="M"/>
    <n v="15"/>
    <n v="15.13"/>
    <d v="1899-12-30T01:21:04"/>
    <d v="1899-12-30T01:22:01"/>
    <d v="1899-12-30T01:21:33"/>
    <n v="173"/>
    <d v="1899-12-30T00:05:23"/>
    <n v="3.6023809523809525"/>
    <n v="2"/>
    <n v="1.5"/>
    <x v="2"/>
    <n v="0.5"/>
    <n v="0.25"/>
    <n v="0.25"/>
    <n v="0.11533333333333333"/>
    <n v="0"/>
    <n v="0"/>
    <n v="0"/>
    <n v="2.79152380952381"/>
    <d v="2022-04-23T00:00:00"/>
    <n v="1"/>
    <s v="Trail"/>
  </r>
  <r>
    <x v="7"/>
    <s v="F"/>
    <n v="15"/>
    <n v="9.01"/>
    <d v="1899-12-30T00:54:44"/>
    <d v="1899-12-30T00:59:06"/>
    <d v="1899-12-30T00:56:55"/>
    <n v="0"/>
    <d v="1899-12-30T00:06:19"/>
    <n v="2.2524999999999999"/>
    <n v="1.5"/>
    <n v="3.25"/>
    <x v="1"/>
    <n v="0.25"/>
    <n v="0.5"/>
    <n v="0.25"/>
    <n v="0"/>
    <n v="0"/>
    <n v="0"/>
    <n v="0"/>
    <n v="2.1256249999999999"/>
    <d v="2022-04-24T00:00:00"/>
    <n v="1"/>
    <s v="Road"/>
  </r>
  <r>
    <x v="4"/>
    <s v="M"/>
    <n v="15"/>
    <n v="23.24"/>
    <d v="1899-12-30T02:07:05"/>
    <d v="1899-12-30T02:11:36"/>
    <d v="1899-12-30T02:09:20"/>
    <n v="54"/>
    <d v="1899-12-30T00:05:34"/>
    <n v="5"/>
    <n v="1.5"/>
    <n v="3.5"/>
    <x v="0"/>
    <n v="0.25"/>
    <n v="0.25"/>
    <n v="0.5"/>
    <n v="3.5999999999999997E-2"/>
    <n v="0.1"/>
    <n v="0"/>
    <n v="0"/>
    <n v="3.5110000000000001"/>
    <d v="2022-04-23T00:00:00"/>
    <n v="1"/>
    <s v="Road"/>
  </r>
  <r>
    <x v="23"/>
    <s v="M"/>
    <n v="15"/>
    <n v="25.25"/>
    <d v="1899-12-30T02:56:23"/>
    <d v="1899-12-30T03:12:15"/>
    <d v="1899-12-30T03:04:19"/>
    <n v="1019"/>
    <d v="1899-12-30T00:07:18"/>
    <n v="5"/>
    <n v="1"/>
    <n v="3"/>
    <x v="0"/>
    <n v="0.25"/>
    <n v="0.25"/>
    <n v="0.5"/>
    <n v="0.67933333333333334"/>
    <n v="0.2"/>
    <n v="0"/>
    <n v="0"/>
    <n v="3.8793333333333333"/>
    <d v="2022-04-24T00:00:00"/>
    <n v="1"/>
    <s v="Road"/>
  </r>
  <r>
    <x v="29"/>
    <s v="F"/>
    <n v="15"/>
    <n v="19"/>
    <d v="1899-12-30T01:53:38"/>
    <d v="1899-12-30T02:30:02"/>
    <d v="1899-12-30T02:11:50"/>
    <n v="55"/>
    <d v="1899-12-30T00:06:56"/>
    <n v="4.75"/>
    <n v="1"/>
    <n v="3.5"/>
    <x v="0"/>
    <n v="0.25"/>
    <n v="0.25"/>
    <n v="0.5"/>
    <n v="3.6666666666666667E-2"/>
    <n v="0"/>
    <n v="0"/>
    <n v="0"/>
    <n v="3.2241666666666666"/>
    <d v="2022-04-24T00:00:00"/>
    <n v="1"/>
    <s v="Trail"/>
  </r>
  <r>
    <x v="19"/>
    <s v="F"/>
    <n v="15"/>
    <n v="11.01"/>
    <d v="1899-12-30T01:06:58"/>
    <d v="1899-12-30T01:13:54"/>
    <d v="1899-12-30T01:10:26"/>
    <n v="18"/>
    <d v="1899-12-30T00:06:24"/>
    <n v="2.7524999999999999"/>
    <n v="1.5"/>
    <n v="3"/>
    <x v="0"/>
    <n v="0.25"/>
    <n v="0.25"/>
    <n v="0.5"/>
    <n v="0"/>
    <n v="0"/>
    <n v="0"/>
    <n v="0"/>
    <n v="2.5631249999999999"/>
    <d v="2022-04-23T00:00:00"/>
    <n v="1"/>
    <s v="Trail"/>
  </r>
  <r>
    <x v="5"/>
    <s v="M"/>
    <n v="15"/>
    <n v="7"/>
    <d v="1899-12-30T00:36:13"/>
    <d v="1899-12-30T00:37:27"/>
    <d v="1899-12-30T00:36:50"/>
    <n v="13"/>
    <d v="1899-12-30T00:05:16"/>
    <n v="1.6666666666666665"/>
    <n v="2.5"/>
    <n v="2.5"/>
    <x v="0"/>
    <n v="0.25"/>
    <n v="0.25"/>
    <n v="0.5"/>
    <n v="0"/>
    <n v="0"/>
    <n v="0"/>
    <n v="0"/>
    <n v="2.2916666666666665"/>
    <d v="2022-04-21T00:00:00"/>
    <n v="1"/>
    <e v="#N/A"/>
  </r>
  <r>
    <x v="30"/>
    <s v="M"/>
    <n v="15"/>
    <n v="16"/>
    <d v="1899-12-30T01:19:39"/>
    <d v="1899-12-30T01:19:39"/>
    <d v="1899-12-30T01:19:39"/>
    <n v="234"/>
    <d v="1899-12-30T00:04:59"/>
    <n v="3.8095238095238093"/>
    <n v="3"/>
    <n v="1"/>
    <x v="2"/>
    <n v="0.5"/>
    <n v="0.25"/>
    <n v="0.25"/>
    <n v="0.156"/>
    <n v="0"/>
    <n v="0"/>
    <n v="0"/>
    <n v="3.0607619047619048"/>
    <d v="2022-04-22T00:00:00"/>
    <n v="1"/>
    <s v="Road"/>
  </r>
  <r>
    <x v="28"/>
    <s v="F"/>
    <n v="15"/>
    <n v="5.0199999999999996"/>
    <d v="1899-12-30T00:29:58"/>
    <d v="1899-12-30T00:30:03"/>
    <d v="1899-12-30T00:30:00"/>
    <n v="47"/>
    <d v="1899-12-30T00:05:59"/>
    <n v="1.2549999999999999"/>
    <n v="2"/>
    <n v="3.5"/>
    <x v="2"/>
    <n v="0.5"/>
    <n v="0.25"/>
    <n v="0.25"/>
    <n v="0"/>
    <n v="0"/>
    <n v="0"/>
    <n v="0"/>
    <n v="2.0024999999999999"/>
    <d v="2022-04-22T00:00:00"/>
    <n v="1"/>
    <s v="Road"/>
  </r>
  <r>
    <x v="10"/>
    <s v="M"/>
    <n v="15"/>
    <n v="5.01"/>
    <d v="1899-12-30T00:33:40"/>
    <d v="1899-12-30T00:33:40"/>
    <d v="1899-12-30T00:33:40"/>
    <n v="2"/>
    <d v="1899-12-30T00:06:43"/>
    <n v="1.1928571428571428"/>
    <n v="1"/>
    <n v="3.75"/>
    <x v="0"/>
    <n v="0.25"/>
    <n v="0.25"/>
    <n v="0.5"/>
    <n v="0"/>
    <n v="0"/>
    <n v="0"/>
    <n v="0"/>
    <n v="2.4232142857142858"/>
    <d v="2022-04-24T00:00:00"/>
    <n v="1"/>
    <s v="Trail"/>
  </r>
  <r>
    <x v="18"/>
    <s v="M"/>
    <n v="15"/>
    <n v="5.09"/>
    <d v="1899-12-30T00:20:55"/>
    <d v="1899-12-30T00:20:55"/>
    <d v="1899-12-30T00:20:55"/>
    <n v="0"/>
    <d v="1899-12-30T00:04:07"/>
    <n v="1.2119047619047618"/>
    <n v="4.5"/>
    <n v="2.5"/>
    <x v="0"/>
    <n v="0.25"/>
    <n v="0.25"/>
    <n v="0.5"/>
    <n v="0"/>
    <n v="0"/>
    <n v="0"/>
    <n v="0"/>
    <n v="2.6779761904761905"/>
    <d v="2022-04-21T00:00:00"/>
    <n v="1"/>
    <s v="Road"/>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1" cacheId="15" applyNumberFormats="0" applyBorderFormats="0" applyFontFormats="0" applyPatternFormats="0" applyAlignmentFormats="0" applyWidthHeightFormats="1" dataCaption="Values" grandTotalCaption="Total prezente" updatedVersion="5" minRefreshableVersion="3" showCalcMbrs="0" useAutoFormatting="1" itemPrintTitles="1" createdVersion="3" indent="0" outline="1" outlineData="1" multipleFieldFilters="0" colHeaderCaption="D/V">
  <location ref="A1:F38" firstHeaderRow="1" firstDataRow="2" firstDataCol="1"/>
  <pivotFields count="24">
    <pivotField axis="axisRow" numFmtId="169" showAll="0" defaultSubtotal="0">
      <items count="35">
        <item x="17"/>
        <item x="26"/>
        <item x="14"/>
        <item x="6"/>
        <item x="13"/>
        <item x="19"/>
        <item x="8"/>
        <item x="18"/>
        <item x="12"/>
        <item x="22"/>
        <item x="7"/>
        <item x="27"/>
        <item x="4"/>
        <item x="16"/>
        <item x="10"/>
        <item x="21"/>
        <item x="0"/>
        <item x="5"/>
        <item x="1"/>
        <item x="25"/>
        <item x="3"/>
        <item x="2"/>
        <item x="9"/>
        <item x="11"/>
        <item x="15"/>
        <item x="20"/>
        <item x="23"/>
        <item x="24"/>
        <item x="28"/>
        <item x="29"/>
        <item x="30"/>
        <item x="31"/>
        <item x="32"/>
        <item x="33"/>
        <item x="34"/>
      </items>
    </pivotField>
    <pivotField numFmtId="169" showAll="0"/>
    <pivotField numFmtId="169" showAll="0"/>
    <pivotField numFmtId="169" showAll="0"/>
    <pivotField numFmtId="169" showAll="0"/>
    <pivotField numFmtId="169" showAll="0"/>
    <pivotField numFmtId="169" showAll="0"/>
    <pivotField numFmtId="169" showAll="0"/>
    <pivotField numFmtId="169" showAll="0"/>
    <pivotField numFmtId="169" showAll="0"/>
    <pivotField numFmtId="169" showAll="0"/>
    <pivotField numFmtId="2" showAll="0" defaultSubtotal="0"/>
    <pivotField axis="axisCol" dataField="1" numFmtId="169" showAll="0">
      <items count="5">
        <item x="2"/>
        <item x="1"/>
        <item x="0"/>
        <item x="3"/>
        <item t="default"/>
      </items>
    </pivotField>
    <pivotField numFmtId="9" showAll="0"/>
    <pivotField numFmtId="9" showAll="0"/>
    <pivotField numFmtId="9" showAll="0" defaultSubtotal="0"/>
    <pivotField numFmtId="43" showAll="0"/>
    <pivotField numFmtId="166" showAll="0"/>
    <pivotField numFmtId="169" showAll="0"/>
    <pivotField numFmtId="166" showAll="0"/>
    <pivotField numFmtId="169" showAll="0"/>
    <pivotField numFmtId="169" showAll="0" defaultSubtotal="0"/>
    <pivotField numFmtId="169" showAll="0"/>
    <pivotField numFmtId="169" showAll="0"/>
  </pivotFields>
  <rowFields count="1">
    <field x="0"/>
  </rowFields>
  <rowItems count="36">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t="grand">
      <x/>
    </i>
  </rowItems>
  <colFields count="1">
    <field x="12"/>
  </colFields>
  <colItems count="5">
    <i>
      <x/>
    </i>
    <i>
      <x v="1"/>
    </i>
    <i>
      <x v="2"/>
    </i>
    <i>
      <x v="3"/>
    </i>
    <i t="grand">
      <x/>
    </i>
  </colItems>
  <dataFields count="1">
    <dataField name="Count of Tip" fld="12" subtotal="count" baseField="0" baseItem="0" numFmtId="167"/>
  </dataFields>
  <formats count="96">
    <format dxfId="479">
      <pivotArea dataOnly="0" labelOnly="1" fieldPosition="0">
        <references count="1">
          <reference field="12" count="0"/>
        </references>
      </pivotArea>
    </format>
    <format dxfId="478">
      <pivotArea dataOnly="0" labelOnly="1" grandCol="1" outline="0" fieldPosition="0"/>
    </format>
    <format dxfId="477">
      <pivotArea type="all" dataOnly="0" outline="0" fieldPosition="0"/>
    </format>
    <format dxfId="476">
      <pivotArea type="all" dataOnly="0" outline="0" fieldPosition="0"/>
    </format>
    <format dxfId="475">
      <pivotArea type="all" dataOnly="0" outline="0" fieldPosition="0"/>
    </format>
    <format dxfId="474">
      <pivotArea type="all" dataOnly="0" outline="0" fieldPosition="0"/>
    </format>
    <format dxfId="473">
      <pivotArea grandCol="1" outline="0" collapsedLevelsAreSubtotals="1" fieldPosition="0"/>
    </format>
    <format dxfId="472">
      <pivotArea type="topRight" dataOnly="0" labelOnly="1" outline="0" offset="D1" fieldPosition="0"/>
    </format>
    <format dxfId="471">
      <pivotArea dataOnly="0" labelOnly="1" grandCol="1" outline="0" fieldPosition="0"/>
    </format>
    <format dxfId="470">
      <pivotArea outline="0" collapsedLevelsAreSubtotals="1" fieldPosition="0">
        <references count="1">
          <reference field="12" count="1" selected="0">
            <x v="1"/>
          </reference>
        </references>
      </pivotArea>
    </format>
    <format dxfId="469">
      <pivotArea type="topRight" dataOnly="0" labelOnly="1" outline="0" fieldPosition="0"/>
    </format>
    <format dxfId="468">
      <pivotArea dataOnly="0" labelOnly="1" fieldPosition="0">
        <references count="1">
          <reference field="12" count="1">
            <x v="1"/>
          </reference>
        </references>
      </pivotArea>
    </format>
    <format dxfId="467">
      <pivotArea outline="0" collapsedLevelsAreSubtotals="1" fieldPosition="0">
        <references count="1">
          <reference field="12" count="1" selected="0">
            <x v="0"/>
          </reference>
        </references>
      </pivotArea>
    </format>
    <format dxfId="466">
      <pivotArea dataOnly="0" labelOnly="1" fieldPosition="0">
        <references count="1">
          <reference field="12" count="1">
            <x v="0"/>
          </reference>
        </references>
      </pivotArea>
    </format>
    <format dxfId="465">
      <pivotArea field="12" type="button" dataOnly="0" labelOnly="1" outline="0" axis="axisCol" fieldPosition="0"/>
    </format>
    <format dxfId="464">
      <pivotArea field="12" type="button" dataOnly="0" labelOnly="1" outline="0" axis="axisCol" fieldPosition="0"/>
    </format>
    <format dxfId="463">
      <pivotArea collapsedLevelsAreSubtotals="1" fieldPosition="0">
        <references count="2">
          <reference field="0" count="1">
            <x v="0"/>
          </reference>
          <reference field="12" count="1" selected="0">
            <x v="0"/>
          </reference>
        </references>
      </pivotArea>
    </format>
    <format dxfId="462">
      <pivotArea collapsedLevelsAreSubtotals="1" fieldPosition="0">
        <references count="2">
          <reference field="0" count="1">
            <x v="5"/>
          </reference>
          <reference field="12" count="1" selected="0">
            <x v="0"/>
          </reference>
        </references>
      </pivotArea>
    </format>
    <format dxfId="461">
      <pivotArea collapsedLevelsAreSubtotals="1" fieldPosition="0">
        <references count="2">
          <reference field="0" count="1">
            <x v="3"/>
          </reference>
          <reference field="12" count="1" selected="0">
            <x v="1"/>
          </reference>
        </references>
      </pivotArea>
    </format>
    <format dxfId="460">
      <pivotArea collapsedLevelsAreSubtotals="1" fieldPosition="0">
        <references count="2">
          <reference field="0" count="1">
            <x v="3"/>
          </reference>
          <reference field="12" count="1" selected="0">
            <x v="0"/>
          </reference>
        </references>
      </pivotArea>
    </format>
    <format dxfId="459">
      <pivotArea collapsedLevelsAreSubtotals="1" fieldPosition="0">
        <references count="2">
          <reference field="0" count="1">
            <x v="5"/>
          </reference>
          <reference field="12" count="1" selected="0">
            <x v="1"/>
          </reference>
        </references>
      </pivotArea>
    </format>
    <format dxfId="458">
      <pivotArea collapsedLevelsAreSubtotals="1" fieldPosition="0">
        <references count="2">
          <reference field="0" count="1">
            <x v="6"/>
          </reference>
          <reference field="12" count="1" selected="0">
            <x v="1"/>
          </reference>
        </references>
      </pivotArea>
    </format>
    <format dxfId="457">
      <pivotArea collapsedLevelsAreSubtotals="1" fieldPosition="0">
        <references count="2">
          <reference field="0" count="1">
            <x v="8"/>
          </reference>
          <reference field="12" count="1" selected="0">
            <x v="1"/>
          </reference>
        </references>
      </pivotArea>
    </format>
    <format dxfId="456">
      <pivotArea collapsedLevelsAreSubtotals="1" fieldPosition="0">
        <references count="2">
          <reference field="0" count="1">
            <x v="10"/>
          </reference>
          <reference field="12" count="1" selected="0">
            <x v="1"/>
          </reference>
        </references>
      </pivotArea>
    </format>
    <format dxfId="455">
      <pivotArea collapsedLevelsAreSubtotals="1" fieldPosition="0">
        <references count="2">
          <reference field="0" count="1">
            <x v="3"/>
          </reference>
          <reference field="12" count="1" selected="0">
            <x v="0"/>
          </reference>
        </references>
      </pivotArea>
    </format>
    <format dxfId="454">
      <pivotArea collapsedLevelsAreSubtotals="1" fieldPosition="0">
        <references count="2">
          <reference field="0" count="1">
            <x v="3"/>
          </reference>
          <reference field="12" count="1" selected="0">
            <x v="0"/>
          </reference>
        </references>
      </pivotArea>
    </format>
    <format dxfId="453">
      <pivotArea collapsedLevelsAreSubtotals="1" fieldPosition="0">
        <references count="2">
          <reference field="0" count="1">
            <x v="0"/>
          </reference>
          <reference field="12" count="1" selected="0">
            <x v="0"/>
          </reference>
        </references>
      </pivotArea>
    </format>
    <format dxfId="452">
      <pivotArea collapsedLevelsAreSubtotals="1" fieldPosition="0">
        <references count="2">
          <reference field="0" count="1">
            <x v="1"/>
          </reference>
          <reference field="12" count="1" selected="0">
            <x v="0"/>
          </reference>
        </references>
      </pivotArea>
    </format>
    <format dxfId="451">
      <pivotArea collapsedLevelsAreSubtotals="1" fieldPosition="0">
        <references count="1">
          <reference field="0" count="0"/>
        </references>
      </pivotArea>
    </format>
    <format dxfId="450">
      <pivotArea collapsedLevelsAreSubtotals="1" fieldPosition="0">
        <references count="1">
          <reference field="0" count="0"/>
        </references>
      </pivotArea>
    </format>
    <format dxfId="449">
      <pivotArea collapsedLevelsAreSubtotals="1" fieldPosition="0">
        <references count="2">
          <reference field="0" count="1">
            <x v="1"/>
          </reference>
          <reference field="12" count="1" selected="0">
            <x v="0"/>
          </reference>
        </references>
      </pivotArea>
    </format>
    <format dxfId="448">
      <pivotArea collapsedLevelsAreSubtotals="1" fieldPosition="0">
        <references count="2">
          <reference field="0" count="1">
            <x v="0"/>
          </reference>
          <reference field="12" count="1" selected="0">
            <x v="0"/>
          </reference>
        </references>
      </pivotArea>
    </format>
    <format dxfId="447">
      <pivotArea collapsedLevelsAreSubtotals="1" fieldPosition="0">
        <references count="1">
          <reference field="0" count="0"/>
        </references>
      </pivotArea>
    </format>
    <format dxfId="446">
      <pivotArea collapsedLevelsAreSubtotals="1" fieldPosition="0">
        <references count="1">
          <reference field="0" count="0"/>
        </references>
      </pivotArea>
    </format>
    <format dxfId="445">
      <pivotArea grandRow="1" outline="0" collapsedLevelsAreSubtotals="1" fieldPosition="0"/>
    </format>
    <format dxfId="444">
      <pivotArea collapsedLevelsAreSubtotals="1" fieldPosition="0">
        <references count="1">
          <reference field="0" count="0"/>
        </references>
      </pivotArea>
    </format>
    <format dxfId="443">
      <pivotArea collapsedLevelsAreSubtotals="1" fieldPosition="0">
        <references count="1">
          <reference field="0" count="0"/>
        </references>
      </pivotArea>
    </format>
    <format dxfId="442">
      <pivotArea collapsedLevelsAreSubtotals="1" fieldPosition="0">
        <references count="2">
          <reference field="0" count="1">
            <x v="3"/>
          </reference>
          <reference field="12" count="1" selected="0">
            <x v="1"/>
          </reference>
        </references>
      </pivotArea>
    </format>
    <format dxfId="441">
      <pivotArea collapsedLevelsAreSubtotals="1" fieldPosition="0">
        <references count="2">
          <reference field="0" count="1">
            <x v="3"/>
          </reference>
          <reference field="12" count="1" selected="0">
            <x v="1"/>
          </reference>
        </references>
      </pivotArea>
    </format>
    <format dxfId="440">
      <pivotArea collapsedLevelsAreSubtotals="1" fieldPosition="0">
        <references count="2">
          <reference field="0" count="1">
            <x v="0"/>
          </reference>
          <reference field="12" count="1" selected="0">
            <x v="1"/>
          </reference>
        </references>
      </pivotArea>
    </format>
    <format dxfId="439">
      <pivotArea collapsedLevelsAreSubtotals="1" fieldPosition="0">
        <references count="2">
          <reference field="0" count="1">
            <x v="9"/>
          </reference>
          <reference field="12" count="1" selected="0">
            <x v="0"/>
          </reference>
        </references>
      </pivotArea>
    </format>
    <format dxfId="438">
      <pivotArea collapsedLevelsAreSubtotals="1" fieldPosition="0">
        <references count="2">
          <reference field="0" count="1">
            <x v="14"/>
          </reference>
          <reference field="12" count="1" selected="0">
            <x v="0"/>
          </reference>
        </references>
      </pivotArea>
    </format>
    <format dxfId="437">
      <pivotArea collapsedLevelsAreSubtotals="1" fieldPosition="0">
        <references count="2">
          <reference field="0" count="1">
            <x v="16"/>
          </reference>
          <reference field="12" count="1" selected="0">
            <x v="0"/>
          </reference>
        </references>
      </pivotArea>
    </format>
    <format dxfId="436">
      <pivotArea collapsedLevelsAreSubtotals="1" fieldPosition="0">
        <references count="2">
          <reference field="0" count="1">
            <x v="18"/>
          </reference>
          <reference field="12" count="1" selected="0">
            <x v="0"/>
          </reference>
        </references>
      </pivotArea>
    </format>
    <format dxfId="435">
      <pivotArea collapsedLevelsAreSubtotals="1" fieldPosition="0">
        <references count="2">
          <reference field="0" count="1">
            <x v="2"/>
          </reference>
          <reference field="12" count="1" selected="0">
            <x v="0"/>
          </reference>
        </references>
      </pivotArea>
    </format>
    <format dxfId="434">
      <pivotArea collapsedLevelsAreSubtotals="1" fieldPosition="0">
        <references count="2">
          <reference field="0" count="1">
            <x v="6"/>
          </reference>
          <reference field="12" count="1" selected="0">
            <x v="0"/>
          </reference>
        </references>
      </pivotArea>
    </format>
    <format dxfId="433">
      <pivotArea collapsedLevelsAreSubtotals="1" fieldPosition="0">
        <references count="2">
          <reference field="0" count="1">
            <x v="7"/>
          </reference>
          <reference field="12" count="1" selected="0">
            <x v="1"/>
          </reference>
        </references>
      </pivotArea>
    </format>
    <format dxfId="432">
      <pivotArea collapsedLevelsAreSubtotals="1" fieldPosition="0">
        <references count="2">
          <reference field="0" count="1">
            <x v="15"/>
          </reference>
          <reference field="12" count="1" selected="0">
            <x v="0"/>
          </reference>
        </references>
      </pivotArea>
    </format>
    <format dxfId="431">
      <pivotArea collapsedLevelsAreSubtotals="1" fieldPosition="0">
        <references count="2">
          <reference field="0" count="2">
            <x v="12"/>
            <x v="13"/>
          </reference>
          <reference field="12" count="1" selected="0">
            <x v="0"/>
          </reference>
        </references>
      </pivotArea>
    </format>
    <format dxfId="430">
      <pivotArea outline="0" collapsedLevelsAreSubtotals="1" fieldPosition="0"/>
    </format>
    <format dxfId="429">
      <pivotArea type="all" dataOnly="0" outline="0" fieldPosition="0"/>
    </format>
    <format dxfId="428">
      <pivotArea dataOnly="0" labelOnly="1" fieldPosition="0">
        <references count="1">
          <reference field="0" count="0"/>
        </references>
      </pivotArea>
    </format>
    <format dxfId="427">
      <pivotArea dataOnly="0" labelOnly="1" grandRow="1" outline="0" fieldPosition="0"/>
    </format>
    <format dxfId="426">
      <pivotArea dataOnly="0" labelOnly="1" fieldPosition="0">
        <references count="1">
          <reference field="12" count="0"/>
        </references>
      </pivotArea>
    </format>
    <format dxfId="425">
      <pivotArea dataOnly="0" labelOnly="1" grandCol="1" outline="0" fieldPosition="0"/>
    </format>
    <format dxfId="424">
      <pivotArea outline="0" collapsedLevelsAreSubtotals="1" fieldPosition="0"/>
    </format>
    <format dxfId="423">
      <pivotArea collapsedLevelsAreSubtotals="1" fieldPosition="0">
        <references count="2">
          <reference field="0" count="1">
            <x v="8"/>
          </reference>
          <reference field="12" count="1" selected="0">
            <x v="1"/>
          </reference>
        </references>
      </pivotArea>
    </format>
    <format dxfId="422">
      <pivotArea collapsedLevelsAreSubtotals="1" fieldPosition="0">
        <references count="2">
          <reference field="0" count="1">
            <x v="32"/>
          </reference>
          <reference field="12" count="1" selected="0">
            <x v="0"/>
          </reference>
        </references>
      </pivotArea>
    </format>
    <format dxfId="421">
      <pivotArea collapsedLevelsAreSubtotals="1" fieldPosition="0">
        <references count="1">
          <reference field="0" count="0"/>
        </references>
      </pivotArea>
    </format>
    <format dxfId="420">
      <pivotArea collapsedLevelsAreSubtotals="1" fieldPosition="0">
        <references count="2">
          <reference field="0" count="1">
            <x v="0"/>
          </reference>
          <reference field="12" count="1" selected="0">
            <x v="2"/>
          </reference>
        </references>
      </pivotArea>
    </format>
    <format dxfId="419">
      <pivotArea collapsedLevelsAreSubtotals="1" fieldPosition="0">
        <references count="2">
          <reference field="0" count="1">
            <x v="4"/>
          </reference>
          <reference field="12" count="1" selected="0">
            <x v="0"/>
          </reference>
        </references>
      </pivotArea>
    </format>
    <format dxfId="418">
      <pivotArea collapsedLevelsAreSubtotals="1" fieldPosition="0">
        <references count="2">
          <reference field="0" count="1">
            <x v="5"/>
          </reference>
          <reference field="12" count="1" selected="0">
            <x v="0"/>
          </reference>
        </references>
      </pivotArea>
    </format>
    <format dxfId="417">
      <pivotArea collapsedLevelsAreSubtotals="1" fieldPosition="0">
        <references count="2">
          <reference field="0" count="1">
            <x v="6"/>
          </reference>
          <reference field="12" count="1" selected="0">
            <x v="1"/>
          </reference>
        </references>
      </pivotArea>
    </format>
    <format dxfId="416">
      <pivotArea collapsedLevelsAreSubtotals="1" fieldPosition="0">
        <references count="2">
          <reference field="0" count="1">
            <x v="7"/>
          </reference>
          <reference field="12" count="1" selected="0">
            <x v="1"/>
          </reference>
        </references>
      </pivotArea>
    </format>
    <format dxfId="415">
      <pivotArea collapsedLevelsAreSubtotals="1" fieldPosition="0">
        <references count="2">
          <reference field="0" count="1">
            <x v="7"/>
          </reference>
          <reference field="12" count="1" selected="0">
            <x v="0"/>
          </reference>
        </references>
      </pivotArea>
    </format>
    <format dxfId="414">
      <pivotArea collapsedLevelsAreSubtotals="1" fieldPosition="0">
        <references count="2">
          <reference field="0" count="1">
            <x v="9"/>
          </reference>
          <reference field="12" count="1" selected="0">
            <x v="2"/>
          </reference>
        </references>
      </pivotArea>
    </format>
    <format dxfId="413">
      <pivotArea collapsedLevelsAreSubtotals="1" fieldPosition="0">
        <references count="2">
          <reference field="0" count="1">
            <x v="9"/>
          </reference>
          <reference field="12" count="1" selected="0">
            <x v="0"/>
          </reference>
        </references>
      </pivotArea>
    </format>
    <format dxfId="412">
      <pivotArea collapsedLevelsAreSubtotals="1" fieldPosition="0">
        <references count="2">
          <reference field="0" count="1">
            <x v="10"/>
          </reference>
          <reference field="12" count="1" selected="0">
            <x v="0"/>
          </reference>
        </references>
      </pivotArea>
    </format>
    <format dxfId="411">
      <pivotArea collapsedLevelsAreSubtotals="1" fieldPosition="0">
        <references count="2">
          <reference field="0" count="1">
            <x v="11"/>
          </reference>
          <reference field="12" count="1" selected="0">
            <x v="0"/>
          </reference>
        </references>
      </pivotArea>
    </format>
    <format dxfId="410">
      <pivotArea collapsedLevelsAreSubtotals="1" fieldPosition="0">
        <references count="2">
          <reference field="0" count="1">
            <x v="11"/>
          </reference>
          <reference field="12" count="1" selected="0">
            <x v="2"/>
          </reference>
        </references>
      </pivotArea>
    </format>
    <format dxfId="409">
      <pivotArea collapsedLevelsAreSubtotals="1" fieldPosition="0">
        <references count="2">
          <reference field="0" count="1">
            <x v="12"/>
          </reference>
          <reference field="12" count="1" selected="0">
            <x v="1"/>
          </reference>
        </references>
      </pivotArea>
    </format>
    <format dxfId="408">
      <pivotArea collapsedLevelsAreSubtotals="1" fieldPosition="0">
        <references count="2">
          <reference field="0" count="1">
            <x v="12"/>
          </reference>
          <reference field="12" count="1" selected="0">
            <x v="0"/>
          </reference>
        </references>
      </pivotArea>
    </format>
    <format dxfId="407">
      <pivotArea collapsedLevelsAreSubtotals="1" fieldPosition="0">
        <references count="2">
          <reference field="0" count="1">
            <x v="16"/>
          </reference>
          <reference field="12" count="1" selected="0">
            <x v="1"/>
          </reference>
        </references>
      </pivotArea>
    </format>
    <format dxfId="406">
      <pivotArea collapsedLevelsAreSubtotals="1" fieldPosition="0">
        <references count="2">
          <reference field="0" count="1">
            <x v="17"/>
          </reference>
          <reference field="12" count="1" selected="0">
            <x v="1"/>
          </reference>
        </references>
      </pivotArea>
    </format>
    <format dxfId="405">
      <pivotArea collapsedLevelsAreSubtotals="1" fieldPosition="0">
        <references count="2">
          <reference field="0" count="1">
            <x v="17"/>
          </reference>
          <reference field="12" count="1" selected="0">
            <x v="0"/>
          </reference>
        </references>
      </pivotArea>
    </format>
    <format dxfId="404">
      <pivotArea collapsedLevelsAreSubtotals="1" fieldPosition="0">
        <references count="2">
          <reference field="0" count="1">
            <x v="13"/>
          </reference>
          <reference field="12" count="1" selected="0">
            <x v="0"/>
          </reference>
        </references>
      </pivotArea>
    </format>
    <format dxfId="403">
      <pivotArea collapsedLevelsAreSubtotals="1" fieldPosition="0">
        <references count="2">
          <reference field="0" count="1">
            <x v="18"/>
          </reference>
          <reference field="12" count="1" selected="0">
            <x v="2"/>
          </reference>
        </references>
      </pivotArea>
    </format>
    <format dxfId="402">
      <pivotArea collapsedLevelsAreSubtotals="1" fieldPosition="0">
        <references count="2">
          <reference field="0" count="1">
            <x v="21"/>
          </reference>
          <reference field="12" count="1" selected="0">
            <x v="0"/>
          </reference>
        </references>
      </pivotArea>
    </format>
    <format dxfId="401">
      <pivotArea collapsedLevelsAreSubtotals="1" fieldPosition="0">
        <references count="2">
          <reference field="0" count="1">
            <x v="22"/>
          </reference>
          <reference field="12" count="1" selected="0">
            <x v="2"/>
          </reference>
        </references>
      </pivotArea>
    </format>
    <format dxfId="400">
      <pivotArea collapsedLevelsAreSubtotals="1" fieldPosition="0">
        <references count="2">
          <reference field="0" count="1">
            <x v="23"/>
          </reference>
          <reference field="12" count="1" selected="0">
            <x v="2"/>
          </reference>
        </references>
      </pivotArea>
    </format>
    <format dxfId="399">
      <pivotArea collapsedLevelsAreSubtotals="1" fieldPosition="0">
        <references count="2">
          <reference field="0" count="1">
            <x v="24"/>
          </reference>
          <reference field="12" count="1" selected="0">
            <x v="0"/>
          </reference>
        </references>
      </pivotArea>
    </format>
    <format dxfId="398">
      <pivotArea collapsedLevelsAreSubtotals="1" fieldPosition="0">
        <references count="2">
          <reference field="0" count="1">
            <x v="25"/>
          </reference>
          <reference field="12" count="1" selected="0">
            <x v="0"/>
          </reference>
        </references>
      </pivotArea>
    </format>
    <format dxfId="397">
      <pivotArea collapsedLevelsAreSubtotals="1" fieldPosition="0">
        <references count="2">
          <reference field="0" count="1">
            <x v="26"/>
          </reference>
          <reference field="12" count="1" selected="0">
            <x v="0"/>
          </reference>
        </references>
      </pivotArea>
    </format>
    <format dxfId="396">
      <pivotArea collapsedLevelsAreSubtotals="1" fieldPosition="0">
        <references count="2">
          <reference field="0" count="1">
            <x v="28"/>
          </reference>
          <reference field="12" count="1" selected="0">
            <x v="1"/>
          </reference>
        </references>
      </pivotArea>
    </format>
    <format dxfId="395">
      <pivotArea collapsedLevelsAreSubtotals="1" fieldPosition="0">
        <references count="2">
          <reference field="0" count="1">
            <x v="29"/>
          </reference>
          <reference field="12" count="1" selected="0">
            <x v="1"/>
          </reference>
        </references>
      </pivotArea>
    </format>
    <format dxfId="394">
      <pivotArea collapsedLevelsAreSubtotals="1" fieldPosition="0">
        <references count="2">
          <reference field="0" count="1">
            <x v="29"/>
          </reference>
          <reference field="12" count="1" selected="0">
            <x v="0"/>
          </reference>
        </references>
      </pivotArea>
    </format>
    <format dxfId="393">
      <pivotArea collapsedLevelsAreSubtotals="1" fieldPosition="0">
        <references count="2">
          <reference field="0" count="1">
            <x v="5"/>
          </reference>
          <reference field="12" count="1" selected="0">
            <x v="1"/>
          </reference>
        </references>
      </pivotArea>
    </format>
    <format dxfId="392">
      <pivotArea collapsedLevelsAreSubtotals="1" fieldPosition="0">
        <references count="2">
          <reference field="0" count="1">
            <x v="10"/>
          </reference>
          <reference field="12" count="1" selected="0">
            <x v="2"/>
          </reference>
        </references>
      </pivotArea>
    </format>
    <format dxfId="391">
      <pivotArea collapsedLevelsAreSubtotals="1" fieldPosition="0">
        <references count="2">
          <reference field="0" count="1">
            <x v="8"/>
          </reference>
          <reference field="12" count="1" selected="0">
            <x v="0"/>
          </reference>
        </references>
      </pivotArea>
    </format>
    <format dxfId="390">
      <pivotArea collapsedLevelsAreSubtotals="1" fieldPosition="0">
        <references count="2">
          <reference field="0" count="1">
            <x v="16"/>
          </reference>
          <reference field="12" count="1" selected="0">
            <x v="2"/>
          </reference>
        </references>
      </pivotArea>
    </format>
    <format dxfId="389">
      <pivotArea collapsedLevelsAreSubtotals="1" fieldPosition="0">
        <references count="2">
          <reference field="0" count="1">
            <x v="18"/>
          </reference>
          <reference field="12" count="1" selected="0">
            <x v="1"/>
          </reference>
        </references>
      </pivotArea>
    </format>
    <format dxfId="388">
      <pivotArea collapsedLevelsAreSubtotals="1" fieldPosition="0">
        <references count="2">
          <reference field="0" count="1">
            <x v="21"/>
          </reference>
          <reference field="12" count="1" selected="0">
            <x v="1"/>
          </reference>
        </references>
      </pivotArea>
    </format>
    <format dxfId="387">
      <pivotArea collapsedLevelsAreSubtotals="1" fieldPosition="0">
        <references count="2">
          <reference field="0" count="1">
            <x v="22"/>
          </reference>
          <reference field="12" count="1" selected="0">
            <x v="1"/>
          </reference>
        </references>
      </pivotArea>
    </format>
    <format dxfId="386">
      <pivotArea collapsedLevelsAreSubtotals="1" fieldPosition="0">
        <references count="2">
          <reference field="0" count="1">
            <x v="25"/>
          </reference>
          <reference field="12" count="1" selected="0">
            <x v="1"/>
          </reference>
        </references>
      </pivotArea>
    </format>
    <format dxfId="385">
      <pivotArea collapsedLevelsAreSubtotals="1" fieldPosition="0">
        <references count="2">
          <reference field="0" count="1">
            <x v="13"/>
          </reference>
          <reference field="12" count="1" selected="0">
            <x v="2"/>
          </reference>
        </references>
      </pivotArea>
    </format>
    <format dxfId="384">
      <pivotArea collapsedLevelsAreSubtotals="1" fieldPosition="0">
        <references count="2">
          <reference field="0" count="1">
            <x v="21"/>
          </reference>
          <reference field="12" count="1" selected="0">
            <x v="2"/>
          </reference>
        </references>
      </pivotArea>
    </format>
  </formats>
  <pivotTableStyleInfo name="PivotStyleLight16" showRowHeaders="1" showColHeaders="1" showRowStripes="0" showColStripes="0" showLastColumn="1"/>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facebook.com/groups/657276174438565/user/100002019378244/?__cft__%5b0%5d=AZVPaFsLmOyBlluDtISNOcyu9_QsWia7UFhB-F1ocerC3s0ggvsgL8eqGkoLPmFdoSrMYvwie7AZI6YbS4pT_4KPQ8fzjV2DpcBFziiTpH2Tt1HEGqebpDGcIizOkhWdhORgGbPsfdwvtnWg8mM3z0tiQysFF_rOrPviF8XMjw_AdP0XesWkkt-a9ExSvMjgy7w&amp;__tn__=-UC%2CP-R"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ivotTable" Target="../pivotTables/pivotTable1.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499984740745262"/>
  </sheetPr>
  <dimension ref="A1:H22"/>
  <sheetViews>
    <sheetView workbookViewId="0">
      <selection activeCell="B17" sqref="B17"/>
    </sheetView>
  </sheetViews>
  <sheetFormatPr defaultRowHeight="14.4" x14ac:dyDescent="0.3"/>
  <cols>
    <col min="1" max="1" width="10.6640625" style="185" bestFit="1" customWidth="1"/>
    <col min="2" max="2" width="15.109375" style="185" bestFit="1" customWidth="1"/>
    <col min="3" max="3" width="17" style="185" bestFit="1" customWidth="1"/>
    <col min="4" max="4" width="17.33203125" style="185" bestFit="1" customWidth="1"/>
    <col min="5" max="5" width="22.88671875" style="185" bestFit="1" customWidth="1"/>
    <col min="6" max="6" width="8.88671875" style="185"/>
    <col min="7" max="7" width="22.88671875" style="185" bestFit="1" customWidth="1"/>
    <col min="8" max="16384" width="8.88671875" style="185"/>
  </cols>
  <sheetData>
    <row r="1" spans="1:8" x14ac:dyDescent="0.3">
      <c r="C1" s="185">
        <v>1</v>
      </c>
      <c r="D1" s="185">
        <v>2</v>
      </c>
      <c r="E1" s="185">
        <v>3</v>
      </c>
      <c r="G1" s="186" t="s">
        <v>159</v>
      </c>
      <c r="H1" s="186" t="s">
        <v>160</v>
      </c>
    </row>
    <row r="2" spans="1:8" x14ac:dyDescent="0.3">
      <c r="A2" s="186" t="s">
        <v>0</v>
      </c>
      <c r="B2" s="187" t="s">
        <v>4</v>
      </c>
      <c r="C2" s="186" t="s">
        <v>1</v>
      </c>
      <c r="D2" s="185" t="s">
        <v>2</v>
      </c>
      <c r="E2" s="185" t="s">
        <v>3</v>
      </c>
      <c r="G2" s="188" t="s">
        <v>79</v>
      </c>
      <c r="H2" s="188">
        <v>14</v>
      </c>
    </row>
    <row r="3" spans="1:8" x14ac:dyDescent="0.3">
      <c r="A3" s="186" t="s">
        <v>148</v>
      </c>
      <c r="B3" s="185" t="s">
        <v>8</v>
      </c>
      <c r="C3" s="186" t="s">
        <v>5</v>
      </c>
      <c r="D3" s="185" t="s">
        <v>6</v>
      </c>
      <c r="E3" s="185" t="s">
        <v>7</v>
      </c>
      <c r="G3" s="188" t="s">
        <v>50</v>
      </c>
      <c r="H3" s="188">
        <v>12</v>
      </c>
    </row>
    <row r="4" spans="1:8" x14ac:dyDescent="0.3">
      <c r="A4" s="186" t="s">
        <v>149</v>
      </c>
      <c r="B4" s="185" t="s">
        <v>9</v>
      </c>
      <c r="C4" s="186" t="s">
        <v>7</v>
      </c>
      <c r="D4" s="185" t="s">
        <v>10</v>
      </c>
      <c r="G4" s="188" t="s">
        <v>52</v>
      </c>
      <c r="H4" s="188">
        <v>8</v>
      </c>
    </row>
    <row r="5" spans="1:8" x14ac:dyDescent="0.3">
      <c r="A5" s="186" t="s">
        <v>150</v>
      </c>
      <c r="B5" s="185" t="s">
        <v>41</v>
      </c>
      <c r="C5" s="186" t="s">
        <v>42</v>
      </c>
      <c r="D5" s="185" t="s">
        <v>43</v>
      </c>
      <c r="E5" s="185" t="s">
        <v>81</v>
      </c>
      <c r="G5" s="185" t="s">
        <v>218</v>
      </c>
      <c r="H5" s="185">
        <v>6</v>
      </c>
    </row>
    <row r="6" spans="1:8" x14ac:dyDescent="0.3">
      <c r="A6" s="186" t="s">
        <v>151</v>
      </c>
      <c r="B6" s="185" t="s">
        <v>75</v>
      </c>
      <c r="C6" s="186" t="s">
        <v>52</v>
      </c>
      <c r="D6" s="185" t="s">
        <v>53</v>
      </c>
      <c r="E6" s="185" t="s">
        <v>81</v>
      </c>
      <c r="G6" s="188" t="s">
        <v>5</v>
      </c>
      <c r="H6" s="188">
        <v>4</v>
      </c>
    </row>
    <row r="7" spans="1:8" ht="14.25" customHeight="1" x14ac:dyDescent="0.3">
      <c r="A7" s="186" t="s">
        <v>152</v>
      </c>
      <c r="B7" s="185" t="s">
        <v>82</v>
      </c>
      <c r="C7" s="186" t="s">
        <v>79</v>
      </c>
      <c r="D7" s="185" t="s">
        <v>2</v>
      </c>
      <c r="E7" s="185" t="s">
        <v>50</v>
      </c>
      <c r="G7" s="188" t="s">
        <v>7</v>
      </c>
      <c r="H7" s="188">
        <v>4</v>
      </c>
    </row>
    <row r="8" spans="1:8" ht="14.25" customHeight="1" x14ac:dyDescent="0.3">
      <c r="A8" s="186" t="s">
        <v>153</v>
      </c>
      <c r="B8" s="185" t="s">
        <v>88</v>
      </c>
      <c r="C8" s="186" t="s">
        <v>79</v>
      </c>
      <c r="D8" s="185" t="s">
        <v>50</v>
      </c>
      <c r="E8" s="185" t="s">
        <v>64</v>
      </c>
      <c r="G8" s="188" t="s">
        <v>2</v>
      </c>
      <c r="H8" s="188">
        <v>4</v>
      </c>
    </row>
    <row r="9" spans="1:8" ht="14.25" customHeight="1" x14ac:dyDescent="0.3">
      <c r="A9" s="186" t="s">
        <v>154</v>
      </c>
      <c r="B9" s="185" t="s">
        <v>89</v>
      </c>
      <c r="C9" s="186" t="s">
        <v>50</v>
      </c>
      <c r="D9" s="185" t="s">
        <v>52</v>
      </c>
      <c r="E9" s="185" t="s">
        <v>79</v>
      </c>
      <c r="G9" s="188" t="s">
        <v>42</v>
      </c>
      <c r="H9" s="188">
        <v>3</v>
      </c>
    </row>
    <row r="10" spans="1:8" ht="14.25" customHeight="1" x14ac:dyDescent="0.3">
      <c r="A10" s="186" t="s">
        <v>155</v>
      </c>
      <c r="B10" s="185" t="s">
        <v>106</v>
      </c>
      <c r="C10" s="186" t="s">
        <v>52</v>
      </c>
      <c r="D10" s="185" t="s">
        <v>50</v>
      </c>
      <c r="E10" s="185" t="s">
        <v>5</v>
      </c>
      <c r="G10" s="188" t="s">
        <v>1</v>
      </c>
      <c r="H10" s="188">
        <v>3</v>
      </c>
    </row>
    <row r="11" spans="1:8" ht="14.25" customHeight="1" x14ac:dyDescent="0.3">
      <c r="A11" s="186" t="s">
        <v>156</v>
      </c>
      <c r="B11" s="185" t="s">
        <v>125</v>
      </c>
      <c r="C11" s="186" t="s">
        <v>130</v>
      </c>
      <c r="D11" s="185" t="s">
        <v>50</v>
      </c>
      <c r="E11" s="185" t="s">
        <v>79</v>
      </c>
      <c r="G11" s="185" t="s">
        <v>130</v>
      </c>
      <c r="H11" s="185">
        <v>3</v>
      </c>
    </row>
    <row r="12" spans="1:8" ht="14.25" customHeight="1" x14ac:dyDescent="0.3">
      <c r="A12" s="186" t="s">
        <v>157</v>
      </c>
      <c r="B12" s="185" t="s">
        <v>147</v>
      </c>
      <c r="C12" s="186" t="s">
        <v>79</v>
      </c>
      <c r="D12" s="185" t="s">
        <v>139</v>
      </c>
      <c r="E12" s="185" t="s">
        <v>146</v>
      </c>
      <c r="G12" s="185" t="s">
        <v>110</v>
      </c>
      <c r="H12" s="185">
        <v>3</v>
      </c>
    </row>
    <row r="13" spans="1:8" ht="14.25" customHeight="1" x14ac:dyDescent="0.3">
      <c r="A13" s="186" t="s">
        <v>158</v>
      </c>
      <c r="B13" s="185" t="s">
        <v>191</v>
      </c>
      <c r="C13" s="186" t="s">
        <v>79</v>
      </c>
      <c r="D13" s="185" t="s">
        <v>50</v>
      </c>
      <c r="E13" s="185" t="s">
        <v>110</v>
      </c>
      <c r="G13" s="188" t="s">
        <v>81</v>
      </c>
      <c r="H13" s="188">
        <v>2</v>
      </c>
    </row>
    <row r="14" spans="1:8" ht="14.25" customHeight="1" x14ac:dyDescent="0.3">
      <c r="A14" s="186" t="s">
        <v>195</v>
      </c>
      <c r="B14" s="185" t="s">
        <v>196</v>
      </c>
      <c r="C14" s="186" t="s">
        <v>218</v>
      </c>
      <c r="D14" s="185" t="s">
        <v>141</v>
      </c>
      <c r="E14" s="185" t="s">
        <v>50</v>
      </c>
      <c r="G14" s="188" t="s">
        <v>43</v>
      </c>
      <c r="H14" s="188">
        <v>2</v>
      </c>
    </row>
    <row r="15" spans="1:8" ht="14.25" customHeight="1" x14ac:dyDescent="0.3">
      <c r="A15" s="186" t="s">
        <v>223</v>
      </c>
      <c r="B15" s="185" t="s">
        <v>224</v>
      </c>
      <c r="C15" s="186" t="s">
        <v>218</v>
      </c>
      <c r="D15" s="185" t="s">
        <v>110</v>
      </c>
      <c r="E15" s="185" t="s">
        <v>50</v>
      </c>
      <c r="G15" s="188" t="s">
        <v>53</v>
      </c>
      <c r="H15" s="188">
        <v>2</v>
      </c>
    </row>
    <row r="16" spans="1:8" ht="14.25" customHeight="1" x14ac:dyDescent="0.3">
      <c r="A16" s="186" t="s">
        <v>309</v>
      </c>
      <c r="B16" s="185" t="s">
        <v>310</v>
      </c>
      <c r="G16" s="185" t="s">
        <v>6</v>
      </c>
      <c r="H16" s="188">
        <v>2</v>
      </c>
    </row>
    <row r="17" spans="7:8" ht="14.25" customHeight="1" x14ac:dyDescent="0.3">
      <c r="G17" s="185" t="s">
        <v>10</v>
      </c>
      <c r="H17" s="185">
        <v>2</v>
      </c>
    </row>
    <row r="18" spans="7:8" ht="14.25" customHeight="1" x14ac:dyDescent="0.3">
      <c r="G18" s="185" t="s">
        <v>139</v>
      </c>
      <c r="H18" s="185">
        <v>2</v>
      </c>
    </row>
    <row r="19" spans="7:8" ht="14.25" customHeight="1" x14ac:dyDescent="0.3">
      <c r="G19" s="185" t="s">
        <v>141</v>
      </c>
      <c r="H19" s="185">
        <v>2</v>
      </c>
    </row>
    <row r="20" spans="7:8" x14ac:dyDescent="0.3">
      <c r="G20" s="185" t="s">
        <v>64</v>
      </c>
      <c r="H20" s="185">
        <v>1</v>
      </c>
    </row>
    <row r="21" spans="7:8" x14ac:dyDescent="0.3">
      <c r="G21" s="185" t="s">
        <v>3</v>
      </c>
      <c r="H21" s="185">
        <v>1</v>
      </c>
    </row>
    <row r="22" spans="7:8" x14ac:dyDescent="0.3">
      <c r="G22" s="185" t="s">
        <v>146</v>
      </c>
      <c r="H22" s="185">
        <v>1</v>
      </c>
    </row>
  </sheetData>
  <sortState ref="G2:H22">
    <sortCondition descending="1" ref="H2:H22"/>
  </sortState>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T32"/>
  <sheetViews>
    <sheetView workbookViewId="0">
      <pane ySplit="1" topLeftCell="A2" activePane="bottomLeft" state="frozen"/>
      <selection pane="bottomLeft" activeCell="T18" sqref="T18"/>
    </sheetView>
  </sheetViews>
  <sheetFormatPr defaultColWidth="9.109375" defaultRowHeight="12" x14ac:dyDescent="0.25"/>
  <cols>
    <col min="1" max="1" width="8.109375" style="107" bestFit="1" customWidth="1"/>
    <col min="2" max="2" width="22.5546875" style="41" bestFit="1" customWidth="1"/>
    <col min="3" max="10" width="6" style="41" customWidth="1"/>
    <col min="11" max="13" width="5.109375" style="41" customWidth="1"/>
    <col min="14" max="14" width="5.44140625" style="41" bestFit="1" customWidth="1"/>
    <col min="15" max="17" width="5.109375" style="41" customWidth="1"/>
    <col min="18" max="18" width="6.6640625" style="41" customWidth="1"/>
    <col min="19" max="19" width="10.44140625" style="41" bestFit="1" customWidth="1"/>
    <col min="20" max="20" width="13.33203125" style="41" bestFit="1" customWidth="1"/>
    <col min="21" max="16384" width="9.109375" style="41"/>
  </cols>
  <sheetData>
    <row r="1" spans="1:20" ht="13.8" x14ac:dyDescent="0.3">
      <c r="A1" s="105" t="s">
        <v>68</v>
      </c>
      <c r="B1" s="40" t="s">
        <v>32</v>
      </c>
      <c r="C1" s="43">
        <v>1</v>
      </c>
      <c r="D1" s="43">
        <v>2</v>
      </c>
      <c r="E1" s="43">
        <v>3</v>
      </c>
      <c r="F1" s="43">
        <v>4</v>
      </c>
      <c r="G1" s="43">
        <v>5</v>
      </c>
      <c r="H1" s="43">
        <v>6</v>
      </c>
      <c r="I1" s="43">
        <v>7</v>
      </c>
      <c r="J1" s="43">
        <v>8</v>
      </c>
      <c r="K1" s="43">
        <v>9</v>
      </c>
      <c r="L1" s="43">
        <v>10</v>
      </c>
      <c r="M1" s="43">
        <v>11</v>
      </c>
      <c r="N1" s="43">
        <v>12</v>
      </c>
      <c r="O1" s="43">
        <v>13</v>
      </c>
      <c r="P1" s="43">
        <v>14</v>
      </c>
      <c r="Q1" s="43">
        <v>15</v>
      </c>
      <c r="R1" s="91" t="s">
        <v>84</v>
      </c>
      <c r="S1" s="40" t="s">
        <v>70</v>
      </c>
      <c r="T1" s="40" t="s">
        <v>69</v>
      </c>
    </row>
    <row r="2" spans="1:20" ht="13.8" x14ac:dyDescent="0.3">
      <c r="A2" s="103">
        <v>1</v>
      </c>
      <c r="B2" s="36" t="s">
        <v>218</v>
      </c>
      <c r="C2" s="37">
        <f>IF(SUMIFS(Data!$U:$U,Data!$A:$A,$B2,Data!$C:$C,C$1)=0,"",SUMIFS(Data!$U:$U,Data!$A:$A,$B2,Data!$C:$C,C$1))</f>
        <v>6.2554999999999996</v>
      </c>
      <c r="D2" s="37">
        <f>IF(SUMIFS(Data!$U:$U,Data!$A:$A,$B2,Data!$C:$C,D$1)=0,"",SUMIFS(Data!$U:$U,Data!$A:$A,$B2,Data!$C:$C,D$1))</f>
        <v>5.692166666666667</v>
      </c>
      <c r="E2" s="37">
        <f>IF(SUMIFS(Data!$U:$U,Data!$A:$A,$B2,Data!$C:$C,E$1)=0,"",SUMIFS(Data!$U:$U,Data!$A:$A,$B2,Data!$C:$C,E$1))</f>
        <v>4.0529999999999999</v>
      </c>
      <c r="F2" s="37">
        <f>IF(SUMIFS(Data!$U:$U,Data!$A:$A,$B2,Data!$C:$C,F$1)=0,"",SUMIFS(Data!$U:$U,Data!$A:$A,$B2,Data!$C:$C,F$1))</f>
        <v>5.3010000000000002</v>
      </c>
      <c r="G2" s="37">
        <f>IF(SUMIFS(Data!$U:$U,Data!$A:$A,$B2,Data!$C:$C,G$1)=0,"",SUMIFS(Data!$U:$U,Data!$A:$A,$B2,Data!$C:$C,G$1))</f>
        <v>7.1562380952380957</v>
      </c>
      <c r="H2" s="37">
        <f>IF(SUMIFS(Data!$U:$U,Data!$A:$A,$B2,Data!$C:$C,H$1)=0,"",SUMIFS(Data!$U:$U,Data!$A:$A,$B2,Data!$C:$C,H$1))</f>
        <v>4.7150000000000007</v>
      </c>
      <c r="I2" s="37">
        <f>IF(SUMIFS(Data!$U:$U,Data!$A:$A,$B2,Data!$C:$C,I$1)=0,"",SUMIFS(Data!$U:$U,Data!$A:$A,$B2,Data!$C:$C,I$1))</f>
        <v>7.9634999999999998</v>
      </c>
      <c r="J2" s="37">
        <f>IF(SUMIFS(Data!$U:$U,Data!$A:$A,$B2,Data!$C:$C,J$1)=0,"",SUMIFS(Data!$U:$U,Data!$A:$A,$B2,Data!$C:$C,J$1))</f>
        <v>5.1996666666666664</v>
      </c>
      <c r="K2" s="37">
        <f>IF(SUMIFS(Data!$U:$U,Data!$A:$A,$B2,Data!$C:$C,K$1)=0,"",SUMIFS(Data!$U:$U,Data!$A:$A,$B2,Data!$C:$C,K$1))</f>
        <v>4.8540000000000001</v>
      </c>
      <c r="L2" s="37">
        <f>IF(SUMIFS(Data!$U:$U,Data!$A:$A,$B2,Data!$C:$C,L$1)=0,"",SUMIFS(Data!$U:$U,Data!$A:$A,$B2,Data!$C:$C,L$1))</f>
        <v>4.8616666666666664</v>
      </c>
      <c r="M2" s="37">
        <f>IF(SUMIFS(Data!$U:$U,Data!$A:$A,$B2,Data!$C:$C,M$1)=0,"",SUMIFS(Data!$U:$U,Data!$A:$A,$B2,Data!$C:$C,M$1))</f>
        <v>8.2333333333333325</v>
      </c>
      <c r="N2" s="37">
        <f>IF(SUMIFS(Data!$U:$U,Data!$A:$A,$B2,Data!$C:$C,N$1)=0,"",SUMIFS(Data!$U:$U,Data!$A:$A,$B2,Data!$C:$C,N$1))</f>
        <v>4.8808571428571428</v>
      </c>
      <c r="O2" s="37">
        <f>IF(SUMIFS(Data!$U:$U,Data!$A:$A,$B2,Data!$C:$C,O$1)=0,"",SUMIFS(Data!$U:$U,Data!$A:$A,$B2,Data!$C:$C,O$1))</f>
        <v>4.8773333333333335</v>
      </c>
      <c r="P2" s="37">
        <f>IF(SUMIFS(Data!$U:$U,Data!$A:$A,$B2,Data!$C:$C,P$1)=0,"",SUMIFS(Data!$U:$U,Data!$A:$A,$B2,Data!$C:$C,P$1))</f>
        <v>8.8996666666666648</v>
      </c>
      <c r="Q2" s="37">
        <f>IF(SUMIFS(Data!$U:$U,Data!$A:$A,$B2,Data!$C:$C,Q$1)=0,"",SUMIFS(Data!$U:$U,Data!$A:$A,$B2,Data!$C:$C,Q$1))</f>
        <v>6.7336666666666662</v>
      </c>
      <c r="R2" s="37">
        <f>IF(SUMIFS(Data!Z:Z,Data!A:A,B2)&lt;5,0,IF(SUMIFS(Data!Z:Z,Data!A:A,B2)&gt;14,10,SUMIFS(Data!Z:Z,Data!A:A,B2)-4))</f>
        <v>10</v>
      </c>
      <c r="S2" s="37">
        <f>SUM(C2:R2)</f>
        <v>99.676595238095231</v>
      </c>
      <c r="T2" s="37">
        <f>SUMIFS(Data!D:D,Data!A:A,B2)</f>
        <v>357.28999999999991</v>
      </c>
    </row>
    <row r="3" spans="1:20" ht="13.8" x14ac:dyDescent="0.3">
      <c r="A3" s="103">
        <v>2</v>
      </c>
      <c r="B3" s="36" t="s">
        <v>110</v>
      </c>
      <c r="C3" s="37">
        <f>IF(SUMIFS(Data!$U:$U,Data!$A:$A,$B3,Data!$C:$C,C$1)=0,"",SUMIFS(Data!$U:$U,Data!$A:$A,$B3,Data!$C:$C,C$1))</f>
        <v>3.100595238095238</v>
      </c>
      <c r="D3" s="37">
        <f>IF(SUMIFS(Data!$U:$U,Data!$A:$A,$B3,Data!$C:$C,D$1)=0,"",SUMIFS(Data!$U:$U,Data!$A:$A,$B3,Data!$C:$C,D$1))</f>
        <v>5.0739999999999998</v>
      </c>
      <c r="E3" s="37">
        <f>IF(SUMIFS(Data!$U:$U,Data!$A:$A,$B3,Data!$C:$C,E$1)=0,"",SUMIFS(Data!$U:$U,Data!$A:$A,$B3,Data!$C:$C,E$1))</f>
        <v>5.0613333333333328</v>
      </c>
      <c r="F3" s="37" t="str">
        <f>IF(SUMIFS(Data!$U:$U,Data!$A:$A,$B3,Data!$C:$C,F$1)=0,"",SUMIFS(Data!$U:$U,Data!$A:$A,$B3,Data!$C:$C,F$1))</f>
        <v/>
      </c>
      <c r="G3" s="37">
        <f>IF(SUMIFS(Data!$U:$U,Data!$A:$A,$B3,Data!$C:$C,G$1)=0,"",SUMIFS(Data!$U:$U,Data!$A:$A,$B3,Data!$C:$C,G$1))</f>
        <v>5.3736666666666668</v>
      </c>
      <c r="H3" s="37">
        <f>IF(SUMIFS(Data!$U:$U,Data!$A:$A,$B3,Data!$C:$C,H$1)=0,"",SUMIFS(Data!$U:$U,Data!$A:$A,$B3,Data!$C:$C,H$1))</f>
        <v>5.1513333333333327</v>
      </c>
      <c r="I3" s="37">
        <f>IF(SUMIFS(Data!$U:$U,Data!$A:$A,$B3,Data!$C:$C,I$1)=0,"",SUMIFS(Data!$U:$U,Data!$A:$A,$B3,Data!$C:$C,I$1))</f>
        <v>3.3630952380952381</v>
      </c>
      <c r="J3" s="37">
        <f>IF(SUMIFS(Data!$U:$U,Data!$A:$A,$B3,Data!$C:$C,J$1)=0,"",SUMIFS(Data!$U:$U,Data!$A:$A,$B3,Data!$C:$C,J$1))</f>
        <v>5.1931666666666665</v>
      </c>
      <c r="K3" s="37">
        <f>IF(SUMIFS(Data!$U:$U,Data!$A:$A,$B3,Data!$C:$C,K$1)=0,"",SUMIFS(Data!$U:$U,Data!$A:$A,$B3,Data!$C:$C,K$1))</f>
        <v>6.4546666666666672</v>
      </c>
      <c r="L3" s="37">
        <f>IF(SUMIFS(Data!$U:$U,Data!$A:$A,$B3,Data!$C:$C,L$1)=0,"",SUMIFS(Data!$U:$U,Data!$A:$A,$B3,Data!$C:$C,L$1))</f>
        <v>3.3690476190476191</v>
      </c>
      <c r="M3" s="37">
        <f>IF(SUMIFS(Data!$U:$U,Data!$A:$A,$B3,Data!$C:$C,M$1)=0,"",SUMIFS(Data!$U:$U,Data!$A:$A,$B3,Data!$C:$C,M$1))</f>
        <v>4.6663333333333332</v>
      </c>
      <c r="N3" s="37">
        <f>IF(SUMIFS(Data!$U:$U,Data!$A:$A,$B3,Data!$C:$C,N$1)=0,"",SUMIFS(Data!$U:$U,Data!$A:$A,$B3,Data!$C:$C,N$1))</f>
        <v>3.3690476190476191</v>
      </c>
      <c r="O3" s="37">
        <f>IF(SUMIFS(Data!$U:$U,Data!$A:$A,$B3,Data!$C:$C,O$1)=0,"",SUMIFS(Data!$U:$U,Data!$A:$A,$B3,Data!$C:$C,O$1))</f>
        <v>5.7523333333333326</v>
      </c>
      <c r="P3" s="37">
        <f>IF(SUMIFS(Data!$U:$U,Data!$A:$A,$B3,Data!$C:$C,P$1)=0,"",SUMIFS(Data!$U:$U,Data!$A:$A,$B3,Data!$C:$C,P$1))</f>
        <v>8.2051666666666669</v>
      </c>
      <c r="Q3" s="37">
        <f>IF(SUMIFS(Data!$U:$U,Data!$A:$A,$B3,Data!$C:$C,Q$1)=0,"",SUMIFS(Data!$U:$U,Data!$A:$A,$B3,Data!$C:$C,Q$1))</f>
        <v>2.9821428571428572</v>
      </c>
      <c r="R3" s="37">
        <f>IF(SUMIFS(Data!Z:Z,Data!A:A,B3)&lt;5,0,IF(SUMIFS(Data!Z:Z,Data!A:A,B3)&gt;14,10,SUMIFS(Data!Z:Z,Data!A:A,B3)-4))</f>
        <v>6</v>
      </c>
      <c r="S3" s="37">
        <f t="shared" ref="S3:S24" si="0">SUM(C3:R3)</f>
        <v>73.115928571428583</v>
      </c>
      <c r="T3" s="37">
        <f>SUMIFS(Data!D:D,Data!A:A,B3)</f>
        <v>468.2700000000001</v>
      </c>
    </row>
    <row r="4" spans="1:20" ht="13.8" x14ac:dyDescent="0.3">
      <c r="A4" s="103">
        <v>3</v>
      </c>
      <c r="B4" s="36" t="s">
        <v>50</v>
      </c>
      <c r="C4" s="37">
        <f>IF(SUMIFS(Data!$U:$U,Data!$A:$A,$B4,Data!$C:$C,C$1)=0,"",SUMIFS(Data!$U:$U,Data!$A:$A,$B4,Data!$C:$C,C$1))</f>
        <v>6.0256666666666661</v>
      </c>
      <c r="D4" s="37">
        <f>IF(SUMIFS(Data!$U:$U,Data!$A:$A,$B4,Data!$C:$C,D$1)=0,"",SUMIFS(Data!$U:$U,Data!$A:$A,$B4,Data!$C:$C,D$1))</f>
        <v>3.6545714285714288</v>
      </c>
      <c r="E4" s="37">
        <f>IF(SUMIFS(Data!$U:$U,Data!$A:$A,$B4,Data!$C:$C,E$1)=0,"",SUMIFS(Data!$U:$U,Data!$A:$A,$B4,Data!$C:$C,E$1))</f>
        <v>4.7216666666666667</v>
      </c>
      <c r="F4" s="37">
        <f>IF(SUMIFS(Data!$U:$U,Data!$A:$A,$B4,Data!$C:$C,F$1)=0,"",SUMIFS(Data!$U:$U,Data!$A:$A,$B4,Data!$C:$C,F$1))</f>
        <v>5.9558333333333335</v>
      </c>
      <c r="G4" s="37">
        <f>IF(SUMIFS(Data!$U:$U,Data!$A:$A,$B4,Data!$C:$C,G$1)=0,"",SUMIFS(Data!$U:$U,Data!$A:$A,$B4,Data!$C:$C,G$1))</f>
        <v>5.2173333333333334</v>
      </c>
      <c r="H4" s="37">
        <f>IF(SUMIFS(Data!$U:$U,Data!$A:$A,$B4,Data!$C:$C,H$1)=0,"",SUMIFS(Data!$U:$U,Data!$A:$A,$B4,Data!$C:$C,H$1))</f>
        <v>3.9834999999999998</v>
      </c>
      <c r="I4" s="37">
        <f>IF(SUMIFS(Data!$U:$U,Data!$A:$A,$B4,Data!$C:$C,I$1)=0,"",SUMIFS(Data!$U:$U,Data!$A:$A,$B4,Data!$C:$C,I$1))</f>
        <v>5.8979999999999997</v>
      </c>
      <c r="J4" s="37">
        <f>IF(SUMIFS(Data!$U:$U,Data!$A:$A,$B4,Data!$C:$C,J$1)=0,"",SUMIFS(Data!$U:$U,Data!$A:$A,$B4,Data!$C:$C,J$1))</f>
        <v>3.9982142857142855</v>
      </c>
      <c r="K4" s="37">
        <f>IF(SUMIFS(Data!$U:$U,Data!$A:$A,$B4,Data!$C:$C,K$1)=0,"",SUMIFS(Data!$U:$U,Data!$A:$A,$B4,Data!$C:$C,K$1))</f>
        <v>3.8048809523809521</v>
      </c>
      <c r="L4" s="37">
        <f>IF(SUMIFS(Data!$U:$U,Data!$A:$A,$B4,Data!$C:$C,L$1)=0,"",SUMIFS(Data!$U:$U,Data!$A:$A,$B4,Data!$C:$C,L$1))</f>
        <v>6.4074999999999998</v>
      </c>
      <c r="M4" s="37">
        <f>IF(SUMIFS(Data!$U:$U,Data!$A:$A,$B4,Data!$C:$C,M$1)=0,"",SUMIFS(Data!$U:$U,Data!$A:$A,$B4,Data!$C:$C,M$1))</f>
        <v>5.3426666666666662</v>
      </c>
      <c r="N4" s="37">
        <f>IF(SUMIFS(Data!$U:$U,Data!$A:$A,$B4,Data!$C:$C,N$1)=0,"",SUMIFS(Data!$U:$U,Data!$A:$A,$B4,Data!$C:$C,N$1))</f>
        <v>3.6316428571428574</v>
      </c>
      <c r="O4" s="37">
        <f>IF(SUMIFS(Data!$U:$U,Data!$A:$A,$B4,Data!$C:$C,O$1)=0,"",SUMIFS(Data!$U:$U,Data!$A:$A,$B4,Data!$C:$C,O$1))</f>
        <v>3.8851190476190474</v>
      </c>
      <c r="P4" s="37">
        <f>IF(SUMIFS(Data!$U:$U,Data!$A:$A,$B4,Data!$C:$C,P$1)=0,"",SUMIFS(Data!$U:$U,Data!$A:$A,$B4,Data!$C:$C,P$1))</f>
        <v>3.8934523809523811</v>
      </c>
      <c r="Q4" s="37">
        <f>IF(SUMIFS(Data!$U:$U,Data!$A:$A,$B4,Data!$C:$C,Q$1)=0,"",SUMIFS(Data!$U:$U,Data!$A:$A,$B4,Data!$C:$C,Q$1))</f>
        <v>3.4267857142857143</v>
      </c>
      <c r="R4" s="37">
        <f>IF(SUMIFS(Data!Z:Z,Data!A:A,B4)&lt;5,0,IF(SUMIFS(Data!Z:Z,Data!A:A,B4)&gt;14,10,SUMIFS(Data!Z:Z,Data!A:A,B4)-4))</f>
        <v>3</v>
      </c>
      <c r="S4" s="37">
        <f t="shared" si="0"/>
        <v>72.846833333333336</v>
      </c>
      <c r="T4" s="37">
        <f>SUMIFS(Data!D:D,Data!A:A,B4)</f>
        <v>408.70000000000005</v>
      </c>
    </row>
    <row r="5" spans="1:20" ht="13.8" x14ac:dyDescent="0.3">
      <c r="A5" s="103">
        <v>4</v>
      </c>
      <c r="B5" s="36" t="s">
        <v>117</v>
      </c>
      <c r="C5" s="37">
        <f>IF(SUMIFS(Data!$U:$U,Data!$A:$A,$B5,Data!$C:$C,C$1)=0,"",SUMIFS(Data!$U:$U,Data!$A:$A,$B5,Data!$C:$C,C$1))</f>
        <v>4.1989999999999998</v>
      </c>
      <c r="D5" s="37">
        <f>IF(SUMIFS(Data!$U:$U,Data!$A:$A,$B5,Data!$C:$C,D$1)=0,"",SUMIFS(Data!$U:$U,Data!$A:$A,$B5,Data!$C:$C,D$1))</f>
        <v>4.4219999999999997</v>
      </c>
      <c r="E5" s="37">
        <f>IF(SUMIFS(Data!$U:$U,Data!$A:$A,$B5,Data!$C:$C,E$1)=0,"",SUMIFS(Data!$U:$U,Data!$A:$A,$B5,Data!$C:$C,E$1))</f>
        <v>3.202142857142857</v>
      </c>
      <c r="F5" s="37">
        <f>IF(SUMIFS(Data!$U:$U,Data!$A:$A,$B5,Data!$C:$C,F$1)=0,"",SUMIFS(Data!$U:$U,Data!$A:$A,$B5,Data!$C:$C,F$1))</f>
        <v>3.5059523809523809</v>
      </c>
      <c r="G5" s="37">
        <f>IF(SUMIFS(Data!$U:$U,Data!$A:$A,$B5,Data!$C:$C,G$1)=0,"",SUMIFS(Data!$U:$U,Data!$A:$A,$B5,Data!$C:$C,G$1))</f>
        <v>3.9136666666666668</v>
      </c>
      <c r="H5" s="37">
        <f>IF(SUMIFS(Data!$U:$U,Data!$A:$A,$B5,Data!$C:$C,H$1)=0,"",SUMIFS(Data!$U:$U,Data!$A:$A,$B5,Data!$C:$C,H$1))</f>
        <v>4.5393333333333334</v>
      </c>
      <c r="I5" s="37">
        <f>IF(SUMIFS(Data!$U:$U,Data!$A:$A,$B5,Data!$C:$C,I$1)=0,"",SUMIFS(Data!$U:$U,Data!$A:$A,$B5,Data!$C:$C,I$1))</f>
        <v>3.2662142857142857</v>
      </c>
      <c r="J5" s="37">
        <f>IF(SUMIFS(Data!$U:$U,Data!$A:$A,$B5,Data!$C:$C,J$1)=0,"",SUMIFS(Data!$U:$U,Data!$A:$A,$B5,Data!$C:$C,J$1))</f>
        <v>3.75</v>
      </c>
      <c r="K5" s="37">
        <f>IF(SUMIFS(Data!$U:$U,Data!$A:$A,$B5,Data!$C:$C,K$1)=0,"",SUMIFS(Data!$U:$U,Data!$A:$A,$B5,Data!$C:$C,K$1))</f>
        <v>3.1072619047619048</v>
      </c>
      <c r="L5" s="37">
        <f>IF(SUMIFS(Data!$U:$U,Data!$A:$A,$B5,Data!$C:$C,L$1)=0,"",SUMIFS(Data!$U:$U,Data!$A:$A,$B5,Data!$C:$C,L$1))</f>
        <v>3.625</v>
      </c>
      <c r="M5" s="37">
        <f>IF(SUMIFS(Data!$U:$U,Data!$A:$A,$B5,Data!$C:$C,M$1)=0,"",SUMIFS(Data!$U:$U,Data!$A:$A,$B5,Data!$C:$C,M$1))</f>
        <v>4.375</v>
      </c>
      <c r="N5" s="37">
        <f>IF(SUMIFS(Data!$U:$U,Data!$A:$A,$B5,Data!$C:$C,N$1)=0,"",SUMIFS(Data!$U:$U,Data!$A:$A,$B5,Data!$C:$C,N$1))</f>
        <v>1.9368809523809523</v>
      </c>
      <c r="O5" s="37">
        <f>IF(SUMIFS(Data!$U:$U,Data!$A:$A,$B5,Data!$C:$C,O$1)=0,"",SUMIFS(Data!$U:$U,Data!$A:$A,$B5,Data!$C:$C,O$1))</f>
        <v>5.13</v>
      </c>
      <c r="P5" s="37">
        <f>IF(SUMIFS(Data!$U:$U,Data!$A:$A,$B5,Data!$C:$C,P$1)=0,"",SUMIFS(Data!$U:$U,Data!$A:$A,$B5,Data!$C:$C,P$1))</f>
        <v>7.8544999999999998</v>
      </c>
      <c r="Q5" s="37">
        <f>IF(SUMIFS(Data!$U:$U,Data!$A:$A,$B5,Data!$C:$C,Q$1)=0,"",SUMIFS(Data!$U:$U,Data!$A:$A,$B5,Data!$C:$C,Q$1))</f>
        <v>2.9285714285714284</v>
      </c>
      <c r="R5" s="37">
        <f>IF(SUMIFS(Data!Z:Z,Data!A:A,B5)&lt;5,0,IF(SUMIFS(Data!Z:Z,Data!A:A,B5)&gt;14,10,SUMIFS(Data!Z:Z,Data!A:A,B5)-4))</f>
        <v>9</v>
      </c>
      <c r="S5" s="37">
        <f t="shared" si="0"/>
        <v>68.755523809523822</v>
      </c>
      <c r="T5" s="37">
        <f>SUMIFS(Data!D:D,Data!A:A,B5)</f>
        <v>428.02000000000004</v>
      </c>
    </row>
    <row r="6" spans="1:20" ht="13.8" x14ac:dyDescent="0.3">
      <c r="A6" s="103">
        <v>5</v>
      </c>
      <c r="B6" s="36" t="s">
        <v>254</v>
      </c>
      <c r="C6" s="37">
        <f>IF(SUMIFS(Data!$U:$U,Data!$A:$A,$B6,Data!$C:$C,C$1)=0,"",SUMIFS(Data!$U:$U,Data!$A:$A,$B6,Data!$C:$C,C$1))</f>
        <v>3.9436666666666667</v>
      </c>
      <c r="D6" s="37">
        <f>IF(SUMIFS(Data!$U:$U,Data!$A:$A,$B6,Data!$C:$C,D$1)=0,"",SUMIFS(Data!$U:$U,Data!$A:$A,$B6,Data!$C:$C,D$1))</f>
        <v>3.4312380952380952</v>
      </c>
      <c r="E6" s="37">
        <f>IF(SUMIFS(Data!$U:$U,Data!$A:$A,$B6,Data!$C:$C,E$1)=0,"",SUMIFS(Data!$U:$U,Data!$A:$A,$B6,Data!$C:$C,E$1))</f>
        <v>2.9833333333333334</v>
      </c>
      <c r="F6" s="37">
        <f>IF(SUMIFS(Data!$U:$U,Data!$A:$A,$B6,Data!$C:$C,F$1)=0,"",SUMIFS(Data!$U:$U,Data!$A:$A,$B6,Data!$C:$C,F$1))</f>
        <v>4.3886666666666665</v>
      </c>
      <c r="G6" s="37">
        <f>IF(SUMIFS(Data!$U:$U,Data!$A:$A,$B6,Data!$C:$C,G$1)=0,"",SUMIFS(Data!$U:$U,Data!$A:$A,$B6,Data!$C:$C,G$1))</f>
        <v>4.4156428571428572</v>
      </c>
      <c r="H6" s="37">
        <f>IF(SUMIFS(Data!$U:$U,Data!$A:$A,$B6,Data!$C:$C,H$1)=0,"",SUMIFS(Data!$U:$U,Data!$A:$A,$B6,Data!$C:$C,H$1))</f>
        <v>2.9238571428571429</v>
      </c>
      <c r="I6" s="37">
        <f>IF(SUMIFS(Data!$U:$U,Data!$A:$A,$B6,Data!$C:$C,I$1)=0,"",SUMIFS(Data!$U:$U,Data!$A:$A,$B6,Data!$C:$C,I$1))</f>
        <v>4.0371666666666668</v>
      </c>
      <c r="J6" s="37">
        <f>IF(SUMIFS(Data!$U:$U,Data!$A:$A,$B6,Data!$C:$C,J$1)=0,"",SUMIFS(Data!$U:$U,Data!$A:$A,$B6,Data!$C:$C,J$1))</f>
        <v>3.4133809523809524</v>
      </c>
      <c r="K6" s="37">
        <f>IF(SUMIFS(Data!$U:$U,Data!$A:$A,$B6,Data!$C:$C,K$1)=0,"",SUMIFS(Data!$U:$U,Data!$A:$A,$B6,Data!$C:$C,K$1))</f>
        <v>3.9220000000000002</v>
      </c>
      <c r="L6" s="37">
        <f>IF(SUMIFS(Data!$U:$U,Data!$A:$A,$B6,Data!$C:$C,L$1)=0,"",SUMIFS(Data!$U:$U,Data!$A:$A,$B6,Data!$C:$C,L$1))</f>
        <v>3.4529999999999998</v>
      </c>
      <c r="M6" s="37">
        <f>IF(SUMIFS(Data!$U:$U,Data!$A:$A,$B6,Data!$C:$C,M$1)=0,"",SUMIFS(Data!$U:$U,Data!$A:$A,$B6,Data!$C:$C,M$1))</f>
        <v>4.1966666666666663</v>
      </c>
      <c r="N6" s="37">
        <f>IF(SUMIFS(Data!$U:$U,Data!$A:$A,$B6,Data!$C:$C,N$1)=0,"",SUMIFS(Data!$U:$U,Data!$A:$A,$B6,Data!$C:$C,N$1))</f>
        <v>3.4249999999999998</v>
      </c>
      <c r="O6" s="37">
        <f>IF(SUMIFS(Data!$U:$U,Data!$A:$A,$B6,Data!$C:$C,O$1)=0,"",SUMIFS(Data!$U:$U,Data!$A:$A,$B6,Data!$C:$C,O$1))</f>
        <v>4.3546666666666667</v>
      </c>
      <c r="P6" s="37">
        <f>IF(SUMIFS(Data!$U:$U,Data!$A:$A,$B6,Data!$C:$C,P$1)=0,"",SUMIFS(Data!$U:$U,Data!$A:$A,$B6,Data!$C:$C,P$1))</f>
        <v>3.2220238095238094</v>
      </c>
      <c r="Q6" s="37">
        <f>IF(SUMIFS(Data!$U:$U,Data!$A:$A,$B6,Data!$C:$C,Q$1)=0,"",SUMIFS(Data!$U:$U,Data!$A:$A,$B6,Data!$C:$C,Q$1))</f>
        <v>4.9213333333333331</v>
      </c>
      <c r="R6" s="37">
        <f>IF(SUMIFS(Data!Z:Z,Data!A:A,B6)&lt;5,0,IF(SUMIFS(Data!Z:Z,Data!A:A,B6)&gt;14,10,SUMIFS(Data!Z:Z,Data!A:A,B6)-4))</f>
        <v>9</v>
      </c>
      <c r="S6" s="37">
        <f t="shared" si="0"/>
        <v>66.031642857142856</v>
      </c>
      <c r="T6" s="37">
        <f>SUMIFS(Data!D:D,Data!A:A,B6)</f>
        <v>307.17999999999995</v>
      </c>
    </row>
    <row r="7" spans="1:20" ht="13.8" x14ac:dyDescent="0.3">
      <c r="A7" s="103">
        <v>6</v>
      </c>
      <c r="B7" s="36" t="s">
        <v>64</v>
      </c>
      <c r="C7" s="37">
        <f>IF(SUMIFS(Data!$U:$U,Data!$A:$A,$B7,Data!$C:$C,C$1)=0,"",SUMIFS(Data!$U:$U,Data!$A:$A,$B7,Data!$C:$C,C$1))</f>
        <v>5.9260000000000002</v>
      </c>
      <c r="D7" s="37">
        <f>IF(SUMIFS(Data!$U:$U,Data!$A:$A,$B7,Data!$C:$C,D$1)=0,"",SUMIFS(Data!$U:$U,Data!$A:$A,$B7,Data!$C:$C,D$1))</f>
        <v>2.7755952380952382</v>
      </c>
      <c r="E7" s="37">
        <f>IF(SUMIFS(Data!$U:$U,Data!$A:$A,$B7,Data!$C:$C,E$1)=0,"",SUMIFS(Data!$U:$U,Data!$A:$A,$B7,Data!$C:$C,E$1))</f>
        <v>4.0659999999999998</v>
      </c>
      <c r="F7" s="37">
        <f>IF(SUMIFS(Data!$U:$U,Data!$A:$A,$B7,Data!$C:$C,F$1)=0,"",SUMIFS(Data!$U:$U,Data!$A:$A,$B7,Data!$C:$C,F$1))</f>
        <v>6.1396666666666668</v>
      </c>
      <c r="G7" s="37">
        <f>IF(SUMIFS(Data!$U:$U,Data!$A:$A,$B7,Data!$C:$C,G$1)=0,"",SUMIFS(Data!$U:$U,Data!$A:$A,$B7,Data!$C:$C,G$1))</f>
        <v>4.3259999999999996</v>
      </c>
      <c r="H7" s="37">
        <f>IF(SUMIFS(Data!$U:$U,Data!$A:$A,$B7,Data!$C:$C,H$1)=0,"",SUMIFS(Data!$U:$U,Data!$A:$A,$B7,Data!$C:$C,H$1))</f>
        <v>3.0964285714285715</v>
      </c>
      <c r="I7" s="37">
        <f>IF(SUMIFS(Data!$U:$U,Data!$A:$A,$B7,Data!$C:$C,I$1)=0,"",SUMIFS(Data!$U:$U,Data!$A:$A,$B7,Data!$C:$C,I$1))</f>
        <v>5.4033333333333324</v>
      </c>
      <c r="J7" s="37">
        <f>IF(SUMIFS(Data!$U:$U,Data!$A:$A,$B7,Data!$C:$C,J$1)=0,"",SUMIFS(Data!$U:$U,Data!$A:$A,$B7,Data!$C:$C,J$1))</f>
        <v>4.4793333333333338</v>
      </c>
      <c r="K7" s="37">
        <f>IF(SUMIFS(Data!$U:$U,Data!$A:$A,$B7,Data!$C:$C,K$1)=0,"",SUMIFS(Data!$U:$U,Data!$A:$A,$B7,Data!$C:$C,K$1))</f>
        <v>3.7886666666666668</v>
      </c>
      <c r="L7" s="37">
        <f>IF(SUMIFS(Data!$U:$U,Data!$A:$A,$B7,Data!$C:$C,L$1)=0,"",SUMIFS(Data!$U:$U,Data!$A:$A,$B7,Data!$C:$C,L$1))</f>
        <v>2.1047619047619048</v>
      </c>
      <c r="M7" s="37">
        <f>IF(SUMIFS(Data!$U:$U,Data!$A:$A,$B7,Data!$C:$C,M$1)=0,"",SUMIFS(Data!$U:$U,Data!$A:$A,$B7,Data!$C:$C,M$1))</f>
        <v>2.875</v>
      </c>
      <c r="N7" s="37" t="str">
        <f>IF(SUMIFS(Data!$U:$U,Data!$A:$A,$B7,Data!$C:$C,N$1)=0,"",SUMIFS(Data!$U:$U,Data!$A:$A,$B7,Data!$C:$C,N$1))</f>
        <v/>
      </c>
      <c r="O7" s="37" t="str">
        <f>IF(SUMIFS(Data!$U:$U,Data!$A:$A,$B7,Data!$C:$C,O$1)=0,"",SUMIFS(Data!$U:$U,Data!$A:$A,$B7,Data!$C:$C,O$1))</f>
        <v/>
      </c>
      <c r="P7" s="37">
        <f>IF(SUMIFS(Data!$U:$U,Data!$A:$A,$B7,Data!$C:$C,P$1)=0,"",SUMIFS(Data!$U:$U,Data!$A:$A,$B7,Data!$C:$C,P$1))</f>
        <v>8.563833333333335</v>
      </c>
      <c r="Q7" s="37">
        <f>IF(SUMIFS(Data!$U:$U,Data!$A:$A,$B7,Data!$C:$C,Q$1)=0,"",SUMIFS(Data!$U:$U,Data!$A:$A,$B7,Data!$C:$C,Q$1))</f>
        <v>4.6254999999999997</v>
      </c>
      <c r="R7" s="37">
        <f>IF(SUMIFS(Data!Z:Z,Data!A:A,B7)&lt;5,0,IF(SUMIFS(Data!Z:Z,Data!A:A,B7)&gt;14,10,SUMIFS(Data!Z:Z,Data!A:A,B7)-4))</f>
        <v>2</v>
      </c>
      <c r="S7" s="37">
        <f t="shared" si="0"/>
        <v>60.170119047619053</v>
      </c>
      <c r="T7" s="37">
        <f>SUMIFS(Data!D:D,Data!A:A,B7)</f>
        <v>437.45000000000005</v>
      </c>
    </row>
    <row r="8" spans="1:20" ht="13.8" x14ac:dyDescent="0.3">
      <c r="A8" s="103">
        <v>7</v>
      </c>
      <c r="B8" s="36" t="s">
        <v>216</v>
      </c>
      <c r="C8" s="37">
        <f>IF(SUMIFS(Data!$U:$U,Data!$A:$A,$B8,Data!$C:$C,C$1)=0,"",SUMIFS(Data!$U:$U,Data!$A:$A,$B8,Data!$C:$C,C$1))</f>
        <v>2.2267857142857141</v>
      </c>
      <c r="D8" s="37">
        <f>IF(SUMIFS(Data!$U:$U,Data!$A:$A,$B8,Data!$C:$C,D$1)=0,"",SUMIFS(Data!$U:$U,Data!$A:$A,$B8,Data!$C:$C,D$1))</f>
        <v>2.6666666666666665</v>
      </c>
      <c r="E8" s="37">
        <f>IF(SUMIFS(Data!$U:$U,Data!$A:$A,$B8,Data!$C:$C,E$1)=0,"",SUMIFS(Data!$U:$U,Data!$A:$A,$B8,Data!$C:$C,E$1))</f>
        <v>3.8593571428571427</v>
      </c>
      <c r="F8" s="37">
        <f>IF(SUMIFS(Data!$U:$U,Data!$A:$A,$B8,Data!$C:$C,F$1)=0,"",SUMIFS(Data!$U:$U,Data!$A:$A,$B8,Data!$C:$C,F$1))</f>
        <v>2.7392857142857143</v>
      </c>
      <c r="G8" s="37">
        <f>IF(SUMIFS(Data!$U:$U,Data!$A:$A,$B8,Data!$C:$C,G$1)=0,"",SUMIFS(Data!$U:$U,Data!$A:$A,$B8,Data!$C:$C,G$1))</f>
        <v>4.3499999999999996</v>
      </c>
      <c r="H8" s="37">
        <f>IF(SUMIFS(Data!$U:$U,Data!$A:$A,$B8,Data!$C:$C,H$1)=0,"",SUMIFS(Data!$U:$U,Data!$A:$A,$B8,Data!$C:$C,H$1))</f>
        <v>3.3339285714285714</v>
      </c>
      <c r="I8" s="37">
        <f>IF(SUMIFS(Data!$U:$U,Data!$A:$A,$B8,Data!$C:$C,I$1)=0,"",SUMIFS(Data!$U:$U,Data!$A:$A,$B8,Data!$C:$C,I$1))</f>
        <v>3.5327380952380953</v>
      </c>
      <c r="J8" s="37">
        <f>IF(SUMIFS(Data!$U:$U,Data!$A:$A,$B8,Data!$C:$C,J$1)=0,"",SUMIFS(Data!$U:$U,Data!$A:$A,$B8,Data!$C:$C,J$1))</f>
        <v>3.2738095238095237</v>
      </c>
      <c r="K8" s="37">
        <f>IF(SUMIFS(Data!$U:$U,Data!$A:$A,$B8,Data!$C:$C,K$1)=0,"",SUMIFS(Data!$U:$U,Data!$A:$A,$B8,Data!$C:$C,K$1))</f>
        <v>2.9255952380952381</v>
      </c>
      <c r="L8" s="37">
        <f>IF(SUMIFS(Data!$U:$U,Data!$A:$A,$B8,Data!$C:$C,L$1)=0,"",SUMIFS(Data!$U:$U,Data!$A:$A,$B8,Data!$C:$C,L$1))</f>
        <v>4.375</v>
      </c>
      <c r="M8" s="37">
        <f>IF(SUMIFS(Data!$U:$U,Data!$A:$A,$B8,Data!$C:$C,M$1)=0,"",SUMIFS(Data!$U:$U,Data!$A:$A,$B8,Data!$C:$C,M$1))</f>
        <v>3.3041666666666667</v>
      </c>
      <c r="N8" s="37">
        <f>IF(SUMIFS(Data!$U:$U,Data!$A:$A,$B8,Data!$C:$C,N$1)=0,"",SUMIFS(Data!$U:$U,Data!$A:$A,$B8,Data!$C:$C,N$1))</f>
        <v>3.9080238095238098</v>
      </c>
      <c r="O8" s="37">
        <f>IF(SUMIFS(Data!$U:$U,Data!$A:$A,$B8,Data!$C:$C,O$1)=0,"",SUMIFS(Data!$U:$U,Data!$A:$A,$B8,Data!$C:$C,O$1))</f>
        <v>1.7749999999999999</v>
      </c>
      <c r="P8" s="37">
        <f>IF(SUMIFS(Data!$U:$U,Data!$A:$A,$B8,Data!$C:$C,P$1)=0,"",SUMIFS(Data!$U:$U,Data!$A:$A,$B8,Data!$C:$C,P$1))</f>
        <v>2.673976190476191</v>
      </c>
      <c r="Q8" s="37">
        <f>IF(SUMIFS(Data!$U:$U,Data!$A:$A,$B8,Data!$C:$C,Q$1)=0,"",SUMIFS(Data!$U:$U,Data!$A:$A,$B8,Data!$C:$C,Q$1))</f>
        <v>3.7113095238095237</v>
      </c>
      <c r="R8" s="37">
        <f>IF(SUMIFS(Data!Z:Z,Data!A:A,B8)&lt;5,0,IF(SUMIFS(Data!Z:Z,Data!A:A,B8)&gt;14,10,SUMIFS(Data!Z:Z,Data!A:A,B8)-4))</f>
        <v>10</v>
      </c>
      <c r="S8" s="37">
        <f t="shared" si="0"/>
        <v>58.655642857142851</v>
      </c>
      <c r="T8" s="37">
        <f>SUMIFS(Data!D:D,Data!A:A,B8)</f>
        <v>196.5</v>
      </c>
    </row>
    <row r="9" spans="1:20" ht="13.8" x14ac:dyDescent="0.3">
      <c r="A9" s="103">
        <v>8</v>
      </c>
      <c r="B9" s="36" t="s">
        <v>52</v>
      </c>
      <c r="C9" s="37">
        <f>IF(SUMIFS(Data!$U:$U,Data!$A:$A,$B9,Data!$C:$C,C$1)=0,"",SUMIFS(Data!$U:$U,Data!$A:$A,$B9,Data!$C:$C,C$1))</f>
        <v>4.8716666666666661</v>
      </c>
      <c r="D9" s="37">
        <f>IF(SUMIFS(Data!$U:$U,Data!$A:$A,$B9,Data!$C:$C,D$1)=0,"",SUMIFS(Data!$U:$U,Data!$A:$A,$B9,Data!$C:$C,D$1))</f>
        <v>4.2539523809523807</v>
      </c>
      <c r="E9" s="37">
        <f>IF(SUMIFS(Data!$U:$U,Data!$A:$A,$B9,Data!$C:$C,E$1)=0,"",SUMIFS(Data!$U:$U,Data!$A:$A,$B9,Data!$C:$C,E$1))</f>
        <v>3.7374999999999998</v>
      </c>
      <c r="F9" s="37">
        <f>IF(SUMIFS(Data!$U:$U,Data!$A:$A,$B9,Data!$C:$C,F$1)=0,"",SUMIFS(Data!$U:$U,Data!$A:$A,$B9,Data!$C:$C,F$1))</f>
        <v>3.8262142857142858</v>
      </c>
      <c r="G9" s="37">
        <f>IF(SUMIFS(Data!$U:$U,Data!$A:$A,$B9,Data!$C:$C,G$1)=0,"",SUMIFS(Data!$U:$U,Data!$A:$A,$B9,Data!$C:$C,G$1))</f>
        <v>3.9559523809523811</v>
      </c>
      <c r="H9" s="37">
        <f>IF(SUMIFS(Data!$U:$U,Data!$A:$A,$B9,Data!$C:$C,H$1)=0,"",SUMIFS(Data!$U:$U,Data!$A:$A,$B9,Data!$C:$C,H$1))</f>
        <v>3.7669285714285712</v>
      </c>
      <c r="I9" s="37">
        <f>IF(SUMIFS(Data!$U:$U,Data!$A:$A,$B9,Data!$C:$C,I$1)=0,"",SUMIFS(Data!$U:$U,Data!$A:$A,$B9,Data!$C:$C,I$1))</f>
        <v>5.1290000000000004</v>
      </c>
      <c r="J9" s="37">
        <f>IF(SUMIFS(Data!$U:$U,Data!$A:$A,$B9,Data!$C:$C,J$1)=0,"",SUMIFS(Data!$U:$U,Data!$A:$A,$B9,Data!$C:$C,J$1))</f>
        <v>5.0946666666666669</v>
      </c>
      <c r="K9" s="37">
        <f>IF(SUMIFS(Data!$U:$U,Data!$A:$A,$B9,Data!$C:$C,K$1)=0,"",SUMIFS(Data!$U:$U,Data!$A:$A,$B9,Data!$C:$C,K$1))</f>
        <v>4.7726666666666668</v>
      </c>
      <c r="L9" s="37">
        <f>IF(SUMIFS(Data!$U:$U,Data!$A:$A,$B9,Data!$C:$C,L$1)=0,"",SUMIFS(Data!$U:$U,Data!$A:$A,$B9,Data!$C:$C,L$1))</f>
        <v>3.399404761904762</v>
      </c>
      <c r="M9" s="37">
        <f>IF(SUMIFS(Data!$U:$U,Data!$A:$A,$B9,Data!$C:$C,M$1)=0,"",SUMIFS(Data!$U:$U,Data!$A:$A,$B9,Data!$C:$C,M$1))</f>
        <v>3.5235714285714286</v>
      </c>
      <c r="N9" s="37">
        <f>IF(SUMIFS(Data!$U:$U,Data!$A:$A,$B9,Data!$C:$C,N$1)=0,"",SUMIFS(Data!$U:$U,Data!$A:$A,$B9,Data!$C:$C,N$1))</f>
        <v>1.5</v>
      </c>
      <c r="O9" s="37" t="str">
        <f>IF(SUMIFS(Data!$U:$U,Data!$A:$A,$B9,Data!$C:$C,O$1)=0,"",SUMIFS(Data!$U:$U,Data!$A:$A,$B9,Data!$C:$C,O$1))</f>
        <v/>
      </c>
      <c r="P9" s="37" t="str">
        <f>IF(SUMIFS(Data!$U:$U,Data!$A:$A,$B9,Data!$C:$C,P$1)=0,"",SUMIFS(Data!$U:$U,Data!$A:$A,$B9,Data!$C:$C,P$1))</f>
        <v/>
      </c>
      <c r="Q9" s="37" t="str">
        <f>IF(SUMIFS(Data!$U:$U,Data!$A:$A,$B9,Data!$C:$C,Q$1)=0,"",SUMIFS(Data!$U:$U,Data!$A:$A,$B9,Data!$C:$C,Q$1))</f>
        <v/>
      </c>
      <c r="R9" s="37">
        <f>IF(SUMIFS(Data!Z:Z,Data!A:A,B9)&lt;5,0,IF(SUMIFS(Data!Z:Z,Data!A:A,B9)&gt;14,10,SUMIFS(Data!Z:Z,Data!A:A,B9)-4))</f>
        <v>6</v>
      </c>
      <c r="S9" s="37">
        <f t="shared" si="0"/>
        <v>53.831523809523816</v>
      </c>
      <c r="T9" s="37">
        <f>SUMIFS(Data!D:D,Data!A:A,B9)</f>
        <v>236.47</v>
      </c>
    </row>
    <row r="10" spans="1:20" ht="13.8" x14ac:dyDescent="0.3">
      <c r="A10" s="103">
        <v>9</v>
      </c>
      <c r="B10" s="36" t="s">
        <v>215</v>
      </c>
      <c r="C10" s="37">
        <f>IF(SUMIFS(Data!$U:$U,Data!$A:$A,$B10,Data!$C:$C,C$1)=0,"",SUMIFS(Data!$U:$U,Data!$A:$A,$B10,Data!$C:$C,C$1))</f>
        <v>2.7472142857142861</v>
      </c>
      <c r="D10" s="37">
        <f>IF(SUMIFS(Data!$U:$U,Data!$A:$A,$B10,Data!$C:$C,D$1)=0,"",SUMIFS(Data!$U:$U,Data!$A:$A,$B10,Data!$C:$C,D$1))</f>
        <v>2.5445952380952379</v>
      </c>
      <c r="E10" s="37">
        <f>IF(SUMIFS(Data!$U:$U,Data!$A:$A,$B10,Data!$C:$C,E$1)=0,"",SUMIFS(Data!$U:$U,Data!$A:$A,$B10,Data!$C:$C,E$1))</f>
        <v>2.9078571428571429</v>
      </c>
      <c r="F10" s="37">
        <f>IF(SUMIFS(Data!$U:$U,Data!$A:$A,$B10,Data!$C:$C,F$1)=0,"",SUMIFS(Data!$U:$U,Data!$A:$A,$B10,Data!$C:$C,F$1))</f>
        <v>2.8356666666666666</v>
      </c>
      <c r="G10" s="37">
        <f>IF(SUMIFS(Data!$U:$U,Data!$A:$A,$B10,Data!$C:$C,G$1)=0,"",SUMIFS(Data!$U:$U,Data!$A:$A,$B10,Data!$C:$C,G$1))</f>
        <v>3.393642857142857</v>
      </c>
      <c r="H10" s="37" t="str">
        <f>IF(SUMIFS(Data!$U:$U,Data!$A:$A,$B10,Data!$C:$C,H$1)=0,"",SUMIFS(Data!$U:$U,Data!$A:$A,$B10,Data!$C:$C,H$1))</f>
        <v/>
      </c>
      <c r="I10" s="37">
        <f>IF(SUMIFS(Data!$U:$U,Data!$A:$A,$B10,Data!$C:$C,I$1)=0,"",SUMIFS(Data!$U:$U,Data!$A:$A,$B10,Data!$C:$C,I$1))</f>
        <v>2.6665476190476194</v>
      </c>
      <c r="J10" s="37">
        <f>IF(SUMIFS(Data!$U:$U,Data!$A:$A,$B10,Data!$C:$C,J$1)=0,"",SUMIFS(Data!$U:$U,Data!$A:$A,$B10,Data!$C:$C,J$1))</f>
        <v>4.2486666666666668</v>
      </c>
      <c r="K10" s="37">
        <f>IF(SUMIFS(Data!$U:$U,Data!$A:$A,$B10,Data!$C:$C,K$1)=0,"",SUMIFS(Data!$U:$U,Data!$A:$A,$B10,Data!$C:$C,K$1))</f>
        <v>3.2214285714285715</v>
      </c>
      <c r="L10" s="37" t="str">
        <f>IF(SUMIFS(Data!$U:$U,Data!$A:$A,$B10,Data!$C:$C,L$1)=0,"",SUMIFS(Data!$U:$U,Data!$A:$A,$B10,Data!$C:$C,L$1))</f>
        <v/>
      </c>
      <c r="M10" s="37">
        <f>IF(SUMIFS(Data!$U:$U,Data!$A:$A,$B10,Data!$C:$C,M$1)=0,"",SUMIFS(Data!$U:$U,Data!$A:$A,$B10,Data!$C:$C,M$1))</f>
        <v>2.6482142857142859</v>
      </c>
      <c r="N10" s="37">
        <f>IF(SUMIFS(Data!$U:$U,Data!$A:$A,$B10,Data!$C:$C,N$1)=0,"",SUMIFS(Data!$U:$U,Data!$A:$A,$B10,Data!$C:$C,N$1))</f>
        <v>3.4443333333333332</v>
      </c>
      <c r="O10" s="37">
        <f>IF(SUMIFS(Data!$U:$U,Data!$A:$A,$B10,Data!$C:$C,O$1)=0,"",SUMIFS(Data!$U:$U,Data!$A:$A,$B10,Data!$C:$C,O$1))</f>
        <v>4.073666666666667</v>
      </c>
      <c r="P10" s="37">
        <f>IF(SUMIFS(Data!$U:$U,Data!$A:$A,$B10,Data!$C:$C,P$1)=0,"",SUMIFS(Data!$U:$U,Data!$A:$A,$B10,Data!$C:$C,P$1))</f>
        <v>3.7726666666666664</v>
      </c>
      <c r="Q10" s="37">
        <f>IF(SUMIFS(Data!$U:$U,Data!$A:$A,$B10,Data!$C:$C,Q$1)=0,"",SUMIFS(Data!$U:$U,Data!$A:$A,$B10,Data!$C:$C,Q$1))</f>
        <v>2.79152380952381</v>
      </c>
      <c r="R10" s="37">
        <f>IF(SUMIFS(Data!Z:Z,Data!A:A,B10)&lt;5,0,IF(SUMIFS(Data!Z:Z,Data!A:A,B10)&gt;14,10,SUMIFS(Data!Z:Z,Data!A:A,B10)-4))</f>
        <v>9</v>
      </c>
      <c r="S10" s="37">
        <f t="shared" si="0"/>
        <v>50.29602380952381</v>
      </c>
      <c r="T10" s="37">
        <f>SUMIFS(Data!D:D,Data!A:A,B10)</f>
        <v>227.7</v>
      </c>
    </row>
    <row r="11" spans="1:20" ht="13.8" x14ac:dyDescent="0.3">
      <c r="A11" s="103">
        <v>10</v>
      </c>
      <c r="B11" s="36" t="s">
        <v>143</v>
      </c>
      <c r="C11" s="37">
        <f>IF(SUMIFS(Data!$U:$U,Data!$A:$A,$B11,Data!$C:$C,C$1)=0,"",SUMIFS(Data!$U:$U,Data!$A:$A,$B11,Data!$C:$C,C$1))</f>
        <v>1.7214285714285715</v>
      </c>
      <c r="D11" s="37">
        <f>IF(SUMIFS(Data!$U:$U,Data!$A:$A,$B11,Data!$C:$C,D$1)=0,"",SUMIFS(Data!$U:$U,Data!$A:$A,$B11,Data!$C:$C,D$1))</f>
        <v>2.5773809523809526</v>
      </c>
      <c r="E11" s="37">
        <f>IF(SUMIFS(Data!$U:$U,Data!$A:$A,$B11,Data!$C:$C,E$1)=0,"",SUMIFS(Data!$U:$U,Data!$A:$A,$B11,Data!$C:$C,E$1))</f>
        <v>3.311666666666667</v>
      </c>
      <c r="F11" s="37">
        <f>IF(SUMIFS(Data!$U:$U,Data!$A:$A,$B11,Data!$C:$C,F$1)=0,"",SUMIFS(Data!$U:$U,Data!$A:$A,$B11,Data!$C:$C,F$1))</f>
        <v>4.3753333333333337</v>
      </c>
      <c r="G11" s="37">
        <f>IF(SUMIFS(Data!$U:$U,Data!$A:$A,$B11,Data!$C:$C,G$1)=0,"",SUMIFS(Data!$U:$U,Data!$A:$A,$B11,Data!$C:$C,G$1))</f>
        <v>1.6583333333333332</v>
      </c>
      <c r="H11" s="37">
        <f>IF(SUMIFS(Data!$U:$U,Data!$A:$A,$B11,Data!$C:$C,H$1)=0,"",SUMIFS(Data!$U:$U,Data!$A:$A,$B11,Data!$C:$C,H$1))</f>
        <v>2.0926666666666667</v>
      </c>
      <c r="I11" s="37">
        <f>IF(SUMIFS(Data!$U:$U,Data!$A:$A,$B11,Data!$C:$C,I$1)=0,"",SUMIFS(Data!$U:$U,Data!$A:$A,$B11,Data!$C:$C,I$1))</f>
        <v>2.0577380952380953</v>
      </c>
      <c r="J11" s="37">
        <f>IF(SUMIFS(Data!$U:$U,Data!$A:$A,$B11,Data!$C:$C,J$1)=0,"",SUMIFS(Data!$U:$U,Data!$A:$A,$B11,Data!$C:$C,J$1))</f>
        <v>1.655357142857143</v>
      </c>
      <c r="K11" s="37">
        <f>IF(SUMIFS(Data!$U:$U,Data!$A:$A,$B11,Data!$C:$C,K$1)=0,"",SUMIFS(Data!$U:$U,Data!$A:$A,$B11,Data!$C:$C,K$1))</f>
        <v>2.3017857142857143</v>
      </c>
      <c r="L11" s="37">
        <f>IF(SUMIFS(Data!$U:$U,Data!$A:$A,$B11,Data!$C:$C,L$1)=0,"",SUMIFS(Data!$U:$U,Data!$A:$A,$B11,Data!$C:$C,L$1))</f>
        <v>3.662666666666667</v>
      </c>
      <c r="M11" s="37">
        <f>IF(SUMIFS(Data!$U:$U,Data!$A:$A,$B11,Data!$C:$C,M$1)=0,"",SUMIFS(Data!$U:$U,Data!$A:$A,$B11,Data!$C:$C,M$1))</f>
        <v>2.6212619047619046</v>
      </c>
      <c r="N11" s="37">
        <f>IF(SUMIFS(Data!$U:$U,Data!$A:$A,$B11,Data!$C:$C,N$1)=0,"",SUMIFS(Data!$U:$U,Data!$A:$A,$B11,Data!$C:$C,N$1))</f>
        <v>1.9726190476190475</v>
      </c>
      <c r="O11" s="37">
        <f>IF(SUMIFS(Data!$U:$U,Data!$A:$A,$B11,Data!$C:$C,O$1)=0,"",SUMIFS(Data!$U:$U,Data!$A:$A,$B11,Data!$C:$C,O$1))</f>
        <v>2.9376666666666669</v>
      </c>
      <c r="P11" s="37">
        <f>IF(SUMIFS(Data!$U:$U,Data!$A:$A,$B11,Data!$C:$C,P$1)=0,"",SUMIFS(Data!$U:$U,Data!$A:$A,$B11,Data!$C:$C,P$1))</f>
        <v>3.4303333333333335</v>
      </c>
      <c r="Q11" s="37">
        <f>IF(SUMIFS(Data!$U:$U,Data!$A:$A,$B11,Data!$C:$C,Q$1)=0,"",SUMIFS(Data!$U:$U,Data!$A:$A,$B11,Data!$C:$C,Q$1))</f>
        <v>3.5110000000000001</v>
      </c>
      <c r="R11" s="37">
        <f>IF(SUMIFS(Data!Z:Z,Data!A:A,B11)&lt;5,0,IF(SUMIFS(Data!Z:Z,Data!A:A,B11)&gt;14,10,SUMIFS(Data!Z:Z,Data!A:A,B11)-4))</f>
        <v>10</v>
      </c>
      <c r="S11" s="37">
        <f t="shared" si="0"/>
        <v>49.887238095238096</v>
      </c>
      <c r="T11" s="37">
        <f>SUMIFS(Data!D:D,Data!A:A,B11)</f>
        <v>272.68999999999994</v>
      </c>
    </row>
    <row r="12" spans="1:20" ht="13.8" x14ac:dyDescent="0.3">
      <c r="A12" s="103">
        <v>11</v>
      </c>
      <c r="B12" s="36" t="s">
        <v>57</v>
      </c>
      <c r="C12" s="37">
        <f>IF(SUMIFS(Data!$U:$U,Data!$A:$A,$B12,Data!$C:$C,C$1)=0,"",SUMIFS(Data!$U:$U,Data!$A:$A,$B12,Data!$C:$C,C$1))</f>
        <v>2.456</v>
      </c>
      <c r="D12" s="37">
        <f>IF(SUMIFS(Data!$U:$U,Data!$A:$A,$B12,Data!$C:$C,D$1)=0,"",SUMIFS(Data!$U:$U,Data!$A:$A,$B12,Data!$C:$C,D$1))</f>
        <v>2.8638809523809523</v>
      </c>
      <c r="E12" s="37">
        <f>IF(SUMIFS(Data!$U:$U,Data!$A:$A,$B12,Data!$C:$C,E$1)=0,"",SUMIFS(Data!$U:$U,Data!$A:$A,$B12,Data!$C:$C,E$1))</f>
        <v>2.325595238095238</v>
      </c>
      <c r="F12" s="37">
        <f>IF(SUMIFS(Data!$U:$U,Data!$A:$A,$B12,Data!$C:$C,F$1)=0,"",SUMIFS(Data!$U:$U,Data!$A:$A,$B12,Data!$C:$C,F$1))</f>
        <v>2.7308571428571424</v>
      </c>
      <c r="G12" s="37">
        <f>IF(SUMIFS(Data!$U:$U,Data!$A:$A,$B12,Data!$C:$C,G$1)=0,"",SUMIFS(Data!$U:$U,Data!$A:$A,$B12,Data!$C:$C,G$1))</f>
        <v>2.4898809523809522</v>
      </c>
      <c r="H12" s="37">
        <f>IF(SUMIFS(Data!$U:$U,Data!$A:$A,$B12,Data!$C:$C,H$1)=0,"",SUMIFS(Data!$U:$U,Data!$A:$A,$B12,Data!$C:$C,H$1))</f>
        <v>2.940833333333333</v>
      </c>
      <c r="I12" s="37">
        <f>IF(SUMIFS(Data!$U:$U,Data!$A:$A,$B12,Data!$C:$C,I$1)=0,"",SUMIFS(Data!$U:$U,Data!$A:$A,$B12,Data!$C:$C,I$1))</f>
        <v>3.0547619047619046</v>
      </c>
      <c r="J12" s="37">
        <f>IF(SUMIFS(Data!$U:$U,Data!$A:$A,$B12,Data!$C:$C,J$1)=0,"",SUMIFS(Data!$U:$U,Data!$A:$A,$B12,Data!$C:$C,J$1))</f>
        <v>3.3673333333333328</v>
      </c>
      <c r="K12" s="37">
        <f>IF(SUMIFS(Data!$U:$U,Data!$A:$A,$B12,Data!$C:$C,K$1)=0,"",SUMIFS(Data!$U:$U,Data!$A:$A,$B12,Data!$C:$C,K$1))</f>
        <v>3.8363333333333332</v>
      </c>
      <c r="L12" s="37">
        <f>IF(SUMIFS(Data!$U:$U,Data!$A:$A,$B12,Data!$C:$C,L$1)=0,"",SUMIFS(Data!$U:$U,Data!$A:$A,$B12,Data!$C:$C,L$1))</f>
        <v>2.3041666666666667</v>
      </c>
      <c r="M12" s="37">
        <f>IF(SUMIFS(Data!$U:$U,Data!$A:$A,$B12,Data!$C:$C,M$1)=0,"",SUMIFS(Data!$U:$U,Data!$A:$A,$B12,Data!$C:$C,M$1))</f>
        <v>3.0971666666666668</v>
      </c>
      <c r="N12" s="37">
        <f>IF(SUMIFS(Data!$U:$U,Data!$A:$A,$B12,Data!$C:$C,N$1)=0,"",SUMIFS(Data!$U:$U,Data!$A:$A,$B12,Data!$C:$C,N$1))</f>
        <v>3.8171190476190473</v>
      </c>
      <c r="O12" s="37">
        <f>IF(SUMIFS(Data!$U:$U,Data!$A:$A,$B12,Data!$C:$C,O$1)=0,"",SUMIFS(Data!$U:$U,Data!$A:$A,$B12,Data!$C:$C,O$1))</f>
        <v>3.2351190476190474</v>
      </c>
      <c r="P12" s="37">
        <f>IF(SUMIFS(Data!$U:$U,Data!$A:$A,$B12,Data!$C:$C,P$1)=0,"",SUMIFS(Data!$U:$U,Data!$A:$A,$B12,Data!$C:$C,P$1))</f>
        <v>2.6160714285714288</v>
      </c>
      <c r="Q12" s="37">
        <f>IF(SUMIFS(Data!$U:$U,Data!$A:$A,$B12,Data!$C:$C,Q$1)=0,"",SUMIFS(Data!$U:$U,Data!$A:$A,$B12,Data!$C:$C,Q$1))</f>
        <v>3.6316190476190475</v>
      </c>
      <c r="R12" s="37">
        <f>IF(SUMIFS(Data!Z:Z,Data!A:A,B12)&lt;5,0,IF(SUMIFS(Data!Z:Z,Data!A:A,B12)&gt;14,10,SUMIFS(Data!Z:Z,Data!A:A,B12)-4))</f>
        <v>4</v>
      </c>
      <c r="S12" s="37">
        <f t="shared" si="0"/>
        <v>48.76673809523809</v>
      </c>
      <c r="T12" s="37">
        <f>SUMIFS(Data!D:D,Data!A:A,B12)</f>
        <v>158.71</v>
      </c>
    </row>
    <row r="13" spans="1:20" ht="13.8" x14ac:dyDescent="0.3">
      <c r="A13" s="103">
        <v>12</v>
      </c>
      <c r="B13" s="36" t="s">
        <v>256</v>
      </c>
      <c r="C13" s="37">
        <f>IF(SUMIFS(Data!$U:$U,Data!$A:$A,$B13,Data!$C:$C,C$1)=0,"",SUMIFS(Data!$U:$U,Data!$A:$A,$B13,Data!$C:$C,C$1))</f>
        <v>1.5011904761904762</v>
      </c>
      <c r="D13" s="37">
        <f>IF(SUMIFS(Data!$U:$U,Data!$A:$A,$B13,Data!$C:$C,D$1)=0,"",SUMIFS(Data!$U:$U,Data!$A:$A,$B13,Data!$C:$C,D$1))</f>
        <v>2.5</v>
      </c>
      <c r="E13" s="37">
        <f>IF(SUMIFS(Data!$U:$U,Data!$A:$A,$B13,Data!$C:$C,E$1)=0,"",SUMIFS(Data!$U:$U,Data!$A:$A,$B13,Data!$C:$C,E$1))</f>
        <v>4.5</v>
      </c>
      <c r="F13" s="37">
        <f>IF(SUMIFS(Data!$U:$U,Data!$A:$A,$B13,Data!$C:$C,F$1)=0,"",SUMIFS(Data!$U:$U,Data!$A:$A,$B13,Data!$C:$C,F$1))</f>
        <v>4.9333333333333336</v>
      </c>
      <c r="G13" s="37">
        <f>IF(SUMIFS(Data!$U:$U,Data!$A:$A,$B13,Data!$C:$C,G$1)=0,"",SUMIFS(Data!$U:$U,Data!$A:$A,$B13,Data!$C:$C,G$1))</f>
        <v>2.0440476190476189</v>
      </c>
      <c r="H13" s="37">
        <f>IF(SUMIFS(Data!$U:$U,Data!$A:$A,$B13,Data!$C:$C,H$1)=0,"",SUMIFS(Data!$U:$U,Data!$A:$A,$B13,Data!$C:$C,H$1))</f>
        <v>1.825</v>
      </c>
      <c r="I13" s="37">
        <f>IF(SUMIFS(Data!$U:$U,Data!$A:$A,$B13,Data!$C:$C,I$1)=0,"",SUMIFS(Data!$U:$U,Data!$A:$A,$B13,Data!$C:$C,I$1))</f>
        <v>2.5791666666666666</v>
      </c>
      <c r="J13" s="37">
        <f>IF(SUMIFS(Data!$U:$U,Data!$A:$A,$B13,Data!$C:$C,J$1)=0,"",SUMIFS(Data!$U:$U,Data!$A:$A,$B13,Data!$C:$C,J$1))</f>
        <v>1.8869047619047619</v>
      </c>
      <c r="K13" s="37">
        <f>IF(SUMIFS(Data!$U:$U,Data!$A:$A,$B13,Data!$C:$C,K$1)=0,"",SUMIFS(Data!$U:$U,Data!$A:$A,$B13,Data!$C:$C,K$1))</f>
        <v>2.2464285714285714</v>
      </c>
      <c r="L13" s="37">
        <f>IF(SUMIFS(Data!$U:$U,Data!$A:$A,$B13,Data!$C:$C,L$1)=0,"",SUMIFS(Data!$U:$U,Data!$A:$A,$B13,Data!$C:$C,L$1))</f>
        <v>2.3504999999999998</v>
      </c>
      <c r="M13" s="37">
        <f>IF(SUMIFS(Data!$U:$U,Data!$A:$A,$B13,Data!$C:$C,M$1)=0,"",SUMIFS(Data!$U:$U,Data!$A:$A,$B13,Data!$C:$C,M$1))</f>
        <v>1.9404761904761905</v>
      </c>
      <c r="N13" s="37">
        <f>IF(SUMIFS(Data!$U:$U,Data!$A:$A,$B13,Data!$C:$C,N$1)=0,"",SUMIFS(Data!$U:$U,Data!$A:$A,$B13,Data!$C:$C,N$1))</f>
        <v>2.9892857142857143</v>
      </c>
      <c r="O13" s="37">
        <f>IF(SUMIFS(Data!$U:$U,Data!$A:$A,$B13,Data!$C:$C,O$1)=0,"",SUMIFS(Data!$U:$U,Data!$A:$A,$B13,Data!$C:$C,O$1))</f>
        <v>6.4249999999999998</v>
      </c>
      <c r="P13" s="37" t="str">
        <f>IF(SUMIFS(Data!$U:$U,Data!$A:$A,$B13,Data!$C:$C,P$1)=0,"",SUMIFS(Data!$U:$U,Data!$A:$A,$B13,Data!$C:$C,P$1))</f>
        <v/>
      </c>
      <c r="Q13" s="37" t="str">
        <f>IF(SUMIFS(Data!$U:$U,Data!$A:$A,$B13,Data!$C:$C,Q$1)=0,"",SUMIFS(Data!$U:$U,Data!$A:$A,$B13,Data!$C:$C,Q$1))</f>
        <v/>
      </c>
      <c r="R13" s="37">
        <f>IF(SUMIFS(Data!Z:Z,Data!A:A,B13)&lt;5,0,IF(SUMIFS(Data!Z:Z,Data!A:A,B13)&gt;14,10,SUMIFS(Data!Z:Z,Data!A:A,B13)-4))</f>
        <v>9</v>
      </c>
      <c r="S13" s="37">
        <f t="shared" si="0"/>
        <v>46.721333333333334</v>
      </c>
      <c r="T13" s="37">
        <f>SUMIFS(Data!D:D,Data!A:A,B13)</f>
        <v>359.37</v>
      </c>
    </row>
    <row r="14" spans="1:20" ht="13.8" x14ac:dyDescent="0.3">
      <c r="A14" s="103">
        <v>13</v>
      </c>
      <c r="B14" s="36" t="s">
        <v>257</v>
      </c>
      <c r="C14" s="37">
        <f>IF(SUMIFS(Data!$U:$U,Data!$A:$A,$B14,Data!$C:$C,C$1)=0,"",SUMIFS(Data!$U:$U,Data!$A:$A,$B14,Data!$C:$C,C$1))</f>
        <v>3.7349999999999999</v>
      </c>
      <c r="D14" s="37">
        <f>IF(SUMIFS(Data!$U:$U,Data!$A:$A,$B14,Data!$C:$C,D$1)=0,"",SUMIFS(Data!$U:$U,Data!$A:$A,$B14,Data!$C:$C,D$1))</f>
        <v>4.7430000000000003</v>
      </c>
      <c r="E14" s="37" t="str">
        <f>IF(SUMIFS(Data!$U:$U,Data!$A:$A,$B14,Data!$C:$C,E$1)=0,"",SUMIFS(Data!$U:$U,Data!$A:$A,$B14,Data!$C:$C,E$1))</f>
        <v/>
      </c>
      <c r="F14" s="37">
        <f>IF(SUMIFS(Data!$U:$U,Data!$A:$A,$B14,Data!$C:$C,F$1)=0,"",SUMIFS(Data!$U:$U,Data!$A:$A,$B14,Data!$C:$C,F$1))</f>
        <v>3.3558333333333334</v>
      </c>
      <c r="G14" s="37" t="str">
        <f>IF(SUMIFS(Data!$U:$U,Data!$A:$A,$B14,Data!$C:$C,G$1)=0,"",SUMIFS(Data!$U:$U,Data!$A:$A,$B14,Data!$C:$C,G$1))</f>
        <v/>
      </c>
      <c r="H14" s="37">
        <f>IF(SUMIFS(Data!$U:$U,Data!$A:$A,$B14,Data!$C:$C,H$1)=0,"",SUMIFS(Data!$U:$U,Data!$A:$A,$B14,Data!$C:$C,H$1))</f>
        <v>3.241047619047619</v>
      </c>
      <c r="I14" s="37">
        <f>IF(SUMIFS(Data!$U:$U,Data!$A:$A,$B14,Data!$C:$C,I$1)=0,"",SUMIFS(Data!$U:$U,Data!$A:$A,$B14,Data!$C:$C,I$1))</f>
        <v>3.241047619047619</v>
      </c>
      <c r="J14" s="37">
        <f>IF(SUMIFS(Data!$U:$U,Data!$A:$A,$B14,Data!$C:$C,J$1)=0,"",SUMIFS(Data!$U:$U,Data!$A:$A,$B14,Data!$C:$C,J$1))</f>
        <v>2.4263333333333335</v>
      </c>
      <c r="K14" s="37">
        <f>IF(SUMIFS(Data!$U:$U,Data!$A:$A,$B14,Data!$C:$C,K$1)=0,"",SUMIFS(Data!$U:$U,Data!$A:$A,$B14,Data!$C:$C,K$1))</f>
        <v>2.6365476190476187</v>
      </c>
      <c r="L14" s="37" t="str">
        <f>IF(SUMIFS(Data!$U:$U,Data!$A:$A,$B14,Data!$C:$C,L$1)=0,"",SUMIFS(Data!$U:$U,Data!$A:$A,$B14,Data!$C:$C,L$1))</f>
        <v/>
      </c>
      <c r="M14" s="37">
        <f>IF(SUMIFS(Data!$U:$U,Data!$A:$A,$B14,Data!$C:$C,M$1)=0,"",SUMIFS(Data!$U:$U,Data!$A:$A,$B14,Data!$C:$C,M$1))</f>
        <v>5.8606666666666669</v>
      </c>
      <c r="N14" s="37">
        <f>IF(SUMIFS(Data!$U:$U,Data!$A:$A,$B14,Data!$C:$C,N$1)=0,"",SUMIFS(Data!$U:$U,Data!$A:$A,$B14,Data!$C:$C,N$1))</f>
        <v>3.1933333333333334</v>
      </c>
      <c r="O14" s="37">
        <f>IF(SUMIFS(Data!$U:$U,Data!$A:$A,$B14,Data!$C:$C,O$1)=0,"",SUMIFS(Data!$U:$U,Data!$A:$A,$B14,Data!$C:$C,O$1))</f>
        <v>2.9523333333333333</v>
      </c>
      <c r="P14" s="37" t="str">
        <f>IF(SUMIFS(Data!$U:$U,Data!$A:$A,$B14,Data!$C:$C,P$1)=0,"",SUMIFS(Data!$U:$U,Data!$A:$A,$B14,Data!$C:$C,P$1))</f>
        <v/>
      </c>
      <c r="Q14" s="37">
        <f>IF(SUMIFS(Data!$U:$U,Data!$A:$A,$B14,Data!$C:$C,Q$1)=0,"",SUMIFS(Data!$U:$U,Data!$A:$A,$B14,Data!$C:$C,Q$1))</f>
        <v>3.8793333333333333</v>
      </c>
      <c r="R14" s="37">
        <f>IF(SUMIFS(Data!Z:Z,Data!A:A,B14)&lt;5,0,IF(SUMIFS(Data!Z:Z,Data!A:A,B14)&gt;14,10,SUMIFS(Data!Z:Z,Data!A:A,B14)-4))</f>
        <v>6</v>
      </c>
      <c r="S14" s="37">
        <f t="shared" si="0"/>
        <v>45.264476190476195</v>
      </c>
      <c r="T14" s="37">
        <f>SUMIFS(Data!D:D,Data!A:A,B14)</f>
        <v>285.64999999999998</v>
      </c>
    </row>
    <row r="15" spans="1:20" ht="13.8" x14ac:dyDescent="0.3">
      <c r="A15" s="103">
        <v>14</v>
      </c>
      <c r="B15" s="36" t="s">
        <v>217</v>
      </c>
      <c r="C15" s="37">
        <f>IF(SUMIFS(Data!$U:$U,Data!$A:$A,$B15,Data!$C:$C,C$1)=0,"",SUMIFS(Data!$U:$U,Data!$A:$A,$B15,Data!$C:$C,C$1))</f>
        <v>0.375</v>
      </c>
      <c r="D15" s="37">
        <f>IF(SUMIFS(Data!$U:$U,Data!$A:$A,$B15,Data!$C:$C,D$1)=0,"",SUMIFS(Data!$U:$U,Data!$A:$A,$B15,Data!$C:$C,D$1))</f>
        <v>2.8630952380952381</v>
      </c>
      <c r="E15" s="37">
        <f>IF(SUMIFS(Data!$U:$U,Data!$A:$A,$B15,Data!$C:$C,E$1)=0,"",SUMIFS(Data!$U:$U,Data!$A:$A,$B15,Data!$C:$C,E$1))</f>
        <v>2.3511904761904763</v>
      </c>
      <c r="F15" s="37">
        <f>IF(SUMIFS(Data!$U:$U,Data!$A:$A,$B15,Data!$C:$C,F$1)=0,"",SUMIFS(Data!$U:$U,Data!$A:$A,$B15,Data!$C:$C,F$1))</f>
        <v>2.6785714285714284</v>
      </c>
      <c r="G15" s="37">
        <f>IF(SUMIFS(Data!$U:$U,Data!$A:$A,$B15,Data!$C:$C,G$1)=0,"",SUMIFS(Data!$U:$U,Data!$A:$A,$B15,Data!$C:$C,G$1))</f>
        <v>1.7285714285714286</v>
      </c>
      <c r="H15" s="37">
        <f>IF(SUMIFS(Data!$U:$U,Data!$A:$A,$B15,Data!$C:$C,H$1)=0,"",SUMIFS(Data!$U:$U,Data!$A:$A,$B15,Data!$C:$C,H$1))</f>
        <v>2.8392857142857144</v>
      </c>
      <c r="I15" s="37">
        <f>IF(SUMIFS(Data!$U:$U,Data!$A:$A,$B15,Data!$C:$C,I$1)=0,"",SUMIFS(Data!$U:$U,Data!$A:$A,$B15,Data!$C:$C,I$1))</f>
        <v>3.0696428571428571</v>
      </c>
      <c r="J15" s="37">
        <f>IF(SUMIFS(Data!$U:$U,Data!$A:$A,$B15,Data!$C:$C,J$1)=0,"",SUMIFS(Data!$U:$U,Data!$A:$A,$B15,Data!$C:$C,J$1))</f>
        <v>1.9922619047619048</v>
      </c>
      <c r="K15" s="37">
        <f>IF(SUMIFS(Data!$U:$U,Data!$A:$A,$B15,Data!$C:$C,K$1)=0,"",SUMIFS(Data!$U:$U,Data!$A:$A,$B15,Data!$C:$C,K$1))</f>
        <v>2.8095238095238093</v>
      </c>
      <c r="L15" s="37">
        <f>IF(SUMIFS(Data!$U:$U,Data!$A:$A,$B15,Data!$C:$C,L$1)=0,"",SUMIFS(Data!$U:$U,Data!$A:$A,$B15,Data!$C:$C,L$1))</f>
        <v>2.3833333333333329</v>
      </c>
      <c r="M15" s="37">
        <f>IF(SUMIFS(Data!$U:$U,Data!$A:$A,$B15,Data!$C:$C,M$1)=0,"",SUMIFS(Data!$U:$U,Data!$A:$A,$B15,Data!$C:$C,M$1))</f>
        <v>3.75</v>
      </c>
      <c r="N15" s="37">
        <f>IF(SUMIFS(Data!$U:$U,Data!$A:$A,$B15,Data!$C:$C,N$1)=0,"",SUMIFS(Data!$U:$U,Data!$A:$A,$B15,Data!$C:$C,N$1))</f>
        <v>1.625</v>
      </c>
      <c r="O15" s="37">
        <f>IF(SUMIFS(Data!$U:$U,Data!$A:$A,$B15,Data!$C:$C,O$1)=0,"",SUMIFS(Data!$U:$U,Data!$A:$A,$B15,Data!$C:$C,O$1))</f>
        <v>2.6345238095238095</v>
      </c>
      <c r="P15" s="37">
        <f>IF(SUMIFS(Data!$U:$U,Data!$A:$A,$B15,Data!$C:$C,P$1)=0,"",SUMIFS(Data!$U:$U,Data!$A:$A,$B15,Data!$C:$C,P$1))</f>
        <v>1.6672619047619048</v>
      </c>
      <c r="Q15" s="37">
        <f>IF(SUMIFS(Data!$U:$U,Data!$A:$A,$B15,Data!$C:$C,Q$1)=0,"",SUMIFS(Data!$U:$U,Data!$A:$A,$B15,Data!$C:$C,Q$1))</f>
        <v>2.2916666666666665</v>
      </c>
      <c r="R15" s="37">
        <f>IF(SUMIFS(Data!Z:Z,Data!A:A,B15)&lt;5,0,IF(SUMIFS(Data!Z:Z,Data!A:A,B15)&gt;14,10,SUMIFS(Data!Z:Z,Data!A:A,B15)-4))</f>
        <v>10</v>
      </c>
      <c r="S15" s="37">
        <f t="shared" si="0"/>
        <v>45.058928571428567</v>
      </c>
      <c r="T15" s="37">
        <f>SUMIFS(Data!D:D,Data!A:A,B15)</f>
        <v>135.02000000000001</v>
      </c>
    </row>
    <row r="16" spans="1:20" ht="13.8" x14ac:dyDescent="0.3">
      <c r="A16" s="103">
        <v>15</v>
      </c>
      <c r="B16" s="36" t="s">
        <v>49</v>
      </c>
      <c r="C16" s="37">
        <f>IF(SUMIFS(Data!$U:$U,Data!$A:$A,$B16,Data!$C:$C,C$1)=0,"",SUMIFS(Data!$U:$U,Data!$A:$A,$B16,Data!$C:$C,C$1))</f>
        <v>2.9464285714285712</v>
      </c>
      <c r="D16" s="37">
        <f>IF(SUMIFS(Data!$U:$U,Data!$A:$A,$B16,Data!$C:$C,D$1)=0,"",SUMIFS(Data!$U:$U,Data!$A:$A,$B16,Data!$C:$C,D$1))</f>
        <v>2.9762142857142857</v>
      </c>
      <c r="E16" s="37">
        <f>IF(SUMIFS(Data!$U:$U,Data!$A:$A,$B16,Data!$C:$C,E$1)=0,"",SUMIFS(Data!$U:$U,Data!$A:$A,$B16,Data!$C:$C,E$1))</f>
        <v>2.8372380952380949</v>
      </c>
      <c r="F16" s="37">
        <f>IF(SUMIFS(Data!$U:$U,Data!$A:$A,$B16,Data!$C:$C,F$1)=0,"",SUMIFS(Data!$U:$U,Data!$A:$A,$B16,Data!$C:$C,F$1))</f>
        <v>2.9430476190476194</v>
      </c>
      <c r="G16" s="37">
        <f>IF(SUMIFS(Data!$U:$U,Data!$A:$A,$B16,Data!$C:$C,G$1)=0,"",SUMIFS(Data!$U:$U,Data!$A:$A,$B16,Data!$C:$C,G$1))</f>
        <v>3.0477619047619045</v>
      </c>
      <c r="H16" s="37">
        <f>IF(SUMIFS(Data!$U:$U,Data!$A:$A,$B16,Data!$C:$C,H$1)=0,"",SUMIFS(Data!$U:$U,Data!$A:$A,$B16,Data!$C:$C,H$1))</f>
        <v>2.4356904761904761</v>
      </c>
      <c r="I16" s="37">
        <f>IF(SUMIFS(Data!$U:$U,Data!$A:$A,$B16,Data!$C:$C,I$1)=0,"",SUMIFS(Data!$U:$U,Data!$A:$A,$B16,Data!$C:$C,I$1))</f>
        <v>3.4926666666666666</v>
      </c>
      <c r="J16" s="37">
        <f>IF(SUMIFS(Data!$U:$U,Data!$A:$A,$B16,Data!$C:$C,J$1)=0,"",SUMIFS(Data!$U:$U,Data!$A:$A,$B16,Data!$C:$C,J$1))</f>
        <v>3.0724047619047621</v>
      </c>
      <c r="K16" s="37">
        <f>IF(SUMIFS(Data!$U:$U,Data!$A:$A,$B16,Data!$C:$C,K$1)=0,"",SUMIFS(Data!$U:$U,Data!$A:$A,$B16,Data!$C:$C,K$1))</f>
        <v>3.3652380952380949</v>
      </c>
      <c r="L16" s="37">
        <f>IF(SUMIFS(Data!$U:$U,Data!$A:$A,$B16,Data!$C:$C,L$1)=0,"",SUMIFS(Data!$U:$U,Data!$A:$A,$B16,Data!$C:$C,L$1))</f>
        <v>2.3625714285714285</v>
      </c>
      <c r="M16" s="37">
        <f>IF(SUMIFS(Data!$U:$U,Data!$A:$A,$B16,Data!$C:$C,M$1)=0,"",SUMIFS(Data!$U:$U,Data!$A:$A,$B16,Data!$C:$C,M$1))</f>
        <v>2.8044523809523807</v>
      </c>
      <c r="N16" s="37">
        <f>IF(SUMIFS(Data!$U:$U,Data!$A:$A,$B16,Data!$C:$C,N$1)=0,"",SUMIFS(Data!$U:$U,Data!$A:$A,$B16,Data!$C:$C,N$1))</f>
        <v>2.8469523809523807</v>
      </c>
      <c r="O16" s="37">
        <f>IF(SUMIFS(Data!$U:$U,Data!$A:$A,$B16,Data!$C:$C,O$1)=0,"",SUMIFS(Data!$U:$U,Data!$A:$A,$B16,Data!$C:$C,O$1))</f>
        <v>2.5083333333333333</v>
      </c>
      <c r="P16" s="37" t="str">
        <f>IF(SUMIFS(Data!$U:$U,Data!$A:$A,$B16,Data!$C:$C,P$1)=0,"",SUMIFS(Data!$U:$U,Data!$A:$A,$B16,Data!$C:$C,P$1))</f>
        <v/>
      </c>
      <c r="Q16" s="37" t="str">
        <f>IF(SUMIFS(Data!$U:$U,Data!$A:$A,$B16,Data!$C:$C,Q$1)=0,"",SUMIFS(Data!$U:$U,Data!$A:$A,$B16,Data!$C:$C,Q$1))</f>
        <v/>
      </c>
      <c r="R16" s="37">
        <f>IF(SUMIFS(Data!Z:Z,Data!A:A,B16)&lt;5,0,IF(SUMIFS(Data!Z:Z,Data!A:A,B16)&gt;14,10,SUMIFS(Data!Z:Z,Data!A:A,B16)-4))</f>
        <v>7</v>
      </c>
      <c r="S16" s="37">
        <f t="shared" si="0"/>
        <v>44.638999999999996</v>
      </c>
      <c r="T16" s="37">
        <f>SUMIFS(Data!D:D,Data!A:A,B16)</f>
        <v>167.23000000000002</v>
      </c>
    </row>
    <row r="17" spans="1:20" ht="13.8" x14ac:dyDescent="0.3">
      <c r="A17" s="103">
        <v>16</v>
      </c>
      <c r="B17" s="36" t="s">
        <v>48</v>
      </c>
      <c r="C17" s="37" t="str">
        <f>IF(SUMIFS(Data!$U:$U,Data!$A:$A,$B17,Data!$C:$C,C$1)=0,"",SUMIFS(Data!$U:$U,Data!$A:$A,$B17,Data!$C:$C,C$1))</f>
        <v/>
      </c>
      <c r="D17" s="37">
        <f>IF(SUMIFS(Data!$U:$U,Data!$A:$A,$B17,Data!$C:$C,D$1)=0,"",SUMIFS(Data!$U:$U,Data!$A:$A,$B17,Data!$C:$C,D$1))</f>
        <v>2.8119047619047617</v>
      </c>
      <c r="E17" s="37">
        <f>IF(SUMIFS(Data!$U:$U,Data!$A:$A,$B17,Data!$C:$C,E$1)=0,"",SUMIFS(Data!$U:$U,Data!$A:$A,$B17,Data!$C:$C,E$1))</f>
        <v>1.5</v>
      </c>
      <c r="F17" s="37">
        <f>IF(SUMIFS(Data!$U:$U,Data!$A:$A,$B17,Data!$C:$C,F$1)=0,"",SUMIFS(Data!$U:$U,Data!$A:$A,$B17,Data!$C:$C,F$1))</f>
        <v>1.7958333333333334</v>
      </c>
      <c r="G17" s="37">
        <f>IF(SUMIFS(Data!$U:$U,Data!$A:$A,$B17,Data!$C:$C,G$1)=0,"",SUMIFS(Data!$U:$U,Data!$A:$A,$B17,Data!$C:$C,G$1))</f>
        <v>2.9357142857142859</v>
      </c>
      <c r="H17" s="37">
        <f>IF(SUMIFS(Data!$U:$U,Data!$A:$A,$B17,Data!$C:$C,H$1)=0,"",SUMIFS(Data!$U:$U,Data!$A:$A,$B17,Data!$C:$C,H$1))</f>
        <v>2.7440476190476186</v>
      </c>
      <c r="I17" s="37">
        <f>IF(SUMIFS(Data!$U:$U,Data!$A:$A,$B17,Data!$C:$C,I$1)=0,"",SUMIFS(Data!$U:$U,Data!$A:$A,$B17,Data!$C:$C,I$1))</f>
        <v>2.6583333333333332</v>
      </c>
      <c r="J17" s="37">
        <f>IF(SUMIFS(Data!$U:$U,Data!$A:$A,$B17,Data!$C:$C,J$1)=0,"",SUMIFS(Data!$U:$U,Data!$A:$A,$B17,Data!$C:$C,J$1))</f>
        <v>3.0065476190476188</v>
      </c>
      <c r="K17" s="37">
        <f>IF(SUMIFS(Data!$U:$U,Data!$A:$A,$B17,Data!$C:$C,K$1)=0,"",SUMIFS(Data!$U:$U,Data!$A:$A,$B17,Data!$C:$C,K$1))</f>
        <v>3.3041666666666667</v>
      </c>
      <c r="L17" s="37">
        <f>IF(SUMIFS(Data!$U:$U,Data!$A:$A,$B17,Data!$C:$C,L$1)=0,"",SUMIFS(Data!$U:$U,Data!$A:$A,$B17,Data!$C:$C,L$1))</f>
        <v>2.1864523809523808</v>
      </c>
      <c r="M17" s="37" t="str">
        <f>IF(SUMIFS(Data!$U:$U,Data!$A:$A,$B17,Data!$C:$C,M$1)=0,"",SUMIFS(Data!$U:$U,Data!$A:$A,$B17,Data!$C:$C,M$1))</f>
        <v/>
      </c>
      <c r="N17" s="37">
        <f>IF(SUMIFS(Data!$U:$U,Data!$A:$A,$B17,Data!$C:$C,N$1)=0,"",SUMIFS(Data!$U:$U,Data!$A:$A,$B17,Data!$C:$C,N$1))</f>
        <v>3.2530238095238095</v>
      </c>
      <c r="O17" s="37">
        <f>IF(SUMIFS(Data!$U:$U,Data!$A:$A,$B17,Data!$C:$C,O$1)=0,"",SUMIFS(Data!$U:$U,Data!$A:$A,$B17,Data!$C:$C,O$1))</f>
        <v>2.2108095238095236</v>
      </c>
      <c r="P17" s="37">
        <f>IF(SUMIFS(Data!$U:$U,Data!$A:$A,$B17,Data!$C:$C,P$1)=0,"",SUMIFS(Data!$U:$U,Data!$A:$A,$B17,Data!$C:$C,P$1))</f>
        <v>2.3511904761904763</v>
      </c>
      <c r="Q17" s="37">
        <f>IF(SUMIFS(Data!$U:$U,Data!$A:$A,$B17,Data!$C:$C,Q$1)=0,"",SUMIFS(Data!$U:$U,Data!$A:$A,$B17,Data!$C:$C,Q$1))</f>
        <v>3.0607619047619048</v>
      </c>
      <c r="R17" s="37">
        <f>IF(SUMIFS(Data!Z:Z,Data!A:A,B17)&lt;5,0,IF(SUMIFS(Data!Z:Z,Data!A:A,B17)&gt;14,10,SUMIFS(Data!Z:Z,Data!A:A,B17)-4))</f>
        <v>8</v>
      </c>
      <c r="S17" s="37">
        <f t="shared" si="0"/>
        <v>41.818785714285717</v>
      </c>
      <c r="T17" s="37">
        <f>SUMIFS(Data!D:D,Data!A:A,B17)</f>
        <v>142.16000000000003</v>
      </c>
    </row>
    <row r="18" spans="1:20" ht="13.8" x14ac:dyDescent="0.3">
      <c r="A18" s="103">
        <v>17</v>
      </c>
      <c r="B18" s="36" t="s">
        <v>60</v>
      </c>
      <c r="C18" s="37">
        <f>IF(SUMIFS(Data!$U:$U,Data!$A:$A,$B18,Data!$C:$C,C$1)=0,"",SUMIFS(Data!$U:$U,Data!$A:$A,$B18,Data!$C:$C,C$1))</f>
        <v>2.9910952380952378</v>
      </c>
      <c r="D18" s="37">
        <f>IF(SUMIFS(Data!$U:$U,Data!$A:$A,$B18,Data!$C:$C,D$1)=0,"",SUMIFS(Data!$U:$U,Data!$A:$A,$B18,Data!$C:$C,D$1))</f>
        <v>0.93511904761904763</v>
      </c>
      <c r="E18" s="37">
        <f>IF(SUMIFS(Data!$U:$U,Data!$A:$A,$B18,Data!$C:$C,E$1)=0,"",SUMIFS(Data!$U:$U,Data!$A:$A,$B18,Data!$C:$C,E$1))</f>
        <v>2.4829761904761907</v>
      </c>
      <c r="F18" s="37">
        <f>IF(SUMIFS(Data!$U:$U,Data!$A:$A,$B18,Data!$C:$C,F$1)=0,"",SUMIFS(Data!$U:$U,Data!$A:$A,$B18,Data!$C:$C,F$1))</f>
        <v>2.6494285714285715</v>
      </c>
      <c r="G18" s="37">
        <f>IF(SUMIFS(Data!$U:$U,Data!$A:$A,$B18,Data!$C:$C,G$1)=0,"",SUMIFS(Data!$U:$U,Data!$A:$A,$B18,Data!$C:$C,G$1))</f>
        <v>2.4690476190476192</v>
      </c>
      <c r="H18" s="37">
        <f>IF(SUMIFS(Data!$U:$U,Data!$A:$A,$B18,Data!$C:$C,H$1)=0,"",SUMIFS(Data!$U:$U,Data!$A:$A,$B18,Data!$C:$C,H$1))</f>
        <v>2.4827380952380951</v>
      </c>
      <c r="I18" s="37" t="str">
        <f>IF(SUMIFS(Data!$U:$U,Data!$A:$A,$B18,Data!$C:$C,I$1)=0,"",SUMIFS(Data!$U:$U,Data!$A:$A,$B18,Data!$C:$C,I$1))</f>
        <v/>
      </c>
      <c r="J18" s="37" t="str">
        <f>IF(SUMIFS(Data!$U:$U,Data!$A:$A,$B18,Data!$C:$C,J$1)=0,"",SUMIFS(Data!$U:$U,Data!$A:$A,$B18,Data!$C:$C,J$1))</f>
        <v/>
      </c>
      <c r="K18" s="37" t="str">
        <f>IF(SUMIFS(Data!$U:$U,Data!$A:$A,$B18,Data!$C:$C,K$1)=0,"",SUMIFS(Data!$U:$U,Data!$A:$A,$B18,Data!$C:$C,K$1))</f>
        <v/>
      </c>
      <c r="L18" s="37">
        <f>IF(SUMIFS(Data!$U:$U,Data!$A:$A,$B18,Data!$C:$C,L$1)=0,"",SUMIFS(Data!$U:$U,Data!$A:$A,$B18,Data!$C:$C,L$1))</f>
        <v>2.7130952380952378</v>
      </c>
      <c r="M18" s="37">
        <f>IF(SUMIFS(Data!$U:$U,Data!$A:$A,$B18,Data!$C:$C,M$1)=0,"",SUMIFS(Data!$U:$U,Data!$A:$A,$B18,Data!$C:$C,M$1))</f>
        <v>2.9913809523809523</v>
      </c>
      <c r="N18" s="37">
        <f>IF(SUMIFS(Data!$U:$U,Data!$A:$A,$B18,Data!$C:$C,N$1)=0,"",SUMIFS(Data!$U:$U,Data!$A:$A,$B18,Data!$C:$C,N$1))</f>
        <v>2.4064285714285716</v>
      </c>
      <c r="O18" s="37">
        <f>IF(SUMIFS(Data!$U:$U,Data!$A:$A,$B18,Data!$C:$C,O$1)=0,"",SUMIFS(Data!$U:$U,Data!$A:$A,$B18,Data!$C:$C,O$1))</f>
        <v>3.9919999999999995</v>
      </c>
      <c r="P18" s="37" t="str">
        <f>IF(SUMIFS(Data!$U:$U,Data!$A:$A,$B18,Data!$C:$C,P$1)=0,"",SUMIFS(Data!$U:$U,Data!$A:$A,$B18,Data!$C:$C,P$1))</f>
        <v/>
      </c>
      <c r="Q18" s="37">
        <f>IF(SUMIFS(Data!$U:$U,Data!$A:$A,$B18,Data!$C:$C,Q$1)=0,"",SUMIFS(Data!$U:$U,Data!$A:$A,$B18,Data!$C:$C,Q$1))</f>
        <v>2.6779761904761905</v>
      </c>
      <c r="R18" s="37">
        <f>IF(SUMIFS(Data!Z:Z,Data!A:A,B18)&lt;5,0,IF(SUMIFS(Data!Z:Z,Data!A:A,B18)&gt;14,10,SUMIFS(Data!Z:Z,Data!A:A,B18)-4))</f>
        <v>7</v>
      </c>
      <c r="S18" s="37">
        <f t="shared" si="0"/>
        <v>35.791285714285713</v>
      </c>
      <c r="T18" s="37">
        <f>SUMIFS(Data!D:D,Data!A:A,B18)</f>
        <v>109.07</v>
      </c>
    </row>
    <row r="19" spans="1:20" ht="13.8" x14ac:dyDescent="0.3">
      <c r="A19" s="103">
        <v>18</v>
      </c>
      <c r="B19" s="36" t="s">
        <v>116</v>
      </c>
      <c r="C19" s="37">
        <f>IF(SUMIFS(Data!$U:$U,Data!$A:$A,$B19,Data!$C:$C,C$1)=0,"",SUMIFS(Data!$U:$U,Data!$A:$A,$B19,Data!$C:$C,C$1))</f>
        <v>2.7452380952380953</v>
      </c>
      <c r="D19" s="37">
        <f>IF(SUMIFS(Data!$U:$U,Data!$A:$A,$B19,Data!$C:$C,D$1)=0,"",SUMIFS(Data!$U:$U,Data!$A:$A,$B19,Data!$C:$C,D$1))</f>
        <v>1.5</v>
      </c>
      <c r="E19" s="37">
        <f>IF(SUMIFS(Data!$U:$U,Data!$A:$A,$B19,Data!$C:$C,E$1)=0,"",SUMIFS(Data!$U:$U,Data!$A:$A,$B19,Data!$C:$C,E$1))</f>
        <v>2.3345238095238097</v>
      </c>
      <c r="F19" s="37">
        <f>IF(SUMIFS(Data!$U:$U,Data!$A:$A,$B19,Data!$C:$C,F$1)=0,"",SUMIFS(Data!$U:$U,Data!$A:$A,$B19,Data!$C:$C,F$1))</f>
        <v>2.7047619047619049</v>
      </c>
      <c r="G19" s="37">
        <f>IF(SUMIFS(Data!$U:$U,Data!$A:$A,$B19,Data!$C:$C,G$1)=0,"",SUMIFS(Data!$U:$U,Data!$A:$A,$B19,Data!$C:$C,G$1))</f>
        <v>3.3081428571428568</v>
      </c>
      <c r="H19" s="37">
        <f>IF(SUMIFS(Data!$U:$U,Data!$A:$A,$B19,Data!$C:$C,H$1)=0,"",SUMIFS(Data!$U:$U,Data!$A:$A,$B19,Data!$C:$C,H$1))</f>
        <v>3.1309523809523809</v>
      </c>
      <c r="I19" s="37">
        <f>IF(SUMIFS(Data!$U:$U,Data!$A:$A,$B19,Data!$C:$C,I$1)=0,"",SUMIFS(Data!$U:$U,Data!$A:$A,$B19,Data!$C:$C,I$1))</f>
        <v>2.0958333333333332</v>
      </c>
      <c r="J19" s="37">
        <f>IF(SUMIFS(Data!$U:$U,Data!$A:$A,$B19,Data!$C:$C,J$1)=0,"",SUMIFS(Data!$U:$U,Data!$A:$A,$B19,Data!$C:$C,J$1))</f>
        <v>1.8565476190476191</v>
      </c>
      <c r="K19" s="37">
        <f>IF(SUMIFS(Data!$U:$U,Data!$A:$A,$B19,Data!$C:$C,K$1)=0,"",SUMIFS(Data!$U:$U,Data!$A:$A,$B19,Data!$C:$C,K$1))</f>
        <v>2.2607142857142857</v>
      </c>
      <c r="L19" s="37" t="str">
        <f>IF(SUMIFS(Data!$U:$U,Data!$A:$A,$B19,Data!$C:$C,L$1)=0,"",SUMIFS(Data!$U:$U,Data!$A:$A,$B19,Data!$C:$C,L$1))</f>
        <v/>
      </c>
      <c r="M19" s="37">
        <f>IF(SUMIFS(Data!$U:$U,Data!$A:$A,$B19,Data!$C:$C,M$1)=0,"",SUMIFS(Data!$U:$U,Data!$A:$A,$B19,Data!$C:$C,M$1))</f>
        <v>2.4285714285714288</v>
      </c>
      <c r="N19" s="37" t="str">
        <f>IF(SUMIFS(Data!$U:$U,Data!$A:$A,$B19,Data!$C:$C,N$1)=0,"",SUMIFS(Data!$U:$U,Data!$A:$A,$B19,Data!$C:$C,N$1))</f>
        <v/>
      </c>
      <c r="O19" s="37">
        <f>IF(SUMIFS(Data!$U:$U,Data!$A:$A,$B19,Data!$C:$C,O$1)=0,"",SUMIFS(Data!$U:$U,Data!$A:$A,$B19,Data!$C:$C,O$1))</f>
        <v>1.9178571428571427</v>
      </c>
      <c r="P19" s="37" t="str">
        <f>IF(SUMIFS(Data!$U:$U,Data!$A:$A,$B19,Data!$C:$C,P$1)=0,"",SUMIFS(Data!$U:$U,Data!$A:$A,$B19,Data!$C:$C,P$1))</f>
        <v/>
      </c>
      <c r="Q19" s="37">
        <f>IF(SUMIFS(Data!$U:$U,Data!$A:$A,$B19,Data!$C:$C,Q$1)=0,"",SUMIFS(Data!$U:$U,Data!$A:$A,$B19,Data!$C:$C,Q$1))</f>
        <v>2.4232142857142858</v>
      </c>
      <c r="R19" s="37">
        <f>IF(SUMIFS(Data!Z:Z,Data!A:A,B19)&lt;5,0,IF(SUMIFS(Data!Z:Z,Data!A:A,B19)&gt;14,10,SUMIFS(Data!Z:Z,Data!A:A,B19)-4))</f>
        <v>7</v>
      </c>
      <c r="S19" s="37">
        <f t="shared" si="0"/>
        <v>35.706357142857144</v>
      </c>
      <c r="T19" s="37">
        <f>SUMIFS(Data!D:D,Data!A:A,B19)</f>
        <v>107.28000000000002</v>
      </c>
    </row>
    <row r="20" spans="1:20" ht="13.8" x14ac:dyDescent="0.3">
      <c r="A20" s="103">
        <v>19</v>
      </c>
      <c r="B20" s="36" t="s">
        <v>66</v>
      </c>
      <c r="C20" s="37">
        <f>IF(SUMIFS(Data!$U:$U,Data!$A:$A,$B20,Data!$C:$C,C$1)=0,"",SUMIFS(Data!$U:$U,Data!$A:$A,$B20,Data!$C:$C,C$1))</f>
        <v>3.35</v>
      </c>
      <c r="D20" s="37" t="str">
        <f>IF(SUMIFS(Data!$U:$U,Data!$A:$A,$B20,Data!$C:$C,D$1)=0,"",SUMIFS(Data!$U:$U,Data!$A:$A,$B20,Data!$C:$C,D$1))</f>
        <v/>
      </c>
      <c r="E20" s="37">
        <f>IF(SUMIFS(Data!$U:$U,Data!$A:$A,$B20,Data!$C:$C,E$1)=0,"",SUMIFS(Data!$U:$U,Data!$A:$A,$B20,Data!$C:$C,E$1))</f>
        <v>3.0566666666666666</v>
      </c>
      <c r="F20" s="37">
        <f>IF(SUMIFS(Data!$U:$U,Data!$A:$A,$B20,Data!$C:$C,F$1)=0,"",SUMIFS(Data!$U:$U,Data!$A:$A,$B20,Data!$C:$C,F$1))</f>
        <v>2.1732142857142858</v>
      </c>
      <c r="G20" s="37">
        <f>IF(SUMIFS(Data!$U:$U,Data!$A:$A,$B20,Data!$C:$C,G$1)=0,"",SUMIFS(Data!$U:$U,Data!$A:$A,$B20,Data!$C:$C,G$1))</f>
        <v>3.9336666666666669</v>
      </c>
      <c r="H20" s="37">
        <f>IF(SUMIFS(Data!$U:$U,Data!$A:$A,$B20,Data!$C:$C,H$1)=0,"",SUMIFS(Data!$U:$U,Data!$A:$A,$B20,Data!$C:$C,H$1))</f>
        <v>2.836904761904762</v>
      </c>
      <c r="I20" s="37" t="str">
        <f>IF(SUMIFS(Data!$U:$U,Data!$A:$A,$B20,Data!$C:$C,I$1)=0,"",SUMIFS(Data!$U:$U,Data!$A:$A,$B20,Data!$C:$C,I$1))</f>
        <v/>
      </c>
      <c r="J20" s="37">
        <f>IF(SUMIFS(Data!$U:$U,Data!$A:$A,$B20,Data!$C:$C,J$1)=0,"",SUMIFS(Data!$U:$U,Data!$A:$A,$B20,Data!$C:$C,J$1))</f>
        <v>2.2321428571428572</v>
      </c>
      <c r="K20" s="37" t="str">
        <f>IF(SUMIFS(Data!$U:$U,Data!$A:$A,$B20,Data!$C:$C,K$1)=0,"",SUMIFS(Data!$U:$U,Data!$A:$A,$B20,Data!$C:$C,K$1))</f>
        <v/>
      </c>
      <c r="L20" s="37" t="str">
        <f>IF(SUMIFS(Data!$U:$U,Data!$A:$A,$B20,Data!$C:$C,L$1)=0,"",SUMIFS(Data!$U:$U,Data!$A:$A,$B20,Data!$C:$C,L$1))</f>
        <v/>
      </c>
      <c r="M20" s="37">
        <f>IF(SUMIFS(Data!$U:$U,Data!$A:$A,$B20,Data!$C:$C,M$1)=0,"",SUMIFS(Data!$U:$U,Data!$A:$A,$B20,Data!$C:$C,M$1))</f>
        <v>1.9380952380952381</v>
      </c>
      <c r="N20" s="37">
        <f>IF(SUMIFS(Data!$U:$U,Data!$A:$A,$B20,Data!$C:$C,N$1)=0,"",SUMIFS(Data!$U:$U,Data!$A:$A,$B20,Data!$C:$C,N$1))</f>
        <v>3.625</v>
      </c>
      <c r="O20" s="37" t="str">
        <f>IF(SUMIFS(Data!$U:$U,Data!$A:$A,$B20,Data!$C:$C,O$1)=0,"",SUMIFS(Data!$U:$U,Data!$A:$A,$B20,Data!$C:$C,O$1))</f>
        <v/>
      </c>
      <c r="P20" s="37" t="str">
        <f>IF(SUMIFS(Data!$U:$U,Data!$A:$A,$B20,Data!$C:$C,P$1)=0,"",SUMIFS(Data!$U:$U,Data!$A:$A,$B20,Data!$C:$C,P$1))</f>
        <v/>
      </c>
      <c r="Q20" s="37" t="str">
        <f>IF(SUMIFS(Data!$U:$U,Data!$A:$A,$B20,Data!$C:$C,Q$1)=0,"",SUMIFS(Data!$U:$U,Data!$A:$A,$B20,Data!$C:$C,Q$1))</f>
        <v/>
      </c>
      <c r="R20" s="37">
        <f>IF(SUMIFS(Data!Z:Z,Data!A:A,B20)&lt;5,0,IF(SUMIFS(Data!Z:Z,Data!A:A,B20)&gt;14,10,SUMIFS(Data!Z:Z,Data!A:A,B20)-4))</f>
        <v>4</v>
      </c>
      <c r="S20" s="37">
        <f t="shared" si="0"/>
        <v>27.145690476190474</v>
      </c>
      <c r="T20" s="37">
        <f>SUMIFS(Data!D:D,Data!A:A,B20)</f>
        <v>125.99000000000001</v>
      </c>
    </row>
    <row r="21" spans="1:20" ht="13.8" x14ac:dyDescent="0.3">
      <c r="A21" s="103">
        <v>20</v>
      </c>
      <c r="B21" s="36" t="s">
        <v>219</v>
      </c>
      <c r="C21" s="37" t="str">
        <f>IF(SUMIFS(Data!$U:$U,Data!$A:$A,$B21,Data!$C:$C,C$1)=0,"",SUMIFS(Data!$U:$U,Data!$A:$A,$B21,Data!$C:$C,C$1))</f>
        <v/>
      </c>
      <c r="D21" s="37" t="str">
        <f>IF(SUMIFS(Data!$U:$U,Data!$A:$A,$B21,Data!$C:$C,D$1)=0,"",SUMIFS(Data!$U:$U,Data!$A:$A,$B21,Data!$C:$C,D$1))</f>
        <v/>
      </c>
      <c r="E21" s="37">
        <f>IF(SUMIFS(Data!$U:$U,Data!$A:$A,$B21,Data!$C:$C,E$1)=0,"",SUMIFS(Data!$U:$U,Data!$A:$A,$B21,Data!$C:$C,E$1))</f>
        <v>3.6613809523809522</v>
      </c>
      <c r="F21" s="37" t="str">
        <f>IF(SUMIFS(Data!$U:$U,Data!$A:$A,$B21,Data!$C:$C,F$1)=0,"",SUMIFS(Data!$U:$U,Data!$A:$A,$B21,Data!$C:$C,F$1))</f>
        <v/>
      </c>
      <c r="G21" s="37" t="str">
        <f>IF(SUMIFS(Data!$U:$U,Data!$A:$A,$B21,Data!$C:$C,G$1)=0,"",SUMIFS(Data!$U:$U,Data!$A:$A,$B21,Data!$C:$C,G$1))</f>
        <v/>
      </c>
      <c r="H21" s="37">
        <f>IF(SUMIFS(Data!$U:$U,Data!$A:$A,$B21,Data!$C:$C,H$1)=0,"",SUMIFS(Data!$U:$U,Data!$A:$A,$B21,Data!$C:$C,H$1))</f>
        <v>2.7483809523809528</v>
      </c>
      <c r="I21" s="37" t="str">
        <f>IF(SUMIFS(Data!$U:$U,Data!$A:$A,$B21,Data!$C:$C,I$1)=0,"",SUMIFS(Data!$U:$U,Data!$A:$A,$B21,Data!$C:$C,I$1))</f>
        <v/>
      </c>
      <c r="J21" s="37" t="str">
        <f>IF(SUMIFS(Data!$U:$U,Data!$A:$A,$B21,Data!$C:$C,J$1)=0,"",SUMIFS(Data!$U:$U,Data!$A:$A,$B21,Data!$C:$C,J$1))</f>
        <v/>
      </c>
      <c r="K21" s="37">
        <f>IF(SUMIFS(Data!$U:$U,Data!$A:$A,$B21,Data!$C:$C,K$1)=0,"",SUMIFS(Data!$U:$U,Data!$A:$A,$B21,Data!$C:$C,K$1))</f>
        <v>4.0255952380952378</v>
      </c>
      <c r="L21" s="37">
        <f>IF(SUMIFS(Data!$U:$U,Data!$A:$A,$B21,Data!$C:$C,L$1)=0,"",SUMIFS(Data!$U:$U,Data!$A:$A,$B21,Data!$C:$C,L$1))</f>
        <v>2.5277142857142856</v>
      </c>
      <c r="M21" s="37" t="str">
        <f>IF(SUMIFS(Data!$U:$U,Data!$A:$A,$B21,Data!$C:$C,M$1)=0,"",SUMIFS(Data!$U:$U,Data!$A:$A,$B21,Data!$C:$C,M$1))</f>
        <v/>
      </c>
      <c r="N21" s="37">
        <f>IF(SUMIFS(Data!$U:$U,Data!$A:$A,$B21,Data!$C:$C,N$1)=0,"",SUMIFS(Data!$U:$U,Data!$A:$A,$B21,Data!$C:$C,N$1))</f>
        <v>4.1072380952380954</v>
      </c>
      <c r="O21" s="37">
        <f>IF(SUMIFS(Data!$U:$U,Data!$A:$A,$B21,Data!$C:$C,O$1)=0,"",SUMIFS(Data!$U:$U,Data!$A:$A,$B21,Data!$C:$C,O$1))</f>
        <v>4.4079999999999995</v>
      </c>
      <c r="P21" s="37" t="str">
        <f>IF(SUMIFS(Data!$U:$U,Data!$A:$A,$B21,Data!$C:$C,P$1)=0,"",SUMIFS(Data!$U:$U,Data!$A:$A,$B21,Data!$C:$C,P$1))</f>
        <v/>
      </c>
      <c r="Q21" s="37" t="str">
        <f>IF(SUMIFS(Data!$U:$U,Data!$A:$A,$B21,Data!$C:$C,Q$1)=0,"",SUMIFS(Data!$U:$U,Data!$A:$A,$B21,Data!$C:$C,Q$1))</f>
        <v/>
      </c>
      <c r="R21" s="37">
        <f>IF(SUMIFS(Data!Z:Z,Data!A:A,B21)&lt;5,0,IF(SUMIFS(Data!Z:Z,Data!A:A,B21)&gt;14,10,SUMIFS(Data!Z:Z,Data!A:A,B21)-4))</f>
        <v>0</v>
      </c>
      <c r="S21" s="37">
        <f t="shared" si="0"/>
        <v>21.478309523809521</v>
      </c>
      <c r="T21" s="37">
        <f>SUMIFS(Data!D:D,Data!A:A,B21)</f>
        <v>120.91</v>
      </c>
    </row>
    <row r="22" spans="1:20" ht="13.8" x14ac:dyDescent="0.3">
      <c r="A22" s="103">
        <v>21</v>
      </c>
      <c r="B22" s="36" t="s">
        <v>54</v>
      </c>
      <c r="C22" s="37" t="str">
        <f>IF(SUMIFS(Data!$U:$U,Data!$A:$A,$B22,Data!$C:$C,C$1)=0,"",SUMIFS(Data!$U:$U,Data!$A:$A,$B22,Data!$C:$C,C$1))</f>
        <v/>
      </c>
      <c r="D22" s="37" t="str">
        <f>IF(SUMIFS(Data!$U:$U,Data!$A:$A,$B22,Data!$C:$C,D$1)=0,"",SUMIFS(Data!$U:$U,Data!$A:$A,$B22,Data!$C:$C,D$1))</f>
        <v/>
      </c>
      <c r="E22" s="37" t="str">
        <f>IF(SUMIFS(Data!$U:$U,Data!$A:$A,$B22,Data!$C:$C,E$1)=0,"",SUMIFS(Data!$U:$U,Data!$A:$A,$B22,Data!$C:$C,E$1))</f>
        <v/>
      </c>
      <c r="F22" s="37">
        <f>IF(SUMIFS(Data!$U:$U,Data!$A:$A,$B22,Data!$C:$C,F$1)=0,"",SUMIFS(Data!$U:$U,Data!$A:$A,$B22,Data!$C:$C,F$1))</f>
        <v>1.9928333333333332</v>
      </c>
      <c r="G22" s="37">
        <f>IF(SUMIFS(Data!$U:$U,Data!$A:$A,$B22,Data!$C:$C,G$1)=0,"",SUMIFS(Data!$U:$U,Data!$A:$A,$B22,Data!$C:$C,G$1))</f>
        <v>1.9434523809523809</v>
      </c>
      <c r="H22" s="37">
        <f>IF(SUMIFS(Data!$U:$U,Data!$A:$A,$B22,Data!$C:$C,H$1)=0,"",SUMIFS(Data!$U:$U,Data!$A:$A,$B22,Data!$C:$C,H$1))</f>
        <v>2.5869523809523809</v>
      </c>
      <c r="I22" s="37" t="str">
        <f>IF(SUMIFS(Data!$U:$U,Data!$A:$A,$B22,Data!$C:$C,I$1)=0,"",SUMIFS(Data!$U:$U,Data!$A:$A,$B22,Data!$C:$C,I$1))</f>
        <v/>
      </c>
      <c r="J22" s="37" t="str">
        <f>IF(SUMIFS(Data!$U:$U,Data!$A:$A,$B22,Data!$C:$C,J$1)=0,"",SUMIFS(Data!$U:$U,Data!$A:$A,$B22,Data!$C:$C,J$1))</f>
        <v/>
      </c>
      <c r="K22" s="37">
        <f>IF(SUMIFS(Data!$U:$U,Data!$A:$A,$B22,Data!$C:$C,K$1)=0,"",SUMIFS(Data!$U:$U,Data!$A:$A,$B22,Data!$C:$C,K$1))</f>
        <v>2.8361428571428569</v>
      </c>
      <c r="L22" s="37">
        <f>IF(SUMIFS(Data!$U:$U,Data!$A:$A,$B22,Data!$C:$C,L$1)=0,"",SUMIFS(Data!$U:$U,Data!$A:$A,$B22,Data!$C:$C,L$1))</f>
        <v>1.4589285714285714</v>
      </c>
      <c r="M22" s="37">
        <f>IF(SUMIFS(Data!$U:$U,Data!$A:$A,$B22,Data!$C:$C,M$1)=0,"",SUMIFS(Data!$U:$U,Data!$A:$A,$B22,Data!$C:$C,M$1))</f>
        <v>3.3180000000000001</v>
      </c>
      <c r="N22" s="37">
        <f>IF(SUMIFS(Data!$U:$U,Data!$A:$A,$B22,Data!$C:$C,N$1)=0,"",SUMIFS(Data!$U:$U,Data!$A:$A,$B22,Data!$C:$C,N$1))</f>
        <v>3.125</v>
      </c>
      <c r="O22" s="37" t="str">
        <f>IF(SUMIFS(Data!$U:$U,Data!$A:$A,$B22,Data!$C:$C,O$1)=0,"",SUMIFS(Data!$U:$U,Data!$A:$A,$B22,Data!$C:$C,O$1))</f>
        <v/>
      </c>
      <c r="P22" s="37" t="str">
        <f>IF(SUMIFS(Data!$U:$U,Data!$A:$A,$B22,Data!$C:$C,P$1)=0,"",SUMIFS(Data!$U:$U,Data!$A:$A,$B22,Data!$C:$C,P$1))</f>
        <v/>
      </c>
      <c r="Q22" s="37" t="str">
        <f>IF(SUMIFS(Data!$U:$U,Data!$A:$A,$B22,Data!$C:$C,Q$1)=0,"",SUMIFS(Data!$U:$U,Data!$A:$A,$B22,Data!$C:$C,Q$1))</f>
        <v/>
      </c>
      <c r="R22" s="37">
        <f>IF(SUMIFS(Data!Z:Z,Data!A:A,B22)&lt;5,0,IF(SUMIFS(Data!Z:Z,Data!A:A,B22)&gt;14,10,SUMIFS(Data!Z:Z,Data!A:A,B22)-4))</f>
        <v>3</v>
      </c>
      <c r="S22" s="37">
        <f t="shared" si="0"/>
        <v>20.261309523809523</v>
      </c>
      <c r="T22" s="37">
        <f>SUMIFS(Data!D:D,Data!A:A,B22)</f>
        <v>118.92</v>
      </c>
    </row>
    <row r="23" spans="1:20" ht="13.8" x14ac:dyDescent="0.3">
      <c r="A23" s="103">
        <v>22</v>
      </c>
      <c r="B23" s="36" t="s">
        <v>221</v>
      </c>
      <c r="C23" s="37" t="str">
        <f>IF(SUMIFS(Data!$U:$U,Data!$A:$A,$B23,Data!$C:$C,C$1)=0,"",SUMIFS(Data!$U:$U,Data!$A:$A,$B23,Data!$C:$C,C$1))</f>
        <v/>
      </c>
      <c r="D23" s="37">
        <f>IF(SUMIFS(Data!$U:$U,Data!$A:$A,$B23,Data!$C:$C,D$1)=0,"",SUMIFS(Data!$U:$U,Data!$A:$A,$B23,Data!$C:$C,D$1))</f>
        <v>2.6660714285714286</v>
      </c>
      <c r="E23" s="37" t="str">
        <f>IF(SUMIFS(Data!$U:$U,Data!$A:$A,$B23,Data!$C:$C,E$1)=0,"",SUMIFS(Data!$U:$U,Data!$A:$A,$B23,Data!$C:$C,E$1))</f>
        <v/>
      </c>
      <c r="F23" s="37">
        <f>IF(SUMIFS(Data!$U:$U,Data!$A:$A,$B23,Data!$C:$C,F$1)=0,"",SUMIFS(Data!$U:$U,Data!$A:$A,$B23,Data!$C:$C,F$1))</f>
        <v>3.4096666666666668</v>
      </c>
      <c r="G23" s="37" t="str">
        <f>IF(SUMIFS(Data!$U:$U,Data!$A:$A,$B23,Data!$C:$C,G$1)=0,"",SUMIFS(Data!$U:$U,Data!$A:$A,$B23,Data!$C:$C,G$1))</f>
        <v/>
      </c>
      <c r="H23" s="37">
        <f>IF(SUMIFS(Data!$U:$U,Data!$A:$A,$B23,Data!$C:$C,H$1)=0,"",SUMIFS(Data!$U:$U,Data!$A:$A,$B23,Data!$C:$C,H$1))</f>
        <v>2.3697619047619045</v>
      </c>
      <c r="I23" s="37" t="str">
        <f>IF(SUMIFS(Data!$U:$U,Data!$A:$A,$B23,Data!$C:$C,I$1)=0,"",SUMIFS(Data!$U:$U,Data!$A:$A,$B23,Data!$C:$C,I$1))</f>
        <v/>
      </c>
      <c r="J23" s="37" t="str">
        <f>IF(SUMIFS(Data!$U:$U,Data!$A:$A,$B23,Data!$C:$C,J$1)=0,"",SUMIFS(Data!$U:$U,Data!$A:$A,$B23,Data!$C:$C,J$1))</f>
        <v/>
      </c>
      <c r="K23" s="37" t="str">
        <f>IF(SUMIFS(Data!$U:$U,Data!$A:$A,$B23,Data!$C:$C,K$1)=0,"",SUMIFS(Data!$U:$U,Data!$A:$A,$B23,Data!$C:$C,K$1))</f>
        <v/>
      </c>
      <c r="L23" s="37" t="str">
        <f>IF(SUMIFS(Data!$U:$U,Data!$A:$A,$B23,Data!$C:$C,L$1)=0,"",SUMIFS(Data!$U:$U,Data!$A:$A,$B23,Data!$C:$C,L$1))</f>
        <v/>
      </c>
      <c r="M23" s="37" t="str">
        <f>IF(SUMIFS(Data!$U:$U,Data!$A:$A,$B23,Data!$C:$C,M$1)=0,"",SUMIFS(Data!$U:$U,Data!$A:$A,$B23,Data!$C:$C,M$1))</f>
        <v/>
      </c>
      <c r="N23" s="37" t="str">
        <f>IF(SUMIFS(Data!$U:$U,Data!$A:$A,$B23,Data!$C:$C,N$1)=0,"",SUMIFS(Data!$U:$U,Data!$A:$A,$B23,Data!$C:$C,N$1))</f>
        <v/>
      </c>
      <c r="O23" s="37">
        <f>IF(SUMIFS(Data!$U:$U,Data!$A:$A,$B23,Data!$C:$C,O$1)=0,"",SUMIFS(Data!$U:$U,Data!$A:$A,$B23,Data!$C:$C,O$1))</f>
        <v>5.4889999999999999</v>
      </c>
      <c r="P23" s="37" t="str">
        <f>IF(SUMIFS(Data!$U:$U,Data!$A:$A,$B23,Data!$C:$C,P$1)=0,"",SUMIFS(Data!$U:$U,Data!$A:$A,$B23,Data!$C:$C,P$1))</f>
        <v/>
      </c>
      <c r="Q23" s="37" t="str">
        <f>IF(SUMIFS(Data!$U:$U,Data!$A:$A,$B23,Data!$C:$C,Q$1)=0,"",SUMIFS(Data!$U:$U,Data!$A:$A,$B23,Data!$C:$C,Q$1))</f>
        <v/>
      </c>
      <c r="R23" s="37">
        <f>IF(SUMIFS(Data!Z:Z,Data!A:A,B23)&lt;5,0,IF(SUMIFS(Data!Z:Z,Data!A:A,B23)&gt;14,10,SUMIFS(Data!Z:Z,Data!A:A,B23)-4))</f>
        <v>0</v>
      </c>
      <c r="S23" s="37">
        <f t="shared" si="0"/>
        <v>13.9345</v>
      </c>
      <c r="T23" s="37">
        <f>SUMIFS(Data!D:D,Data!A:A,B23)</f>
        <v>85.6</v>
      </c>
    </row>
    <row r="24" spans="1:20" ht="13.8" x14ac:dyDescent="0.3">
      <c r="A24" s="103">
        <v>23</v>
      </c>
      <c r="B24" s="36" t="s">
        <v>59</v>
      </c>
      <c r="C24" s="37">
        <f>IF(SUMIFS(Data!$U:$U,Data!$A:$A,$B24,Data!$C:$C,C$1)=0,"",SUMIFS(Data!$U:$U,Data!$A:$A,$B24,Data!$C:$C,C$1))</f>
        <v>1.7220238095238094</v>
      </c>
      <c r="D24" s="37" t="str">
        <f>IF(SUMIFS(Data!$U:$U,Data!$A:$A,$B24,Data!$C:$C,D$1)=0,"",SUMIFS(Data!$U:$U,Data!$A:$A,$B24,Data!$C:$C,D$1))</f>
        <v/>
      </c>
      <c r="E24" s="37" t="str">
        <f>IF(SUMIFS(Data!$U:$U,Data!$A:$A,$B24,Data!$C:$C,E$1)=0,"",SUMIFS(Data!$U:$U,Data!$A:$A,$B24,Data!$C:$C,E$1))</f>
        <v/>
      </c>
      <c r="F24" s="37" t="str">
        <f>IF(SUMIFS(Data!$U:$U,Data!$A:$A,$B24,Data!$C:$C,F$1)=0,"",SUMIFS(Data!$U:$U,Data!$A:$A,$B24,Data!$C:$C,F$1))</f>
        <v/>
      </c>
      <c r="G24" s="37">
        <f>IF(SUMIFS(Data!$U:$U,Data!$A:$A,$B24,Data!$C:$C,G$1)=0,"",SUMIFS(Data!$U:$U,Data!$A:$A,$B24,Data!$C:$C,G$1))</f>
        <v>2.875</v>
      </c>
      <c r="H24" s="37">
        <f>IF(SUMIFS(Data!$U:$U,Data!$A:$A,$B24,Data!$C:$C,H$1)=0,"",SUMIFS(Data!$U:$U,Data!$A:$A,$B24,Data!$C:$C,H$1))</f>
        <v>2.0773809523809526</v>
      </c>
      <c r="I24" s="37" t="str">
        <f>IF(SUMIFS(Data!$U:$U,Data!$A:$A,$B24,Data!$C:$C,I$1)=0,"",SUMIFS(Data!$U:$U,Data!$A:$A,$B24,Data!$C:$C,I$1))</f>
        <v/>
      </c>
      <c r="J24" s="37">
        <f>IF(SUMIFS(Data!$U:$U,Data!$A:$A,$B24,Data!$C:$C,J$1)=0,"",SUMIFS(Data!$U:$U,Data!$A:$A,$B24,Data!$C:$C,J$1))</f>
        <v>2.8441904761904762</v>
      </c>
      <c r="K24" s="37" t="str">
        <f>IF(SUMIFS(Data!$U:$U,Data!$A:$A,$B24,Data!$C:$C,K$1)=0,"",SUMIFS(Data!$U:$U,Data!$A:$A,$B24,Data!$C:$C,K$1))</f>
        <v/>
      </c>
      <c r="L24" s="37" t="str">
        <f>IF(SUMIFS(Data!$U:$U,Data!$A:$A,$B24,Data!$C:$C,L$1)=0,"",SUMIFS(Data!$U:$U,Data!$A:$A,$B24,Data!$C:$C,L$1))</f>
        <v/>
      </c>
      <c r="M24" s="37" t="str">
        <f>IF(SUMIFS(Data!$U:$U,Data!$A:$A,$B24,Data!$C:$C,M$1)=0,"",SUMIFS(Data!$U:$U,Data!$A:$A,$B24,Data!$C:$C,M$1))</f>
        <v/>
      </c>
      <c r="N24" s="37" t="str">
        <f>IF(SUMIFS(Data!$U:$U,Data!$A:$A,$B24,Data!$C:$C,N$1)=0,"",SUMIFS(Data!$U:$U,Data!$A:$A,$B24,Data!$C:$C,N$1))</f>
        <v/>
      </c>
      <c r="O24" s="37" t="str">
        <f>IF(SUMIFS(Data!$U:$U,Data!$A:$A,$B24,Data!$C:$C,O$1)=0,"",SUMIFS(Data!$U:$U,Data!$A:$A,$B24,Data!$C:$C,O$1))</f>
        <v/>
      </c>
      <c r="P24" s="37" t="str">
        <f>IF(SUMIFS(Data!$U:$U,Data!$A:$A,$B24,Data!$C:$C,P$1)=0,"",SUMIFS(Data!$U:$U,Data!$A:$A,$B24,Data!$C:$C,P$1))</f>
        <v/>
      </c>
      <c r="Q24" s="37" t="str">
        <f>IF(SUMIFS(Data!$U:$U,Data!$A:$A,$B24,Data!$C:$C,Q$1)=0,"",SUMIFS(Data!$U:$U,Data!$A:$A,$B24,Data!$C:$C,Q$1))</f>
        <v/>
      </c>
      <c r="R24" s="37">
        <f>IF(SUMIFS(Data!Z:Z,Data!A:A,B24)&lt;5,0,IF(SUMIFS(Data!Z:Z,Data!A:A,B24)&gt;14,10,SUMIFS(Data!Z:Z,Data!A:A,B24)-4))</f>
        <v>0</v>
      </c>
      <c r="S24" s="37">
        <f t="shared" si="0"/>
        <v>9.518595238095239</v>
      </c>
      <c r="T24" s="37">
        <f>SUMIFS(Data!D:D,Data!A:A,B24)</f>
        <v>58.480000000000004</v>
      </c>
    </row>
    <row r="25" spans="1:20" ht="13.8" x14ac:dyDescent="0.3">
      <c r="A25" s="103">
        <v>24</v>
      </c>
      <c r="B25" s="36"/>
      <c r="C25" s="37" t="str">
        <f>IF(SUMIFS(Data!$U:$U,Data!$A:$A,$B25,Data!$C:$C,C$1)=0,"",SUMIFS(Data!$U:$U,Data!$A:$A,$B25,Data!$C:$C,C$1))</f>
        <v/>
      </c>
      <c r="D25" s="37" t="str">
        <f>IF(SUMIFS(Data!$U:$U,Data!$A:$A,$B25,Data!$C:$C,D$1)=0,"",SUMIFS(Data!$U:$U,Data!$A:$A,$B25,Data!$C:$C,D$1))</f>
        <v/>
      </c>
      <c r="E25" s="37" t="str">
        <f>IF(SUMIFS(Data!$U:$U,Data!$A:$A,$B25,Data!$C:$C,E$1)=0,"",SUMIFS(Data!$U:$U,Data!$A:$A,$B25,Data!$C:$C,E$1))</f>
        <v/>
      </c>
      <c r="F25" s="37" t="str">
        <f>IF(SUMIFS(Data!$U:$U,Data!$A:$A,$B25,Data!$C:$C,F$1)=0,"",SUMIFS(Data!$U:$U,Data!$A:$A,$B25,Data!$C:$C,F$1))</f>
        <v/>
      </c>
      <c r="G25" s="37" t="str">
        <f>IF(SUMIFS(Data!$U:$U,Data!$A:$A,$B25,Data!$C:$C,G$1)=0,"",SUMIFS(Data!$U:$U,Data!$A:$A,$B25,Data!$C:$C,G$1))</f>
        <v/>
      </c>
      <c r="H25" s="37" t="str">
        <f>IF(SUMIFS(Data!$U:$U,Data!$A:$A,$B25,Data!$C:$C,H$1)=0,"",SUMIFS(Data!$U:$U,Data!$A:$A,$B25,Data!$C:$C,H$1))</f>
        <v/>
      </c>
      <c r="I25" s="37" t="str">
        <f>IF(SUMIFS(Data!$U:$U,Data!$A:$A,$B25,Data!$C:$C,I$1)=0,"",SUMIFS(Data!$U:$U,Data!$A:$A,$B25,Data!$C:$C,I$1))</f>
        <v/>
      </c>
      <c r="J25" s="37" t="str">
        <f>IF(SUMIFS(Data!$U:$U,Data!$A:$A,$B25,Data!$C:$C,J$1)=0,"",SUMIFS(Data!$U:$U,Data!$A:$A,$B25,Data!$C:$C,J$1))</f>
        <v/>
      </c>
      <c r="K25" s="37" t="str">
        <f>IF(SUMIFS(Data!$U:$U,Data!$A:$A,$B25,Data!$C:$C,K$1)=0,"",SUMIFS(Data!$U:$U,Data!$A:$A,$B25,Data!$C:$C,K$1))</f>
        <v/>
      </c>
      <c r="L25" s="37" t="str">
        <f>IF(SUMIFS(Data!$U:$U,Data!$A:$A,$B25,Data!$C:$C,L$1)=0,"",SUMIFS(Data!$U:$U,Data!$A:$A,$B25,Data!$C:$C,L$1))</f>
        <v/>
      </c>
      <c r="M25" s="37" t="str">
        <f>IF(SUMIFS(Data!$U:$U,Data!$A:$A,$B25,Data!$C:$C,M$1)=0,"",SUMIFS(Data!$U:$U,Data!$A:$A,$B25,Data!$C:$C,M$1))</f>
        <v/>
      </c>
      <c r="N25" s="37" t="str">
        <f>IF(SUMIFS(Data!$U:$U,Data!$A:$A,$B25,Data!$C:$C,N$1)=0,"",SUMIFS(Data!$U:$U,Data!$A:$A,$B25,Data!$C:$C,N$1))</f>
        <v/>
      </c>
      <c r="O25" s="37" t="str">
        <f>IF(SUMIFS(Data!$U:$U,Data!$A:$A,$B25,Data!$C:$C,O$1)=0,"",SUMIFS(Data!$U:$U,Data!$A:$A,$B25,Data!$C:$C,O$1))</f>
        <v/>
      </c>
      <c r="P25" s="37" t="str">
        <f>IF(SUMIFS(Data!$U:$U,Data!$A:$A,$B25,Data!$C:$C,P$1)=0,"",SUMIFS(Data!$U:$U,Data!$A:$A,$B25,Data!$C:$C,P$1))</f>
        <v/>
      </c>
      <c r="Q25" s="37" t="str">
        <f>IF(SUMIFS(Data!$U:$U,Data!$A:$A,$B25,Data!$C:$C,Q$1)=0,"",SUMIFS(Data!$U:$U,Data!$A:$A,$B25,Data!$C:$C,Q$1))</f>
        <v/>
      </c>
      <c r="R25" s="37">
        <f>IF(SUMIFS(Data!Z:Z,Data!A:A,B25)&lt;5,0,IF(SUMIFS(Data!Z:Z,Data!A:A,B25)&gt;14,10,SUMIFS(Data!Z:Z,Data!A:A,B25)-4))</f>
        <v>0</v>
      </c>
      <c r="S25" s="37">
        <f t="shared" ref="S3:S29" si="1">SUM(C25:R25)</f>
        <v>0</v>
      </c>
      <c r="T25" s="37">
        <f>SUMIFS(Data!D:D,Data!A:A,B25)</f>
        <v>0</v>
      </c>
    </row>
    <row r="26" spans="1:20" ht="13.8" x14ac:dyDescent="0.3">
      <c r="A26" s="103">
        <v>25</v>
      </c>
      <c r="B26" s="36"/>
      <c r="C26" s="37" t="str">
        <f>IF(SUMIFS(Data!$U:$U,Data!$A:$A,$B26,Data!$C:$C,C$1)=0,"",SUMIFS(Data!$U:$U,Data!$A:$A,$B26,Data!$C:$C,C$1))</f>
        <v/>
      </c>
      <c r="D26" s="37" t="str">
        <f>IF(SUMIFS(Data!$U:$U,Data!$A:$A,$B26,Data!$C:$C,D$1)=0,"",SUMIFS(Data!$U:$U,Data!$A:$A,$B26,Data!$C:$C,D$1))</f>
        <v/>
      </c>
      <c r="E26" s="37" t="str">
        <f>IF(SUMIFS(Data!$U:$U,Data!$A:$A,$B26,Data!$C:$C,E$1)=0,"",SUMIFS(Data!$U:$U,Data!$A:$A,$B26,Data!$C:$C,E$1))</f>
        <v/>
      </c>
      <c r="F26" s="37" t="str">
        <f>IF(SUMIFS(Data!$U:$U,Data!$A:$A,$B26,Data!$C:$C,F$1)=0,"",SUMIFS(Data!$U:$U,Data!$A:$A,$B26,Data!$C:$C,F$1))</f>
        <v/>
      </c>
      <c r="G26" s="37" t="str">
        <f>IF(SUMIFS(Data!$U:$U,Data!$A:$A,$B26,Data!$C:$C,G$1)=0,"",SUMIFS(Data!$U:$U,Data!$A:$A,$B26,Data!$C:$C,G$1))</f>
        <v/>
      </c>
      <c r="H26" s="37" t="str">
        <f>IF(SUMIFS(Data!$U:$U,Data!$A:$A,$B26,Data!$C:$C,H$1)=0,"",SUMIFS(Data!$U:$U,Data!$A:$A,$B26,Data!$C:$C,H$1))</f>
        <v/>
      </c>
      <c r="I26" s="37" t="str">
        <f>IF(SUMIFS(Data!$U:$U,Data!$A:$A,$B26,Data!$C:$C,I$1)=0,"",SUMIFS(Data!$U:$U,Data!$A:$A,$B26,Data!$C:$C,I$1))</f>
        <v/>
      </c>
      <c r="J26" s="37" t="str">
        <f>IF(SUMIFS(Data!$U:$U,Data!$A:$A,$B26,Data!$C:$C,J$1)=0,"",SUMIFS(Data!$U:$U,Data!$A:$A,$B26,Data!$C:$C,J$1))</f>
        <v/>
      </c>
      <c r="K26" s="37" t="str">
        <f>IF(SUMIFS(Data!$U:$U,Data!$A:$A,$B26,Data!$C:$C,K$1)=0,"",SUMIFS(Data!$U:$U,Data!$A:$A,$B26,Data!$C:$C,K$1))</f>
        <v/>
      </c>
      <c r="L26" s="37" t="str">
        <f>IF(SUMIFS(Data!$U:$U,Data!$A:$A,$B26,Data!$C:$C,L$1)=0,"",SUMIFS(Data!$U:$U,Data!$A:$A,$B26,Data!$C:$C,L$1))</f>
        <v/>
      </c>
      <c r="M26" s="37" t="str">
        <f>IF(SUMIFS(Data!$U:$U,Data!$A:$A,$B26,Data!$C:$C,M$1)=0,"",SUMIFS(Data!$U:$U,Data!$A:$A,$B26,Data!$C:$C,M$1))</f>
        <v/>
      </c>
      <c r="N26" s="37" t="str">
        <f>IF(SUMIFS(Data!$U:$U,Data!$A:$A,$B26,Data!$C:$C,N$1)=0,"",SUMIFS(Data!$U:$U,Data!$A:$A,$B26,Data!$C:$C,N$1))</f>
        <v/>
      </c>
      <c r="O26" s="37" t="str">
        <f>IF(SUMIFS(Data!$U:$U,Data!$A:$A,$B26,Data!$C:$C,O$1)=0,"",SUMIFS(Data!$U:$U,Data!$A:$A,$B26,Data!$C:$C,O$1))</f>
        <v/>
      </c>
      <c r="P26" s="37" t="str">
        <f>IF(SUMIFS(Data!$U:$U,Data!$A:$A,$B26,Data!$C:$C,P$1)=0,"",SUMIFS(Data!$U:$U,Data!$A:$A,$B26,Data!$C:$C,P$1))</f>
        <v/>
      </c>
      <c r="Q26" s="37" t="str">
        <f>IF(SUMIFS(Data!$U:$U,Data!$A:$A,$B26,Data!$C:$C,Q$1)=0,"",SUMIFS(Data!$U:$U,Data!$A:$A,$B26,Data!$C:$C,Q$1))</f>
        <v/>
      </c>
      <c r="R26" s="37">
        <f>IF(SUMIFS(Data!Z:Z,Data!A:A,B26)&lt;5,0,IF(SUMIFS(Data!Z:Z,Data!A:A,B26)&gt;14,10,SUMIFS(Data!Z:Z,Data!A:A,B26)-4))</f>
        <v>0</v>
      </c>
      <c r="S26" s="37">
        <f t="shared" si="1"/>
        <v>0</v>
      </c>
      <c r="T26" s="37">
        <f>SUMIFS(Data!D:D,Data!A:A,B26)</f>
        <v>0</v>
      </c>
    </row>
    <row r="27" spans="1:20" ht="13.8" x14ac:dyDescent="0.3">
      <c r="A27" s="103">
        <v>26</v>
      </c>
      <c r="B27" s="36"/>
      <c r="C27" s="37" t="str">
        <f>IF(SUMIFS(Data!$U:$U,Data!$A:$A,$B27,Data!$C:$C,C$1)=0,"",SUMIFS(Data!$U:$U,Data!$A:$A,$B27,Data!$C:$C,C$1))</f>
        <v/>
      </c>
      <c r="D27" s="37" t="str">
        <f>IF(SUMIFS(Data!$U:$U,Data!$A:$A,$B27,Data!$C:$C,D$1)=0,"",SUMIFS(Data!$U:$U,Data!$A:$A,$B27,Data!$C:$C,D$1))</f>
        <v/>
      </c>
      <c r="E27" s="37" t="str">
        <f>IF(SUMIFS(Data!$U:$U,Data!$A:$A,$B27,Data!$C:$C,E$1)=0,"",SUMIFS(Data!$U:$U,Data!$A:$A,$B27,Data!$C:$C,E$1))</f>
        <v/>
      </c>
      <c r="F27" s="37" t="str">
        <f>IF(SUMIFS(Data!$U:$U,Data!$A:$A,$B27,Data!$C:$C,F$1)=0,"",SUMIFS(Data!$U:$U,Data!$A:$A,$B27,Data!$C:$C,F$1))</f>
        <v/>
      </c>
      <c r="G27" s="37" t="str">
        <f>IF(SUMIFS(Data!$U:$U,Data!$A:$A,$B27,Data!$C:$C,G$1)=0,"",SUMIFS(Data!$U:$U,Data!$A:$A,$B27,Data!$C:$C,G$1))</f>
        <v/>
      </c>
      <c r="H27" s="37" t="str">
        <f>IF(SUMIFS(Data!$U:$U,Data!$A:$A,$B27,Data!$C:$C,H$1)=0,"",SUMIFS(Data!$U:$U,Data!$A:$A,$B27,Data!$C:$C,H$1))</f>
        <v/>
      </c>
      <c r="I27" s="37" t="str">
        <f>IF(SUMIFS(Data!$U:$U,Data!$A:$A,$B27,Data!$C:$C,I$1)=0,"",SUMIFS(Data!$U:$U,Data!$A:$A,$B27,Data!$C:$C,I$1))</f>
        <v/>
      </c>
      <c r="J27" s="37" t="str">
        <f>IF(SUMIFS(Data!$U:$U,Data!$A:$A,$B27,Data!$C:$C,J$1)=0,"",SUMIFS(Data!$U:$U,Data!$A:$A,$B27,Data!$C:$C,J$1))</f>
        <v/>
      </c>
      <c r="K27" s="37" t="str">
        <f>IF(SUMIFS(Data!$U:$U,Data!$A:$A,$B27,Data!$C:$C,K$1)=0,"",SUMIFS(Data!$U:$U,Data!$A:$A,$B27,Data!$C:$C,K$1))</f>
        <v/>
      </c>
      <c r="L27" s="37" t="str">
        <f>IF(SUMIFS(Data!$U:$U,Data!$A:$A,$B27,Data!$C:$C,L$1)=0,"",SUMIFS(Data!$U:$U,Data!$A:$A,$B27,Data!$C:$C,L$1))</f>
        <v/>
      </c>
      <c r="M27" s="37" t="str">
        <f>IF(SUMIFS(Data!$U:$U,Data!$A:$A,$B27,Data!$C:$C,M$1)=0,"",SUMIFS(Data!$U:$U,Data!$A:$A,$B27,Data!$C:$C,M$1))</f>
        <v/>
      </c>
      <c r="N27" s="37" t="str">
        <f>IF(SUMIFS(Data!$U:$U,Data!$A:$A,$B27,Data!$C:$C,N$1)=0,"",SUMIFS(Data!$U:$U,Data!$A:$A,$B27,Data!$C:$C,N$1))</f>
        <v/>
      </c>
      <c r="O27" s="37" t="str">
        <f>IF(SUMIFS(Data!$U:$U,Data!$A:$A,$B27,Data!$C:$C,O$1)=0,"",SUMIFS(Data!$U:$U,Data!$A:$A,$B27,Data!$C:$C,O$1))</f>
        <v/>
      </c>
      <c r="P27" s="37" t="str">
        <f>IF(SUMIFS(Data!$U:$U,Data!$A:$A,$B27,Data!$C:$C,P$1)=0,"",SUMIFS(Data!$U:$U,Data!$A:$A,$B27,Data!$C:$C,P$1))</f>
        <v/>
      </c>
      <c r="Q27" s="37" t="str">
        <f>IF(SUMIFS(Data!$U:$U,Data!$A:$A,$B27,Data!$C:$C,Q$1)=0,"",SUMIFS(Data!$U:$U,Data!$A:$A,$B27,Data!$C:$C,Q$1))</f>
        <v/>
      </c>
      <c r="R27" s="37">
        <f>IF(SUMIFS(Data!Z:Z,Data!A:A,B27)&lt;5,0,IF(SUMIFS(Data!Z:Z,Data!A:A,B27)&gt;14,10,SUMIFS(Data!Z:Z,Data!A:A,B27)-4))</f>
        <v>0</v>
      </c>
      <c r="S27" s="37">
        <f t="shared" si="1"/>
        <v>0</v>
      </c>
      <c r="T27" s="37">
        <f>SUMIFS(Data!D:D,Data!A:A,B27)</f>
        <v>0</v>
      </c>
    </row>
    <row r="28" spans="1:20" ht="13.8" x14ac:dyDescent="0.3">
      <c r="A28" s="103">
        <v>27</v>
      </c>
      <c r="B28" s="36"/>
      <c r="C28" s="37" t="str">
        <f>IF(SUMIFS(Data!$U:$U,Data!$A:$A,$B28,Data!$C:$C,C$1)=0,"",SUMIFS(Data!$U:$U,Data!$A:$A,$B28,Data!$C:$C,C$1))</f>
        <v/>
      </c>
      <c r="D28" s="37" t="str">
        <f>IF(SUMIFS(Data!$U:$U,Data!$A:$A,$B28,Data!$C:$C,D$1)=0,"",SUMIFS(Data!$U:$U,Data!$A:$A,$B28,Data!$C:$C,D$1))</f>
        <v/>
      </c>
      <c r="E28" s="37" t="str">
        <f>IF(SUMIFS(Data!$U:$U,Data!$A:$A,$B28,Data!$C:$C,E$1)=0,"",SUMIFS(Data!$U:$U,Data!$A:$A,$B28,Data!$C:$C,E$1))</f>
        <v/>
      </c>
      <c r="F28" s="37" t="str">
        <f>IF(SUMIFS(Data!$U:$U,Data!$A:$A,$B28,Data!$C:$C,F$1)=0,"",SUMIFS(Data!$U:$U,Data!$A:$A,$B28,Data!$C:$C,F$1))</f>
        <v/>
      </c>
      <c r="G28" s="37" t="str">
        <f>IF(SUMIFS(Data!$U:$U,Data!$A:$A,$B28,Data!$C:$C,G$1)=0,"",SUMIFS(Data!$U:$U,Data!$A:$A,$B28,Data!$C:$C,G$1))</f>
        <v/>
      </c>
      <c r="H28" s="37" t="str">
        <f>IF(SUMIFS(Data!$U:$U,Data!$A:$A,$B28,Data!$C:$C,H$1)=0,"",SUMIFS(Data!$U:$U,Data!$A:$A,$B28,Data!$C:$C,H$1))</f>
        <v/>
      </c>
      <c r="I28" s="37" t="str">
        <f>IF(SUMIFS(Data!$U:$U,Data!$A:$A,$B28,Data!$C:$C,I$1)=0,"",SUMIFS(Data!$U:$U,Data!$A:$A,$B28,Data!$C:$C,I$1))</f>
        <v/>
      </c>
      <c r="J28" s="37" t="str">
        <f>IF(SUMIFS(Data!$U:$U,Data!$A:$A,$B28,Data!$C:$C,J$1)=0,"",SUMIFS(Data!$U:$U,Data!$A:$A,$B28,Data!$C:$C,J$1))</f>
        <v/>
      </c>
      <c r="K28" s="37" t="str">
        <f>IF(SUMIFS(Data!$U:$U,Data!$A:$A,$B28,Data!$C:$C,K$1)=0,"",SUMIFS(Data!$U:$U,Data!$A:$A,$B28,Data!$C:$C,K$1))</f>
        <v/>
      </c>
      <c r="L28" s="37" t="str">
        <f>IF(SUMIFS(Data!$U:$U,Data!$A:$A,$B28,Data!$C:$C,L$1)=0,"",SUMIFS(Data!$U:$U,Data!$A:$A,$B28,Data!$C:$C,L$1))</f>
        <v/>
      </c>
      <c r="M28" s="37" t="str">
        <f>IF(SUMIFS(Data!$U:$U,Data!$A:$A,$B28,Data!$C:$C,M$1)=0,"",SUMIFS(Data!$U:$U,Data!$A:$A,$B28,Data!$C:$C,M$1))</f>
        <v/>
      </c>
      <c r="N28" s="37" t="str">
        <f>IF(SUMIFS(Data!$U:$U,Data!$A:$A,$B28,Data!$C:$C,N$1)=0,"",SUMIFS(Data!$U:$U,Data!$A:$A,$B28,Data!$C:$C,N$1))</f>
        <v/>
      </c>
      <c r="O28" s="37" t="str">
        <f>IF(SUMIFS(Data!$U:$U,Data!$A:$A,$B28,Data!$C:$C,O$1)=0,"",SUMIFS(Data!$U:$U,Data!$A:$A,$B28,Data!$C:$C,O$1))</f>
        <v/>
      </c>
      <c r="P28" s="37" t="str">
        <f>IF(SUMIFS(Data!$U:$U,Data!$A:$A,$B28,Data!$C:$C,P$1)=0,"",SUMIFS(Data!$U:$U,Data!$A:$A,$B28,Data!$C:$C,P$1))</f>
        <v/>
      </c>
      <c r="Q28" s="37" t="str">
        <f>IF(SUMIFS(Data!$U:$U,Data!$A:$A,$B28,Data!$C:$C,Q$1)=0,"",SUMIFS(Data!$U:$U,Data!$A:$A,$B28,Data!$C:$C,Q$1))</f>
        <v/>
      </c>
      <c r="R28" s="37">
        <f>IF(SUMIFS(Data!Z:Z,Data!A:A,B28)&lt;5,0,IF(SUMIFS(Data!Z:Z,Data!A:A,B28)&gt;14,10,SUMIFS(Data!Z:Z,Data!A:A,B28)-4))</f>
        <v>0</v>
      </c>
      <c r="S28" s="37">
        <f t="shared" si="1"/>
        <v>0</v>
      </c>
      <c r="T28" s="37">
        <f>SUMIFS(Data!D:D,Data!A:A,B28)</f>
        <v>0</v>
      </c>
    </row>
    <row r="29" spans="1:20" ht="13.8" x14ac:dyDescent="0.3">
      <c r="A29" s="103">
        <v>28</v>
      </c>
      <c r="B29" s="36"/>
      <c r="C29" s="37" t="str">
        <f>IF(SUMIFS(Data!$U:$U,Data!$A:$A,$B29,Data!$C:$C,C$1)=0,"",SUMIFS(Data!$U:$U,Data!$A:$A,$B29,Data!$C:$C,C$1))</f>
        <v/>
      </c>
      <c r="D29" s="37" t="str">
        <f>IF(SUMIFS(Data!$U:$U,Data!$A:$A,$B29,Data!$C:$C,D$1)=0,"",SUMIFS(Data!$U:$U,Data!$A:$A,$B29,Data!$C:$C,D$1))</f>
        <v/>
      </c>
      <c r="E29" s="37" t="str">
        <f>IF(SUMIFS(Data!$U:$U,Data!$A:$A,$B29,Data!$C:$C,E$1)=0,"",SUMIFS(Data!$U:$U,Data!$A:$A,$B29,Data!$C:$C,E$1))</f>
        <v/>
      </c>
      <c r="F29" s="37" t="str">
        <f>IF(SUMIFS(Data!$U:$U,Data!$A:$A,$B29,Data!$C:$C,F$1)=0,"",SUMIFS(Data!$U:$U,Data!$A:$A,$B29,Data!$C:$C,F$1))</f>
        <v/>
      </c>
      <c r="G29" s="37" t="str">
        <f>IF(SUMIFS(Data!$U:$U,Data!$A:$A,$B29,Data!$C:$C,G$1)=0,"",SUMIFS(Data!$U:$U,Data!$A:$A,$B29,Data!$C:$C,G$1))</f>
        <v/>
      </c>
      <c r="H29" s="37" t="str">
        <f>IF(SUMIFS(Data!$U:$U,Data!$A:$A,$B29,Data!$C:$C,H$1)=0,"",SUMIFS(Data!$U:$U,Data!$A:$A,$B29,Data!$C:$C,H$1))</f>
        <v/>
      </c>
      <c r="I29" s="37" t="str">
        <f>IF(SUMIFS(Data!$U:$U,Data!$A:$A,$B29,Data!$C:$C,I$1)=0,"",SUMIFS(Data!$U:$U,Data!$A:$A,$B29,Data!$C:$C,I$1))</f>
        <v/>
      </c>
      <c r="J29" s="37" t="str">
        <f>IF(SUMIFS(Data!$U:$U,Data!$A:$A,$B29,Data!$C:$C,J$1)=0,"",SUMIFS(Data!$U:$U,Data!$A:$A,$B29,Data!$C:$C,J$1))</f>
        <v/>
      </c>
      <c r="K29" s="37" t="str">
        <f>IF(SUMIFS(Data!$U:$U,Data!$A:$A,$B29,Data!$C:$C,K$1)=0,"",SUMIFS(Data!$U:$U,Data!$A:$A,$B29,Data!$C:$C,K$1))</f>
        <v/>
      </c>
      <c r="L29" s="37" t="str">
        <f>IF(SUMIFS(Data!$U:$U,Data!$A:$A,$B29,Data!$C:$C,L$1)=0,"",SUMIFS(Data!$U:$U,Data!$A:$A,$B29,Data!$C:$C,L$1))</f>
        <v/>
      </c>
      <c r="M29" s="37" t="str">
        <f>IF(SUMIFS(Data!$U:$U,Data!$A:$A,$B29,Data!$C:$C,M$1)=0,"",SUMIFS(Data!$U:$U,Data!$A:$A,$B29,Data!$C:$C,M$1))</f>
        <v/>
      </c>
      <c r="N29" s="37" t="str">
        <f>IF(SUMIFS(Data!$U:$U,Data!$A:$A,$B29,Data!$C:$C,N$1)=0,"",SUMIFS(Data!$U:$U,Data!$A:$A,$B29,Data!$C:$C,N$1))</f>
        <v/>
      </c>
      <c r="O29" s="37" t="str">
        <f>IF(SUMIFS(Data!$U:$U,Data!$A:$A,$B29,Data!$C:$C,O$1)=0,"",SUMIFS(Data!$U:$U,Data!$A:$A,$B29,Data!$C:$C,O$1))</f>
        <v/>
      </c>
      <c r="P29" s="37" t="str">
        <f>IF(SUMIFS(Data!$U:$U,Data!$A:$A,$B29,Data!$C:$C,P$1)=0,"",SUMIFS(Data!$U:$U,Data!$A:$A,$B29,Data!$C:$C,P$1))</f>
        <v/>
      </c>
      <c r="Q29" s="37" t="str">
        <f>IF(SUMIFS(Data!$U:$U,Data!$A:$A,$B29,Data!$C:$C,Q$1)=0,"",SUMIFS(Data!$U:$U,Data!$A:$A,$B29,Data!$C:$C,Q$1))</f>
        <v/>
      </c>
      <c r="R29" s="37">
        <f>IF(SUMIFS(Data!Z:Z,Data!A:A,B29)&lt;5,0,IF(SUMIFS(Data!Z:Z,Data!A:A,B29)&gt;14,10,SUMIFS(Data!Z:Z,Data!A:A,B29)-4))</f>
        <v>0</v>
      </c>
      <c r="S29" s="37">
        <f t="shared" si="1"/>
        <v>0</v>
      </c>
      <c r="T29" s="37">
        <f>SUMIFS(Data!D:D,Data!A:A,B29)</f>
        <v>0</v>
      </c>
    </row>
    <row r="30" spans="1:20" ht="13.8" x14ac:dyDescent="0.3">
      <c r="A30" s="103">
        <v>29</v>
      </c>
      <c r="B30" s="36"/>
      <c r="C30" s="37" t="str">
        <f>IF(SUMIFS(Data!$U:$U,Data!$A:$A,$B30,Data!$C:$C,C$1)=0,"",SUMIFS(Data!$U:$U,Data!$A:$A,$B30,Data!$C:$C,C$1))</f>
        <v/>
      </c>
      <c r="D30" s="37" t="str">
        <f>IF(SUMIFS(Data!$U:$U,Data!$A:$A,$B30,Data!$C:$C,D$1)=0,"",SUMIFS(Data!$U:$U,Data!$A:$A,$B30,Data!$C:$C,D$1))</f>
        <v/>
      </c>
      <c r="E30" s="37" t="str">
        <f>IF(SUMIFS(Data!$U:$U,Data!$A:$A,$B30,Data!$C:$C,E$1)=0,"",SUMIFS(Data!$U:$U,Data!$A:$A,$B30,Data!$C:$C,E$1))</f>
        <v/>
      </c>
      <c r="F30" s="37" t="str">
        <f>IF(SUMIFS(Data!$U:$U,Data!$A:$A,$B30,Data!$C:$C,F$1)=0,"",SUMIFS(Data!$U:$U,Data!$A:$A,$B30,Data!$C:$C,F$1))</f>
        <v/>
      </c>
      <c r="G30" s="37" t="str">
        <f>IF(SUMIFS(Data!$U:$U,Data!$A:$A,$B30,Data!$C:$C,G$1)=0,"",SUMIFS(Data!$U:$U,Data!$A:$A,$B30,Data!$C:$C,G$1))</f>
        <v/>
      </c>
      <c r="H30" s="37" t="str">
        <f>IF(SUMIFS(Data!$U:$U,Data!$A:$A,$B30,Data!$C:$C,H$1)=0,"",SUMIFS(Data!$U:$U,Data!$A:$A,$B30,Data!$C:$C,H$1))</f>
        <v/>
      </c>
      <c r="I30" s="37" t="str">
        <f>IF(SUMIFS(Data!$U:$U,Data!$A:$A,$B30,Data!$C:$C,I$1)=0,"",SUMIFS(Data!$U:$U,Data!$A:$A,$B30,Data!$C:$C,I$1))</f>
        <v/>
      </c>
      <c r="J30" s="37" t="str">
        <f>IF(SUMIFS(Data!$U:$U,Data!$A:$A,$B30,Data!$C:$C,J$1)=0,"",SUMIFS(Data!$U:$U,Data!$A:$A,$B30,Data!$C:$C,J$1))</f>
        <v/>
      </c>
      <c r="K30" s="37" t="str">
        <f>IF(SUMIFS(Data!$U:$U,Data!$A:$A,$B30,Data!$C:$C,K$1)=0,"",SUMIFS(Data!$U:$U,Data!$A:$A,$B30,Data!$C:$C,K$1))</f>
        <v/>
      </c>
      <c r="L30" s="37" t="str">
        <f>IF(SUMIFS(Data!$U:$U,Data!$A:$A,$B30,Data!$C:$C,L$1)=0,"",SUMIFS(Data!$U:$U,Data!$A:$A,$B30,Data!$C:$C,L$1))</f>
        <v/>
      </c>
      <c r="M30" s="37" t="str">
        <f>IF(SUMIFS(Data!$U:$U,Data!$A:$A,$B30,Data!$C:$C,M$1)=0,"",SUMIFS(Data!$U:$U,Data!$A:$A,$B30,Data!$C:$C,M$1))</f>
        <v/>
      </c>
      <c r="N30" s="37" t="str">
        <f>IF(SUMIFS(Data!$U:$U,Data!$A:$A,$B30,Data!$C:$C,N$1)=0,"",SUMIFS(Data!$U:$U,Data!$A:$A,$B30,Data!$C:$C,N$1))</f>
        <v/>
      </c>
      <c r="O30" s="37" t="str">
        <f>IF(SUMIFS(Data!$U:$U,Data!$A:$A,$B30,Data!$C:$C,O$1)=0,"",SUMIFS(Data!$U:$U,Data!$A:$A,$B30,Data!$C:$C,O$1))</f>
        <v/>
      </c>
      <c r="P30" s="37" t="str">
        <f>IF(SUMIFS(Data!$U:$U,Data!$A:$A,$B30,Data!$C:$C,P$1)=0,"",SUMIFS(Data!$U:$U,Data!$A:$A,$B30,Data!$C:$C,P$1))</f>
        <v/>
      </c>
      <c r="Q30" s="37" t="str">
        <f>IF(SUMIFS(Data!$U:$U,Data!$A:$A,$B30,Data!$C:$C,Q$1)=0,"",SUMIFS(Data!$U:$U,Data!$A:$A,$B30,Data!$C:$C,Q$1))</f>
        <v/>
      </c>
      <c r="R30" s="37"/>
      <c r="S30" s="37"/>
      <c r="T30" s="37"/>
    </row>
    <row r="31" spans="1:20" ht="13.8" x14ac:dyDescent="0.3">
      <c r="A31" s="103">
        <v>30</v>
      </c>
      <c r="B31" s="36"/>
      <c r="C31" s="37" t="str">
        <f>IF(SUMIFS(Data!$U:$U,Data!$A:$A,$B31,Data!$C:$C,C$1)=0,"",SUMIFS(Data!$U:$U,Data!$A:$A,$B31,Data!$C:$C,C$1))</f>
        <v/>
      </c>
      <c r="D31" s="37" t="str">
        <f>IF(SUMIFS(Data!$U:$U,Data!$A:$A,$B31,Data!$C:$C,D$1)=0,"",SUMIFS(Data!$U:$U,Data!$A:$A,$B31,Data!$C:$C,D$1))</f>
        <v/>
      </c>
      <c r="E31" s="37" t="str">
        <f>IF(SUMIFS(Data!$U:$U,Data!$A:$A,$B31,Data!$C:$C,E$1)=0,"",SUMIFS(Data!$U:$U,Data!$A:$A,$B31,Data!$C:$C,E$1))</f>
        <v/>
      </c>
      <c r="F31" s="37" t="str">
        <f>IF(SUMIFS(Data!$U:$U,Data!$A:$A,$B31,Data!$C:$C,F$1)=0,"",SUMIFS(Data!$U:$U,Data!$A:$A,$B31,Data!$C:$C,F$1))</f>
        <v/>
      </c>
      <c r="G31" s="37" t="str">
        <f>IF(SUMIFS(Data!$U:$U,Data!$A:$A,$B31,Data!$C:$C,G$1)=0,"",SUMIFS(Data!$U:$U,Data!$A:$A,$B31,Data!$C:$C,G$1))</f>
        <v/>
      </c>
      <c r="H31" s="37" t="str">
        <f>IF(SUMIFS(Data!$U:$U,Data!$A:$A,$B31,Data!$C:$C,H$1)=0,"",SUMIFS(Data!$U:$U,Data!$A:$A,$B31,Data!$C:$C,H$1))</f>
        <v/>
      </c>
      <c r="I31" s="37" t="str">
        <f>IF(SUMIFS(Data!$U:$U,Data!$A:$A,$B31,Data!$C:$C,I$1)=0,"",SUMIFS(Data!$U:$U,Data!$A:$A,$B31,Data!$C:$C,I$1))</f>
        <v/>
      </c>
      <c r="J31" s="37" t="str">
        <f>IF(SUMIFS(Data!$U:$U,Data!$A:$A,$B31,Data!$C:$C,J$1)=0,"",SUMIFS(Data!$U:$U,Data!$A:$A,$B31,Data!$C:$C,J$1))</f>
        <v/>
      </c>
      <c r="K31" s="37" t="str">
        <f>IF(SUMIFS(Data!$U:$U,Data!$A:$A,$B31,Data!$C:$C,K$1)=0,"",SUMIFS(Data!$U:$U,Data!$A:$A,$B31,Data!$C:$C,K$1))</f>
        <v/>
      </c>
      <c r="L31" s="37" t="str">
        <f>IF(SUMIFS(Data!$U:$U,Data!$A:$A,$B31,Data!$C:$C,L$1)=0,"",SUMIFS(Data!$U:$U,Data!$A:$A,$B31,Data!$C:$C,L$1))</f>
        <v/>
      </c>
      <c r="M31" s="37" t="str">
        <f>IF(SUMIFS(Data!$U:$U,Data!$A:$A,$B31,Data!$C:$C,M$1)=0,"",SUMIFS(Data!$U:$U,Data!$A:$A,$B31,Data!$C:$C,M$1))</f>
        <v/>
      </c>
      <c r="N31" s="37" t="str">
        <f>IF(SUMIFS(Data!$U:$U,Data!$A:$A,$B31,Data!$C:$C,N$1)=0,"",SUMIFS(Data!$U:$U,Data!$A:$A,$B31,Data!$C:$C,N$1))</f>
        <v/>
      </c>
      <c r="O31" s="37" t="str">
        <f>IF(SUMIFS(Data!$U:$U,Data!$A:$A,$B31,Data!$C:$C,O$1)=0,"",SUMIFS(Data!$U:$U,Data!$A:$A,$B31,Data!$C:$C,O$1))</f>
        <v/>
      </c>
      <c r="P31" s="37" t="str">
        <f>IF(SUMIFS(Data!$U:$U,Data!$A:$A,$B31,Data!$C:$C,P$1)=0,"",SUMIFS(Data!$U:$U,Data!$A:$A,$B31,Data!$C:$C,P$1))</f>
        <v/>
      </c>
      <c r="Q31" s="37" t="str">
        <f>IF(SUMIFS(Data!$U:$U,Data!$A:$A,$B31,Data!$C:$C,Q$1)=0,"",SUMIFS(Data!$U:$U,Data!$A:$A,$B31,Data!$C:$C,Q$1))</f>
        <v/>
      </c>
      <c r="R31" s="37"/>
      <c r="S31" s="37"/>
      <c r="T31" s="37"/>
    </row>
    <row r="32" spans="1:20" ht="13.8" x14ac:dyDescent="0.3">
      <c r="A32" s="103">
        <v>31</v>
      </c>
      <c r="B32" s="36"/>
      <c r="C32" s="37" t="str">
        <f>IF(SUMIFS(Data!$U:$U,Data!$A:$A,$B32,Data!$C:$C,C$1)=0,"",SUMIFS(Data!$U:$U,Data!$A:$A,$B32,Data!$C:$C,C$1))</f>
        <v/>
      </c>
      <c r="D32" s="37" t="str">
        <f>IF(SUMIFS(Data!$U:$U,Data!$A:$A,$B32,Data!$C:$C,D$1)=0,"",SUMIFS(Data!$U:$U,Data!$A:$A,$B32,Data!$C:$C,D$1))</f>
        <v/>
      </c>
      <c r="E32" s="37" t="str">
        <f>IF(SUMIFS(Data!$U:$U,Data!$A:$A,$B32,Data!$C:$C,E$1)=0,"",SUMIFS(Data!$U:$U,Data!$A:$A,$B32,Data!$C:$C,E$1))</f>
        <v/>
      </c>
      <c r="F32" s="37" t="str">
        <f>IF(SUMIFS(Data!$U:$U,Data!$A:$A,$B32,Data!$C:$C,F$1)=0,"",SUMIFS(Data!$U:$U,Data!$A:$A,$B32,Data!$C:$C,F$1))</f>
        <v/>
      </c>
      <c r="G32" s="37" t="str">
        <f>IF(SUMIFS(Data!$U:$U,Data!$A:$A,$B32,Data!$C:$C,G$1)=0,"",SUMIFS(Data!$U:$U,Data!$A:$A,$B32,Data!$C:$C,G$1))</f>
        <v/>
      </c>
      <c r="H32" s="37" t="str">
        <f>IF(SUMIFS(Data!$U:$U,Data!$A:$A,$B32,Data!$C:$C,H$1)=0,"",SUMIFS(Data!$U:$U,Data!$A:$A,$B32,Data!$C:$C,H$1))</f>
        <v/>
      </c>
      <c r="I32" s="37" t="str">
        <f>IF(SUMIFS(Data!$U:$U,Data!$A:$A,$B32,Data!$C:$C,I$1)=0,"",SUMIFS(Data!$U:$U,Data!$A:$A,$B32,Data!$C:$C,I$1))</f>
        <v/>
      </c>
      <c r="J32" s="37" t="str">
        <f>IF(SUMIFS(Data!$U:$U,Data!$A:$A,$B32,Data!$C:$C,J$1)=0,"",SUMIFS(Data!$U:$U,Data!$A:$A,$B32,Data!$C:$C,J$1))</f>
        <v/>
      </c>
      <c r="K32" s="37" t="str">
        <f>IF(SUMIFS(Data!$U:$U,Data!$A:$A,$B32,Data!$C:$C,K$1)=0,"",SUMIFS(Data!$U:$U,Data!$A:$A,$B32,Data!$C:$C,K$1))</f>
        <v/>
      </c>
      <c r="L32" s="37" t="str">
        <f>IF(SUMIFS(Data!$U:$U,Data!$A:$A,$B32,Data!$C:$C,L$1)=0,"",SUMIFS(Data!$U:$U,Data!$A:$A,$B32,Data!$C:$C,L$1))</f>
        <v/>
      </c>
      <c r="M32" s="37" t="str">
        <f>IF(SUMIFS(Data!$U:$U,Data!$A:$A,$B32,Data!$C:$C,M$1)=0,"",SUMIFS(Data!$U:$U,Data!$A:$A,$B32,Data!$C:$C,M$1))</f>
        <v/>
      </c>
      <c r="N32" s="37" t="str">
        <f>IF(SUMIFS(Data!$U:$U,Data!$A:$A,$B32,Data!$C:$C,N$1)=0,"",SUMIFS(Data!$U:$U,Data!$A:$A,$B32,Data!$C:$C,N$1))</f>
        <v/>
      </c>
      <c r="O32" s="37" t="str">
        <f>IF(SUMIFS(Data!$U:$U,Data!$A:$A,$B32,Data!$C:$C,O$1)=0,"",SUMIFS(Data!$U:$U,Data!$A:$A,$B32,Data!$C:$C,O$1))</f>
        <v/>
      </c>
      <c r="P32" s="37" t="str">
        <f>IF(SUMIFS(Data!$U:$U,Data!$A:$A,$B32,Data!$C:$C,P$1)=0,"",SUMIFS(Data!$U:$U,Data!$A:$A,$B32,Data!$C:$C,P$1))</f>
        <v/>
      </c>
      <c r="Q32" s="37" t="str">
        <f>IF(SUMIFS(Data!$U:$U,Data!$A:$A,$B32,Data!$C:$C,Q$1)=0,"",SUMIFS(Data!$U:$U,Data!$A:$A,$B32,Data!$C:$C,Q$1))</f>
        <v/>
      </c>
      <c r="R32" s="37"/>
      <c r="S32" s="37"/>
      <c r="T32" s="37"/>
    </row>
  </sheetData>
  <autoFilter ref="A1:T32"/>
  <sortState ref="B2:T24">
    <sortCondition descending="1" ref="S2:S24"/>
    <sortCondition descending="1" ref="T2:T24"/>
  </sortState>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T43"/>
  <sheetViews>
    <sheetView zoomScaleNormal="100" workbookViewId="0">
      <pane ySplit="1" topLeftCell="A2" activePane="bottomLeft" state="frozen"/>
      <selection pane="bottomLeft" activeCell="Q11" sqref="Q11"/>
    </sheetView>
  </sheetViews>
  <sheetFormatPr defaultColWidth="9.109375" defaultRowHeight="12" x14ac:dyDescent="0.25"/>
  <cols>
    <col min="1" max="1" width="7.88671875" style="104" bestFit="1" customWidth="1"/>
    <col min="2" max="2" width="22.109375" style="27" bestFit="1" customWidth="1"/>
    <col min="3" max="3" width="7.88671875" style="28" customWidth="1"/>
    <col min="4" max="4" width="7.5546875" style="28" customWidth="1"/>
    <col min="5" max="5" width="8" style="28" customWidth="1"/>
    <col min="6" max="6" width="7.77734375" style="28" customWidth="1"/>
    <col min="7" max="7" width="8.6640625" style="28" customWidth="1"/>
    <col min="8" max="8" width="8.21875" style="28" customWidth="1"/>
    <col min="9" max="9" width="8.5546875" style="28" customWidth="1"/>
    <col min="10" max="10" width="7.88671875" style="28" customWidth="1"/>
    <col min="11" max="11" width="8.109375" style="28" customWidth="1"/>
    <col min="12" max="12" width="10.21875" style="28" customWidth="1"/>
    <col min="13" max="13" width="10.109375" style="28" customWidth="1"/>
    <col min="14" max="14" width="8.21875" style="28" customWidth="1"/>
    <col min="15" max="17" width="6.5546875" style="28" bestFit="1" customWidth="1"/>
    <col min="18" max="18" width="10.44140625" style="28" bestFit="1" customWidth="1"/>
    <col min="19" max="19" width="13.33203125" style="28" bestFit="1" customWidth="1"/>
    <col min="20" max="20" width="6.44140625" style="38" bestFit="1" customWidth="1"/>
    <col min="21" max="16384" width="9.109375" style="38"/>
  </cols>
  <sheetData>
    <row r="1" spans="1:20" ht="13.8" x14ac:dyDescent="0.3">
      <c r="A1" s="102" t="s">
        <v>68</v>
      </c>
      <c r="B1" s="34" t="s">
        <v>32</v>
      </c>
      <c r="C1" s="43">
        <v>1</v>
      </c>
      <c r="D1" s="43">
        <v>2</v>
      </c>
      <c r="E1" s="43">
        <v>3</v>
      </c>
      <c r="F1" s="43">
        <v>4</v>
      </c>
      <c r="G1" s="43">
        <v>5</v>
      </c>
      <c r="H1" s="43">
        <v>6</v>
      </c>
      <c r="I1" s="43">
        <v>7</v>
      </c>
      <c r="J1" s="43">
        <v>8</v>
      </c>
      <c r="K1" s="43">
        <v>9</v>
      </c>
      <c r="L1" s="43">
        <v>10</v>
      </c>
      <c r="M1" s="43">
        <v>11</v>
      </c>
      <c r="N1" s="43">
        <v>12</v>
      </c>
      <c r="O1" s="43">
        <v>13</v>
      </c>
      <c r="P1" s="43">
        <v>14</v>
      </c>
      <c r="Q1" s="43">
        <v>15</v>
      </c>
      <c r="R1" s="35" t="s">
        <v>70</v>
      </c>
      <c r="S1" s="35" t="s">
        <v>69</v>
      </c>
      <c r="T1" s="42" t="s">
        <v>105</v>
      </c>
    </row>
    <row r="2" spans="1:20" ht="13.8" x14ac:dyDescent="0.3">
      <c r="A2" s="103">
        <v>1</v>
      </c>
      <c r="B2" s="36" t="s">
        <v>50</v>
      </c>
      <c r="C2" s="88">
        <f>SUMIFS(Data!$H:$H,Data!$A:$A,Cataratorii!$B2,Data!$C:$C,Cataratorii!C$1)</f>
        <v>1951</v>
      </c>
      <c r="D2" s="88">
        <f>SUMIFS(Data!$H:$H,Data!$A:$A,Cataratorii!$B2,Data!$C:$C,Cataratorii!D$1)</f>
        <v>89</v>
      </c>
      <c r="E2" s="88">
        <f>SUMIFS(Data!$H:$H,Data!$A:$A,Cataratorii!$B2,Data!$C:$C,Cataratorii!E$1)</f>
        <v>70</v>
      </c>
      <c r="F2" s="88">
        <f>SUMIFS(Data!$H:$H,Data!$A:$A,Cataratorii!$B2,Data!$C:$C,Cataratorii!F$1)</f>
        <v>2090</v>
      </c>
      <c r="G2" s="88">
        <f>SUMIFS(Data!$H:$H,Data!$A:$A,Cataratorii!$B2,Data!$C:$C,Cataratorii!G$1)</f>
        <v>1526</v>
      </c>
      <c r="H2" s="88">
        <f>SUMIFS(Data!$H:$H,Data!$A:$A,Cataratorii!$B2,Data!$C:$C,Cataratorii!H$1)</f>
        <v>69</v>
      </c>
      <c r="I2" s="88">
        <f>SUMIFS(Data!$H:$H,Data!$A:$A,Cataratorii!$B2,Data!$C:$C,Cataratorii!I$1)</f>
        <v>1947</v>
      </c>
      <c r="J2" s="88">
        <f>SUMIFS(Data!$H:$H,Data!$A:$A,Cataratorii!$B2,Data!$C:$C,Cataratorii!J$1)</f>
        <v>925</v>
      </c>
      <c r="K2" s="88">
        <f>SUMIFS(Data!$H:$H,Data!$A:$A,Cataratorii!$B2,Data!$C:$C,Cataratorii!K$1)</f>
        <v>1010</v>
      </c>
      <c r="L2" s="88">
        <f>SUMIFS(Data!$H:$H,Data!$A:$A,Cataratorii!$B2,Data!$C:$C,Cataratorii!L$1)</f>
        <v>2205</v>
      </c>
      <c r="M2" s="88">
        <f>SUMIFS(Data!$H:$H,Data!$A:$A,Cataratorii!$B2,Data!$C:$C,Cataratorii!M$1)</f>
        <v>1564</v>
      </c>
      <c r="N2" s="88">
        <f>SUMIFS(Data!$H:$H,Data!$A:$A,Cataratorii!$B2,Data!$C:$C,Cataratorii!N$1)</f>
        <v>668</v>
      </c>
      <c r="O2" s="88">
        <f>SUMIFS(Data!$H:$H,Data!$A:$A,Cataratorii!$B2,Data!$C:$C,Cataratorii!O$1)</f>
        <v>9</v>
      </c>
      <c r="P2" s="88">
        <f>SUMIFS(Data!$H:$H,Data!$A:$A,Cataratorii!$B2,Data!$C:$C,Cataratorii!P$1)</f>
        <v>27</v>
      </c>
      <c r="Q2" s="88">
        <f>SUMIFS(Data!$H:$H,Data!$A:$A,Cataratorii!$B2,Data!$C:$C,Cataratorii!Q$1)</f>
        <v>21</v>
      </c>
      <c r="R2" s="88">
        <f>SUM(C2:Q2)</f>
        <v>14171</v>
      </c>
      <c r="S2" s="37">
        <f>SUMIFS(Data!D:D,Data!A:A,Cataratorii!B2)</f>
        <v>408.70000000000005</v>
      </c>
      <c r="T2" s="38" t="str">
        <f>IF(VLOOKUP(B2,Participanti!A:D,4,0)=0," ","New")</f>
        <v xml:space="preserve"> </v>
      </c>
    </row>
    <row r="3" spans="1:20" ht="13.8" x14ac:dyDescent="0.3">
      <c r="A3" s="103">
        <v>2</v>
      </c>
      <c r="B3" s="36" t="s">
        <v>110</v>
      </c>
      <c r="C3" s="88">
        <f>SUMIFS(Data!$H:$H,Data!$A:$A,Cataratorii!$B3,Data!$C:$C,Cataratorii!C$1)</f>
        <v>21</v>
      </c>
      <c r="D3" s="88">
        <f>SUMIFS(Data!$H:$H,Data!$A:$A,Cataratorii!$B3,Data!$C:$C,Cataratorii!D$1)</f>
        <v>936</v>
      </c>
      <c r="E3" s="88">
        <f>SUMIFS(Data!$H:$H,Data!$A:$A,Cataratorii!$B3,Data!$C:$C,Cataratorii!E$1)</f>
        <v>1442</v>
      </c>
      <c r="F3" s="88">
        <f>SUMIFS(Data!$H:$H,Data!$A:$A,Cataratorii!$B3,Data!$C:$C,Cataratorii!F$1)</f>
        <v>0</v>
      </c>
      <c r="G3" s="88">
        <f>SUMIFS(Data!$H:$H,Data!$A:$A,Cataratorii!$B3,Data!$C:$C,Cataratorii!G$1)</f>
        <v>1573</v>
      </c>
      <c r="H3" s="88">
        <f>SUMIFS(Data!$H:$H,Data!$A:$A,Cataratorii!$B3,Data!$C:$C,Cataratorii!H$1)</f>
        <v>1577</v>
      </c>
      <c r="I3" s="88">
        <f>SUMIFS(Data!$H:$H,Data!$A:$A,Cataratorii!$B3,Data!$C:$C,Cataratorii!I$1)</f>
        <v>14</v>
      </c>
      <c r="J3" s="88">
        <f>SUMIFS(Data!$H:$H,Data!$A:$A,Cataratorii!$B3,Data!$C:$C,Cataratorii!J$1)</f>
        <v>1396</v>
      </c>
      <c r="K3" s="88">
        <f>SUMIFS(Data!$H:$H,Data!$A:$A,Cataratorii!$B3,Data!$C:$C,Cataratorii!K$1)</f>
        <v>1507</v>
      </c>
      <c r="L3" s="88">
        <f>SUMIFS(Data!$H:$H,Data!$A:$A,Cataratorii!$B3,Data!$C:$C,Cataratorii!L$1)</f>
        <v>13</v>
      </c>
      <c r="M3" s="88">
        <f>SUMIFS(Data!$H:$H,Data!$A:$A,Cataratorii!$B3,Data!$C:$C,Cataratorii!M$1)</f>
        <v>812</v>
      </c>
      <c r="N3" s="88">
        <f>SUMIFS(Data!$H:$H,Data!$A:$A,Cataratorii!$B3,Data!$C:$C,Cataratorii!N$1)</f>
        <v>9</v>
      </c>
      <c r="O3" s="88">
        <f>SUMIFS(Data!$H:$H,Data!$A:$A,Cataratorii!$B3,Data!$C:$C,Cataratorii!O$1)</f>
        <v>1541</v>
      </c>
      <c r="P3" s="88">
        <f>SUMIFS(Data!$H:$H,Data!$A:$A,Cataratorii!$B3,Data!$C:$C,Cataratorii!P$1)</f>
        <v>739</v>
      </c>
      <c r="Q3" s="88">
        <f>SUMIFS(Data!$H:$H,Data!$A:$A,Cataratorii!$B3,Data!$C:$C,Cataratorii!Q$1)</f>
        <v>12</v>
      </c>
      <c r="R3" s="88">
        <f t="shared" ref="R3:R39" si="0">SUM(C3:Q3)</f>
        <v>11592</v>
      </c>
      <c r="S3" s="37">
        <f>SUMIFS(Data!D:D,Data!A:A,Cataratorii!B3)</f>
        <v>468.2700000000001</v>
      </c>
      <c r="T3" s="38" t="str">
        <f>IF(VLOOKUP(B3,Participanti!A:D,4,0)=0," ","New")</f>
        <v xml:space="preserve"> </v>
      </c>
    </row>
    <row r="4" spans="1:20" ht="13.8" x14ac:dyDescent="0.3">
      <c r="A4" s="103">
        <v>3</v>
      </c>
      <c r="B4" s="36" t="s">
        <v>64</v>
      </c>
      <c r="C4" s="88">
        <f>SUMIFS(Data!$H:$H,Data!$A:$A,Cataratorii!$B4,Data!$C:$C,Cataratorii!C$1)</f>
        <v>1989</v>
      </c>
      <c r="D4" s="88">
        <f>SUMIFS(Data!$H:$H,Data!$A:$A,Cataratorii!$B4,Data!$C:$C,Cataratorii!D$1)</f>
        <v>26</v>
      </c>
      <c r="E4" s="88">
        <f>SUMIFS(Data!$H:$H,Data!$A:$A,Cataratorii!$B4,Data!$C:$C,Cataratorii!E$1)</f>
        <v>849</v>
      </c>
      <c r="F4" s="88">
        <f>SUMIFS(Data!$H:$H,Data!$A:$A,Cataratorii!$B4,Data!$C:$C,Cataratorii!F$1)</f>
        <v>1672</v>
      </c>
      <c r="G4" s="88">
        <f>SUMIFS(Data!$H:$H,Data!$A:$A,Cataratorii!$B4,Data!$C:$C,Cataratorii!G$1)</f>
        <v>1089</v>
      </c>
      <c r="H4" s="88">
        <f>SUMIFS(Data!$H:$H,Data!$A:$A,Cataratorii!$B4,Data!$C:$C,Cataratorii!H$1)</f>
        <v>36</v>
      </c>
      <c r="I4" s="88">
        <f>SUMIFS(Data!$H:$H,Data!$A:$A,Cataratorii!$B4,Data!$C:$C,Cataratorii!I$1)</f>
        <v>1955</v>
      </c>
      <c r="J4" s="88">
        <f>SUMIFS(Data!$H:$H,Data!$A:$A,Cataratorii!$B4,Data!$C:$C,Cataratorii!J$1)</f>
        <v>1169</v>
      </c>
      <c r="K4" s="88">
        <f>SUMIFS(Data!$H:$H,Data!$A:$A,Cataratorii!$B4,Data!$C:$C,Cataratorii!K$1)</f>
        <v>58</v>
      </c>
      <c r="L4" s="88">
        <f>SUMIFS(Data!$H:$H,Data!$A:$A,Cataratorii!$B4,Data!$C:$C,Cataratorii!L$1)</f>
        <v>48</v>
      </c>
      <c r="M4" s="88">
        <f>SUMIFS(Data!$H:$H,Data!$A:$A,Cataratorii!$B4,Data!$C:$C,Cataratorii!M$1)</f>
        <v>29</v>
      </c>
      <c r="N4" s="88">
        <f>SUMIFS(Data!$H:$H,Data!$A:$A,Cataratorii!$B4,Data!$C:$C,Cataratorii!N$1)</f>
        <v>0</v>
      </c>
      <c r="O4" s="88">
        <f>SUMIFS(Data!$H:$H,Data!$A:$A,Cataratorii!$B4,Data!$C:$C,Cataratorii!O$1)</f>
        <v>0</v>
      </c>
      <c r="P4" s="88">
        <f>SUMIFS(Data!$H:$H,Data!$A:$A,Cataratorii!$B4,Data!$C:$C,Cataratorii!P$1)</f>
        <v>902</v>
      </c>
      <c r="Q4" s="88">
        <f>SUMIFS(Data!$H:$H,Data!$A:$A,Cataratorii!$B4,Data!$C:$C,Cataratorii!Q$1)</f>
        <v>1032</v>
      </c>
      <c r="R4" s="88">
        <f t="shared" si="0"/>
        <v>10854</v>
      </c>
      <c r="S4" s="37">
        <f>SUMIFS(Data!D:D,Data!A:A,Cataratorii!B4)</f>
        <v>437.45000000000005</v>
      </c>
      <c r="T4" s="38" t="str">
        <f>IF(VLOOKUP(B4,Participanti!A:D,4,0)=0," ","New")</f>
        <v xml:space="preserve"> </v>
      </c>
    </row>
    <row r="5" spans="1:20" ht="13.8" x14ac:dyDescent="0.3">
      <c r="A5" s="103">
        <v>4</v>
      </c>
      <c r="B5" s="36" t="s">
        <v>257</v>
      </c>
      <c r="C5" s="88">
        <f>SUMIFS(Data!$H:$H,Data!$A:$A,Cataratorii!$B5,Data!$C:$C,Cataratorii!C$1)</f>
        <v>540</v>
      </c>
      <c r="D5" s="88">
        <f>SUMIFS(Data!$H:$H,Data!$A:$A,Cataratorii!$B5,Data!$C:$C,Cataratorii!D$1)</f>
        <v>402</v>
      </c>
      <c r="E5" s="88">
        <f>SUMIFS(Data!$H:$H,Data!$A:$A,Cataratorii!$B5,Data!$C:$C,Cataratorii!E$1)</f>
        <v>0</v>
      </c>
      <c r="F5" s="88">
        <f>SUMIFS(Data!$H:$H,Data!$A:$A,Cataratorii!$B5,Data!$C:$C,Cataratorii!F$1)</f>
        <v>65</v>
      </c>
      <c r="G5" s="88">
        <f>SUMIFS(Data!$H:$H,Data!$A:$A,Cataratorii!$B5,Data!$C:$C,Cataratorii!G$1)</f>
        <v>0</v>
      </c>
      <c r="H5" s="88">
        <f>SUMIFS(Data!$H:$H,Data!$A:$A,Cataratorii!$B5,Data!$C:$C,Cataratorii!H$1)</f>
        <v>1033</v>
      </c>
      <c r="I5" s="88">
        <f>SUMIFS(Data!$H:$H,Data!$A:$A,Cataratorii!$B5,Data!$C:$C,Cataratorii!I$1)</f>
        <v>1033</v>
      </c>
      <c r="J5" s="88">
        <f>SUMIFS(Data!$H:$H,Data!$A:$A,Cataratorii!$B5,Data!$C:$C,Cataratorii!J$1)</f>
        <v>77</v>
      </c>
      <c r="K5" s="88">
        <f>SUMIFS(Data!$H:$H,Data!$A:$A,Cataratorii!$B5,Data!$C:$C,Cataratorii!K$1)</f>
        <v>170</v>
      </c>
      <c r="L5" s="88">
        <f>SUMIFS(Data!$H:$H,Data!$A:$A,Cataratorii!$B5,Data!$C:$C,Cataratorii!L$1)</f>
        <v>0</v>
      </c>
      <c r="M5" s="88">
        <f>SUMIFS(Data!$H:$H,Data!$A:$A,Cataratorii!$B5,Data!$C:$C,Cataratorii!M$1)</f>
        <v>2491</v>
      </c>
      <c r="N5" s="88">
        <f>SUMIFS(Data!$H:$H,Data!$A:$A,Cataratorii!$B5,Data!$C:$C,Cataratorii!N$1)</f>
        <v>65</v>
      </c>
      <c r="O5" s="88">
        <f>SUMIFS(Data!$H:$H,Data!$A:$A,Cataratorii!$B5,Data!$C:$C,Cataratorii!O$1)</f>
        <v>116</v>
      </c>
      <c r="P5" s="88">
        <f>SUMIFS(Data!$H:$H,Data!$A:$A,Cataratorii!$B5,Data!$C:$C,Cataratorii!P$1)</f>
        <v>0</v>
      </c>
      <c r="Q5" s="88">
        <f>SUMIFS(Data!$H:$H,Data!$A:$A,Cataratorii!$B5,Data!$C:$C,Cataratorii!Q$1)</f>
        <v>1019</v>
      </c>
      <c r="R5" s="88">
        <f t="shared" si="0"/>
        <v>7011</v>
      </c>
      <c r="S5" s="37">
        <f>SUMIFS(Data!D:D,Data!A:A,Cataratorii!B5)</f>
        <v>285.64999999999998</v>
      </c>
      <c r="T5" s="38" t="str">
        <f>IF(VLOOKUP(B5,Participanti!A:D,4,0)=0," ","New")</f>
        <v>New</v>
      </c>
    </row>
    <row r="6" spans="1:20" ht="13.8" x14ac:dyDescent="0.3">
      <c r="A6" s="103">
        <v>5</v>
      </c>
      <c r="B6" s="36" t="s">
        <v>254</v>
      </c>
      <c r="C6" s="88">
        <f>SUMIFS(Data!$H:$H,Data!$A:$A,Cataratorii!$B6,Data!$C:$C,Cataratorii!C$1)</f>
        <v>103</v>
      </c>
      <c r="D6" s="88">
        <f>SUMIFS(Data!$H:$H,Data!$A:$A,Cataratorii!$B6,Data!$C:$C,Cataratorii!D$1)</f>
        <v>429</v>
      </c>
      <c r="E6" s="88">
        <f>SUMIFS(Data!$H:$H,Data!$A:$A,Cataratorii!$B6,Data!$C:$C,Cataratorii!E$1)</f>
        <v>8</v>
      </c>
      <c r="F6" s="88">
        <f>SUMIFS(Data!$H:$H,Data!$A:$A,Cataratorii!$B6,Data!$C:$C,Cataratorii!F$1)</f>
        <v>958</v>
      </c>
      <c r="G6" s="88">
        <f>SUMIFS(Data!$H:$H,Data!$A:$A,Cataratorii!$B6,Data!$C:$C,Cataratorii!G$1)</f>
        <v>1194</v>
      </c>
      <c r="H6" s="88">
        <f>SUMIFS(Data!$H:$H,Data!$A:$A,Cataratorii!$B6,Data!$C:$C,Cataratorii!H$1)</f>
        <v>84</v>
      </c>
      <c r="I6" s="88">
        <f>SUMIFS(Data!$H:$H,Data!$A:$A,Cataratorii!$B6,Data!$C:$C,Cataratorii!I$1)</f>
        <v>337</v>
      </c>
      <c r="J6" s="88">
        <f>SUMIFS(Data!$H:$H,Data!$A:$A,Cataratorii!$B6,Data!$C:$C,Cataratorii!J$1)</f>
        <v>1004</v>
      </c>
      <c r="K6" s="88">
        <f>SUMIFS(Data!$H:$H,Data!$A:$A,Cataratorii!$B6,Data!$C:$C,Cataratorii!K$1)</f>
        <v>633</v>
      </c>
      <c r="L6" s="88">
        <f>SUMIFS(Data!$H:$H,Data!$A:$A,Cataratorii!$B6,Data!$C:$C,Cataratorii!L$1)</f>
        <v>117</v>
      </c>
      <c r="M6" s="88">
        <f>SUMIFS(Data!$H:$H,Data!$A:$A,Cataratorii!$B6,Data!$C:$C,Cataratorii!M$1)</f>
        <v>370</v>
      </c>
      <c r="N6" s="88">
        <f>SUMIFS(Data!$H:$H,Data!$A:$A,Cataratorii!$B6,Data!$C:$C,Cataratorii!N$1)</f>
        <v>17</v>
      </c>
      <c r="O6" s="88">
        <f>SUMIFS(Data!$H:$H,Data!$A:$A,Cataratorii!$B6,Data!$C:$C,Cataratorii!O$1)</f>
        <v>982</v>
      </c>
      <c r="P6" s="88">
        <f>SUMIFS(Data!$H:$H,Data!$A:$A,Cataratorii!$B6,Data!$C:$C,Cataratorii!P$1)</f>
        <v>47</v>
      </c>
      <c r="Q6" s="88">
        <f>SUMIFS(Data!$H:$H,Data!$A:$A,Cataratorii!$B6,Data!$C:$C,Cataratorii!Q$1)</f>
        <v>257</v>
      </c>
      <c r="R6" s="88">
        <f t="shared" si="0"/>
        <v>6540</v>
      </c>
      <c r="S6" s="37">
        <f>SUMIFS(Data!D:D,Data!A:A,Cataratorii!B6)</f>
        <v>307.17999999999995</v>
      </c>
      <c r="T6" s="38" t="str">
        <f>IF(VLOOKUP(B6,Participanti!A:D,4,0)=0," ","New")</f>
        <v>New</v>
      </c>
    </row>
    <row r="7" spans="1:20" ht="13.8" x14ac:dyDescent="0.3">
      <c r="A7" s="103">
        <v>6</v>
      </c>
      <c r="B7" s="36" t="s">
        <v>52</v>
      </c>
      <c r="C7" s="88">
        <f>SUMIFS(Data!$H:$H,Data!$A:$A,Cataratorii!$B7,Data!$C:$C,Cataratorii!C$1)</f>
        <v>670</v>
      </c>
      <c r="D7" s="88">
        <f>SUMIFS(Data!$H:$H,Data!$A:$A,Cataratorii!$B7,Data!$C:$C,Cataratorii!D$1)</f>
        <v>797</v>
      </c>
      <c r="E7" s="88">
        <f>SUMIFS(Data!$H:$H,Data!$A:$A,Cataratorii!$B7,Data!$C:$C,Cataratorii!E$1)</f>
        <v>17</v>
      </c>
      <c r="F7" s="88">
        <f>SUMIFS(Data!$H:$H,Data!$A:$A,Cataratorii!$B7,Data!$C:$C,Cataratorii!F$1)</f>
        <v>442</v>
      </c>
      <c r="G7" s="88">
        <f>SUMIFS(Data!$H:$H,Data!$A:$A,Cataratorii!$B7,Data!$C:$C,Cataratorii!G$1)</f>
        <v>11</v>
      </c>
      <c r="H7" s="88">
        <f>SUMIFS(Data!$H:$H,Data!$A:$A,Cataratorii!$B7,Data!$C:$C,Cataratorii!H$1)</f>
        <v>637</v>
      </c>
      <c r="I7" s="88">
        <f>SUMIFS(Data!$H:$H,Data!$A:$A,Cataratorii!$B7,Data!$C:$C,Cataratorii!I$1)</f>
        <v>831</v>
      </c>
      <c r="J7" s="88">
        <f>SUMIFS(Data!$H:$H,Data!$A:$A,Cataratorii!$B7,Data!$C:$C,Cataratorii!J$1)</f>
        <v>442</v>
      </c>
      <c r="K7" s="88">
        <f>SUMIFS(Data!$H:$H,Data!$A:$A,Cataratorii!$B7,Data!$C:$C,Cataratorii!K$1)</f>
        <v>1159</v>
      </c>
      <c r="L7" s="88">
        <f>SUMIFS(Data!$H:$H,Data!$A:$A,Cataratorii!$B7,Data!$C:$C,Cataratorii!L$1)</f>
        <v>44</v>
      </c>
      <c r="M7" s="88">
        <f>SUMIFS(Data!$H:$H,Data!$A:$A,Cataratorii!$B7,Data!$C:$C,Cataratorii!M$1)</f>
        <v>980</v>
      </c>
      <c r="N7" s="88">
        <f>SUMIFS(Data!$H:$H,Data!$A:$A,Cataratorii!$B7,Data!$C:$C,Cataratorii!N$1)</f>
        <v>0</v>
      </c>
      <c r="O7" s="88">
        <f>SUMIFS(Data!$H:$H,Data!$A:$A,Cataratorii!$B7,Data!$C:$C,Cataratorii!O$1)</f>
        <v>0</v>
      </c>
      <c r="P7" s="88">
        <f>SUMIFS(Data!$H:$H,Data!$A:$A,Cataratorii!$B7,Data!$C:$C,Cataratorii!P$1)</f>
        <v>0</v>
      </c>
      <c r="Q7" s="88">
        <f>SUMIFS(Data!$H:$H,Data!$A:$A,Cataratorii!$B7,Data!$C:$C,Cataratorii!Q$1)</f>
        <v>0</v>
      </c>
      <c r="R7" s="88">
        <f t="shared" si="0"/>
        <v>6030</v>
      </c>
      <c r="S7" s="37">
        <f>SUMIFS(Data!D:D,Data!A:A,Cataratorii!B7)</f>
        <v>236.47</v>
      </c>
      <c r="T7" s="38" t="str">
        <f>IF(VLOOKUP(B7,Participanti!A:D,4,0)=0," ","New")</f>
        <v xml:space="preserve"> </v>
      </c>
    </row>
    <row r="8" spans="1:20" ht="13.8" x14ac:dyDescent="0.3">
      <c r="A8" s="103">
        <v>7</v>
      </c>
      <c r="B8" s="36" t="s">
        <v>219</v>
      </c>
      <c r="C8" s="88">
        <f>SUMIFS(Data!$H:$H,Data!$A:$A,Cataratorii!$B8,Data!$C:$C,Cataratorii!C$1)</f>
        <v>0</v>
      </c>
      <c r="D8" s="88">
        <f>SUMIFS(Data!$H:$H,Data!$A:$A,Cataratorii!$B8,Data!$C:$C,Cataratorii!D$1)</f>
        <v>0</v>
      </c>
      <c r="E8" s="88">
        <f>SUMIFS(Data!$H:$H,Data!$A:$A,Cataratorii!$B8,Data!$C:$C,Cataratorii!E$1)</f>
        <v>1201</v>
      </c>
      <c r="F8" s="88">
        <f>SUMIFS(Data!$H:$H,Data!$A:$A,Cataratorii!$B8,Data!$C:$C,Cataratorii!F$1)</f>
        <v>0</v>
      </c>
      <c r="G8" s="88">
        <f>SUMIFS(Data!$H:$H,Data!$A:$A,Cataratorii!$B8,Data!$C:$C,Cataratorii!G$1)</f>
        <v>0</v>
      </c>
      <c r="H8" s="88">
        <f>SUMIFS(Data!$H:$H,Data!$A:$A,Cataratorii!$B8,Data!$C:$C,Cataratorii!H$1)</f>
        <v>819</v>
      </c>
      <c r="I8" s="88">
        <f>SUMIFS(Data!$H:$H,Data!$A:$A,Cataratorii!$B8,Data!$C:$C,Cataratorii!I$1)</f>
        <v>0</v>
      </c>
      <c r="J8" s="88">
        <f>SUMIFS(Data!$H:$H,Data!$A:$A,Cataratorii!$B8,Data!$C:$C,Cataratorii!J$1)</f>
        <v>0</v>
      </c>
      <c r="K8" s="88">
        <f>SUMIFS(Data!$H:$H,Data!$A:$A,Cataratorii!$B8,Data!$C:$C,Cataratorii!K$1)</f>
        <v>1025</v>
      </c>
      <c r="L8" s="88">
        <f>SUMIFS(Data!$H:$H,Data!$A:$A,Cataratorii!$B8,Data!$C:$C,Cataratorii!L$1)</f>
        <v>738</v>
      </c>
      <c r="M8" s="88">
        <f>SUMIFS(Data!$H:$H,Data!$A:$A,Cataratorii!$B8,Data!$C:$C,Cataratorii!M$1)</f>
        <v>0</v>
      </c>
      <c r="N8" s="88">
        <f>SUMIFS(Data!$H:$H,Data!$A:$A,Cataratorii!$B8,Data!$C:$C,Cataratorii!N$1)</f>
        <v>743</v>
      </c>
      <c r="O8" s="88">
        <f>SUMIFS(Data!$H:$H,Data!$A:$A,Cataratorii!$B8,Data!$C:$C,Cataratorii!O$1)</f>
        <v>1287</v>
      </c>
      <c r="P8" s="88">
        <f>SUMIFS(Data!$H:$H,Data!$A:$A,Cataratorii!$B8,Data!$C:$C,Cataratorii!P$1)</f>
        <v>0</v>
      </c>
      <c r="Q8" s="88">
        <f>SUMIFS(Data!$H:$H,Data!$A:$A,Cataratorii!$B8,Data!$C:$C,Cataratorii!Q$1)</f>
        <v>0</v>
      </c>
      <c r="R8" s="88">
        <f t="shared" si="0"/>
        <v>5813</v>
      </c>
      <c r="S8" s="37">
        <f>SUMIFS(Data!D:D,Data!A:A,Cataratorii!B8)</f>
        <v>120.91</v>
      </c>
      <c r="T8" s="38" t="str">
        <f>IF(VLOOKUP(B8,Participanti!A:D,4,0)=0," ","New")</f>
        <v xml:space="preserve"> </v>
      </c>
    </row>
    <row r="9" spans="1:20" ht="13.8" x14ac:dyDescent="0.3">
      <c r="A9" s="103">
        <v>8</v>
      </c>
      <c r="B9" s="36" t="s">
        <v>255</v>
      </c>
      <c r="C9" s="88">
        <f>SUMIFS(Data!$H:$H,Data!$A:$A,Cataratorii!$B9,Data!$C:$C,Cataratorii!C$1)</f>
        <v>94</v>
      </c>
      <c r="D9" s="88">
        <f>SUMIFS(Data!$H:$H,Data!$A:$A,Cataratorii!$B9,Data!$C:$C,Cataratorii!D$1)</f>
        <v>601</v>
      </c>
      <c r="E9" s="88">
        <f>SUMIFS(Data!$H:$H,Data!$A:$A,Cataratorii!$B9,Data!$C:$C,Cataratorii!E$1)</f>
        <v>1223</v>
      </c>
      <c r="F9" s="88">
        <f>SUMIFS(Data!$H:$H,Data!$A:$A,Cataratorii!$B9,Data!$C:$C,Cataratorii!F$1)</f>
        <v>16</v>
      </c>
      <c r="G9" s="88">
        <f>SUMIFS(Data!$H:$H,Data!$A:$A,Cataratorii!$B9,Data!$C:$C,Cataratorii!G$1)</f>
        <v>49</v>
      </c>
      <c r="H9" s="88">
        <f>SUMIFS(Data!$H:$H,Data!$A:$A,Cataratorii!$B9,Data!$C:$C,Cataratorii!H$1)</f>
        <v>563</v>
      </c>
      <c r="I9" s="88">
        <f>SUMIFS(Data!$H:$H,Data!$A:$A,Cataratorii!$B9,Data!$C:$C,Cataratorii!I$1)</f>
        <v>70</v>
      </c>
      <c r="J9" s="88">
        <f>SUMIFS(Data!$H:$H,Data!$A:$A,Cataratorii!$B9,Data!$C:$C,Cataratorii!J$1)</f>
        <v>624</v>
      </c>
      <c r="K9" s="88">
        <f>SUMIFS(Data!$H:$H,Data!$A:$A,Cataratorii!$B9,Data!$C:$C,Cataratorii!K$1)</f>
        <v>694</v>
      </c>
      <c r="L9" s="88">
        <f>SUMIFS(Data!$H:$H,Data!$A:$A,Cataratorii!$B9,Data!$C:$C,Cataratorii!L$1)</f>
        <v>25</v>
      </c>
      <c r="M9" s="88">
        <f>SUMIFS(Data!$H:$H,Data!$A:$A,Cataratorii!$B9,Data!$C:$C,Cataratorii!M$1)</f>
        <v>704</v>
      </c>
      <c r="N9" s="88">
        <f>SUMIFS(Data!$H:$H,Data!$A:$A,Cataratorii!$B9,Data!$C:$C,Cataratorii!N$1)</f>
        <v>6</v>
      </c>
      <c r="O9" s="88">
        <f>SUMIFS(Data!$H:$H,Data!$A:$A,Cataratorii!$B9,Data!$C:$C,Cataratorii!O$1)</f>
        <v>350</v>
      </c>
      <c r="P9" s="88">
        <f>SUMIFS(Data!$H:$H,Data!$A:$A,Cataratorii!$B9,Data!$C:$C,Cataratorii!P$1)</f>
        <v>62</v>
      </c>
      <c r="Q9" s="88">
        <f>SUMIFS(Data!$H:$H,Data!$A:$A,Cataratorii!$B9,Data!$C:$C,Cataratorii!Q$1)</f>
        <v>44</v>
      </c>
      <c r="R9" s="88">
        <f t="shared" si="0"/>
        <v>5125</v>
      </c>
      <c r="S9" s="37">
        <f>SUMIFS(Data!D:D,Data!A:A,Cataratorii!B9)</f>
        <v>224.82</v>
      </c>
      <c r="T9" s="38" t="str">
        <f>IF(VLOOKUP(B9,Participanti!A:D,4,0)=0," ","New")</f>
        <v>New</v>
      </c>
    </row>
    <row r="10" spans="1:20" ht="13.8" x14ac:dyDescent="0.3">
      <c r="A10" s="103">
        <v>9</v>
      </c>
      <c r="B10" s="36" t="s">
        <v>57</v>
      </c>
      <c r="C10" s="88">
        <f>SUMIFS(Data!$H:$H,Data!$A:$A,Cataratorii!$B10,Data!$C:$C,Cataratorii!C$1)</f>
        <v>109</v>
      </c>
      <c r="D10" s="88">
        <f>SUMIFS(Data!$H:$H,Data!$A:$A,Cataratorii!$B10,Data!$C:$C,Cataratorii!D$1)</f>
        <v>411</v>
      </c>
      <c r="E10" s="88">
        <f>SUMIFS(Data!$H:$H,Data!$A:$A,Cataratorii!$B10,Data!$C:$C,Cataratorii!E$1)</f>
        <v>8</v>
      </c>
      <c r="F10" s="88">
        <f>SUMIFS(Data!$H:$H,Data!$A:$A,Cataratorii!$B10,Data!$C:$C,Cataratorii!F$1)</f>
        <v>432</v>
      </c>
      <c r="G10" s="88">
        <f>SUMIFS(Data!$H:$H,Data!$A:$A,Cataratorii!$B10,Data!$C:$C,Cataratorii!G$1)</f>
        <v>24</v>
      </c>
      <c r="H10" s="88">
        <f>SUMIFS(Data!$H:$H,Data!$A:$A,Cataratorii!$B10,Data!$C:$C,Cataratorii!H$1)</f>
        <v>505</v>
      </c>
      <c r="I10" s="88">
        <f>SUMIFS(Data!$H:$H,Data!$A:$A,Cataratorii!$B10,Data!$C:$C,Cataratorii!I$1)</f>
        <v>10</v>
      </c>
      <c r="J10" s="88">
        <f>SUMIFS(Data!$H:$H,Data!$A:$A,Cataratorii!$B10,Data!$C:$C,Cataratorii!J$1)</f>
        <v>426</v>
      </c>
      <c r="K10" s="88">
        <f>SUMIFS(Data!$H:$H,Data!$A:$A,Cataratorii!$B10,Data!$C:$C,Cataratorii!K$1)</f>
        <v>692</v>
      </c>
      <c r="L10" s="88">
        <f>SUMIFS(Data!$H:$H,Data!$A:$A,Cataratorii!$B10,Data!$C:$C,Cataratorii!L$1)</f>
        <v>14</v>
      </c>
      <c r="M10" s="88">
        <f>SUMIFS(Data!$H:$H,Data!$A:$A,Cataratorii!$B10,Data!$C:$C,Cataratorii!M$1)</f>
        <v>427</v>
      </c>
      <c r="N10" s="88">
        <f>SUMIFS(Data!$H:$H,Data!$A:$A,Cataratorii!$B10,Data!$C:$C,Cataratorii!N$1)</f>
        <v>673</v>
      </c>
      <c r="O10" s="88">
        <f>SUMIFS(Data!$H:$H,Data!$A:$A,Cataratorii!$B10,Data!$C:$C,Cataratorii!O$1)</f>
        <v>0</v>
      </c>
      <c r="P10" s="88">
        <f>SUMIFS(Data!$H:$H,Data!$A:$A,Cataratorii!$B10,Data!$C:$C,Cataratorii!P$1)</f>
        <v>6</v>
      </c>
      <c r="Q10" s="88">
        <f>SUMIFS(Data!$H:$H,Data!$A:$A,Cataratorii!$B10,Data!$C:$C,Cataratorii!Q$1)</f>
        <v>451</v>
      </c>
      <c r="R10" s="88">
        <f t="shared" si="0"/>
        <v>4188</v>
      </c>
      <c r="S10" s="37">
        <f>SUMIFS(Data!D:D,Data!A:A,Cataratorii!B10)</f>
        <v>158.71</v>
      </c>
      <c r="T10" s="38" t="str">
        <f>IF(VLOOKUP(B10,Participanti!A:D,4,0)=0," ","New")</f>
        <v xml:space="preserve"> </v>
      </c>
    </row>
    <row r="11" spans="1:20" ht="13.8" x14ac:dyDescent="0.3">
      <c r="A11" s="103">
        <v>10</v>
      </c>
      <c r="B11" s="36" t="s">
        <v>218</v>
      </c>
      <c r="C11" s="88">
        <f>SUMIFS(Data!$H:$H,Data!$A:$A,Cataratorii!$B11,Data!$C:$C,Cataratorii!C$1)</f>
        <v>52</v>
      </c>
      <c r="D11" s="88">
        <f>SUMIFS(Data!$H:$H,Data!$A:$A,Cataratorii!$B11,Data!$C:$C,Cataratorii!D$1)</f>
        <v>382</v>
      </c>
      <c r="E11" s="88">
        <f>SUMIFS(Data!$H:$H,Data!$A:$A,Cataratorii!$B11,Data!$C:$C,Cataratorii!E$1)</f>
        <v>267</v>
      </c>
      <c r="F11" s="88">
        <f>SUMIFS(Data!$H:$H,Data!$A:$A,Cataratorii!$B11,Data!$C:$C,Cataratorii!F$1)</f>
        <v>339</v>
      </c>
      <c r="G11" s="88">
        <f>SUMIFS(Data!$H:$H,Data!$A:$A,Cataratorii!$B11,Data!$C:$C,Cataratorii!G$1)</f>
        <v>54</v>
      </c>
      <c r="H11" s="88">
        <f>SUMIFS(Data!$H:$H,Data!$A:$A,Cataratorii!$B11,Data!$C:$C,Cataratorii!H$1)</f>
        <v>285</v>
      </c>
      <c r="I11" s="88">
        <f>SUMIFS(Data!$H:$H,Data!$A:$A,Cataratorii!$B11,Data!$C:$C,Cataratorii!I$1)</f>
        <v>64</v>
      </c>
      <c r="J11" s="88">
        <f>SUMIFS(Data!$H:$H,Data!$A:$A,Cataratorii!$B11,Data!$C:$C,Cataratorii!J$1)</f>
        <v>337</v>
      </c>
      <c r="K11" s="88">
        <f>SUMIFS(Data!$H:$H,Data!$A:$A,Cataratorii!$B11,Data!$C:$C,Cataratorii!K$1)</f>
        <v>231</v>
      </c>
      <c r="L11" s="88">
        <f>SUMIFS(Data!$H:$H,Data!$A:$A,Cataratorii!$B11,Data!$C:$C,Cataratorii!L$1)</f>
        <v>280</v>
      </c>
      <c r="M11" s="88">
        <f>SUMIFS(Data!$H:$H,Data!$A:$A,Cataratorii!$B11,Data!$C:$C,Cataratorii!M$1)</f>
        <v>49</v>
      </c>
      <c r="N11" s="88">
        <f>SUMIFS(Data!$H:$H,Data!$A:$A,Cataratorii!$B11,Data!$C:$C,Cataratorii!N$1)</f>
        <v>132</v>
      </c>
      <c r="O11" s="88">
        <f>SUMIFS(Data!$H:$H,Data!$A:$A,Cataratorii!$B11,Data!$C:$C,Cataratorii!O$1)</f>
        <v>266</v>
      </c>
      <c r="P11" s="88">
        <f>SUMIFS(Data!$H:$H,Data!$A:$A,Cataratorii!$B11,Data!$C:$C,Cataratorii!P$1)</f>
        <v>112</v>
      </c>
      <c r="Q11" s="88">
        <f>SUMIFS(Data!$H:$H,Data!$A:$A,Cataratorii!$B11,Data!$C:$C,Cataratorii!Q$1)</f>
        <v>313</v>
      </c>
      <c r="R11" s="88">
        <f t="shared" si="0"/>
        <v>3163</v>
      </c>
      <c r="S11" s="37">
        <f>SUMIFS(Data!D:D,Data!A:A,Cataratorii!B11)</f>
        <v>357.28999999999991</v>
      </c>
      <c r="T11" s="38" t="str">
        <f>IF(VLOOKUP(B11,Participanti!A:D,4,0)=0," ","New")</f>
        <v xml:space="preserve"> </v>
      </c>
    </row>
    <row r="12" spans="1:20" ht="13.8" x14ac:dyDescent="0.3">
      <c r="A12" s="103">
        <v>11</v>
      </c>
      <c r="B12" s="36" t="s">
        <v>117</v>
      </c>
      <c r="C12" s="88">
        <f>SUMIFS(Data!$H:$H,Data!$A:$A,Cataratorii!$B12,Data!$C:$C,Cataratorii!C$1)</f>
        <v>111</v>
      </c>
      <c r="D12" s="88">
        <f>SUMIFS(Data!$H:$H,Data!$A:$A,Cataratorii!$B12,Data!$C:$C,Cataratorii!D$1)</f>
        <v>108</v>
      </c>
      <c r="E12" s="88">
        <f>SUMIFS(Data!$H:$H,Data!$A:$A,Cataratorii!$B12,Data!$C:$C,Cataratorii!E$1)</f>
        <v>55</v>
      </c>
      <c r="F12" s="88">
        <f>SUMIFS(Data!$H:$H,Data!$A:$A,Cataratorii!$B12,Data!$C:$C,Cataratorii!F$1)</f>
        <v>7</v>
      </c>
      <c r="G12" s="88">
        <f>SUMIFS(Data!$H:$H,Data!$A:$A,Cataratorii!$B12,Data!$C:$C,Cataratorii!G$1)</f>
        <v>58</v>
      </c>
      <c r="H12" s="88">
        <f>SUMIFS(Data!$H:$H,Data!$A:$A,Cataratorii!$B12,Data!$C:$C,Cataratorii!H$1)</f>
        <v>134</v>
      </c>
      <c r="I12" s="88">
        <f>SUMIFS(Data!$H:$H,Data!$A:$A,Cataratorii!$B12,Data!$C:$C,Cataratorii!I$1)</f>
        <v>77</v>
      </c>
      <c r="J12" s="88">
        <f>SUMIFS(Data!$H:$H,Data!$A:$A,Cataratorii!$B12,Data!$C:$C,Cataratorii!J$1)</f>
        <v>45</v>
      </c>
      <c r="K12" s="88">
        <f>SUMIFS(Data!$H:$H,Data!$A:$A,Cataratorii!$B12,Data!$C:$C,Cataratorii!K$1)</f>
        <v>85</v>
      </c>
      <c r="L12" s="88">
        <f>SUMIFS(Data!$H:$H,Data!$A:$A,Cataratorii!$B12,Data!$C:$C,Cataratorii!L$1)</f>
        <v>20</v>
      </c>
      <c r="M12" s="88">
        <f>SUMIFS(Data!$H:$H,Data!$A:$A,Cataratorii!$B12,Data!$C:$C,Cataratorii!M$1)</f>
        <v>36</v>
      </c>
      <c r="N12" s="88">
        <f>SUMIFS(Data!$H:$H,Data!$A:$A,Cataratorii!$B12,Data!$C:$C,Cataratorii!N$1)</f>
        <v>108</v>
      </c>
      <c r="O12" s="88">
        <f>SUMIFS(Data!$H:$H,Data!$A:$A,Cataratorii!$B12,Data!$C:$C,Cataratorii!O$1)</f>
        <v>1320</v>
      </c>
      <c r="P12" s="88">
        <f>SUMIFS(Data!$H:$H,Data!$A:$A,Cataratorii!$B12,Data!$C:$C,Cataratorii!P$1)</f>
        <v>963</v>
      </c>
      <c r="Q12" s="88">
        <f>SUMIFS(Data!$H:$H,Data!$A:$A,Cataratorii!$B12,Data!$C:$C,Cataratorii!Q$1)</f>
        <v>18</v>
      </c>
      <c r="R12" s="88">
        <f t="shared" si="0"/>
        <v>3145</v>
      </c>
      <c r="S12" s="37">
        <f>SUMIFS(Data!D:D,Data!A:A,Cataratorii!B12)</f>
        <v>428.02000000000004</v>
      </c>
      <c r="T12" s="38" t="str">
        <f>IF(VLOOKUP(B12,Participanti!A:D,4,0)=0," ","New")</f>
        <v xml:space="preserve"> </v>
      </c>
    </row>
    <row r="13" spans="1:20" ht="13.8" x14ac:dyDescent="0.3">
      <c r="A13" s="103">
        <v>12</v>
      </c>
      <c r="B13" s="36" t="s">
        <v>49</v>
      </c>
      <c r="C13" s="88">
        <f>SUMIFS(Data!$H:$H,Data!$A:$A,Cataratorii!$B13,Data!$C:$C,Cataratorii!C$1)</f>
        <v>150</v>
      </c>
      <c r="D13" s="88">
        <f>SUMIFS(Data!$H:$H,Data!$A:$A,Cataratorii!$B13,Data!$C:$C,Cataratorii!D$1)</f>
        <v>192</v>
      </c>
      <c r="E13" s="88">
        <f>SUMIFS(Data!$H:$H,Data!$A:$A,Cataratorii!$B13,Data!$C:$C,Cataratorii!E$1)</f>
        <v>188</v>
      </c>
      <c r="F13" s="88">
        <f>SUMIFS(Data!$H:$H,Data!$A:$A,Cataratorii!$B13,Data!$C:$C,Cataratorii!F$1)</f>
        <v>161</v>
      </c>
      <c r="G13" s="88">
        <f>SUMIFS(Data!$H:$H,Data!$A:$A,Cataratorii!$B13,Data!$C:$C,Cataratorii!G$1)</f>
        <v>602</v>
      </c>
      <c r="H13" s="88">
        <f>SUMIFS(Data!$H:$H,Data!$A:$A,Cataratorii!$B13,Data!$C:$C,Cataratorii!H$1)</f>
        <v>183</v>
      </c>
      <c r="I13" s="88">
        <f>SUMIFS(Data!$H:$H,Data!$A:$A,Cataratorii!$B13,Data!$C:$C,Cataratorii!I$1)</f>
        <v>514</v>
      </c>
      <c r="J13" s="88">
        <f>SUMIFS(Data!$H:$H,Data!$A:$A,Cataratorii!$B13,Data!$C:$C,Cataratorii!J$1)</f>
        <v>197</v>
      </c>
      <c r="K13" s="88">
        <f>SUMIFS(Data!$H:$H,Data!$A:$A,Cataratorii!$B13,Data!$C:$C,Cataratorii!K$1)</f>
        <v>305</v>
      </c>
      <c r="L13" s="88">
        <f>SUMIFS(Data!$H:$H,Data!$A:$A,Cataratorii!$B13,Data!$C:$C,Cataratorii!L$1)</f>
        <v>126</v>
      </c>
      <c r="M13" s="88">
        <f>SUMIFS(Data!$H:$H,Data!$A:$A,Cataratorii!$B13,Data!$C:$C,Cataratorii!M$1)</f>
        <v>154</v>
      </c>
      <c r="N13" s="88">
        <f>SUMIFS(Data!$H:$H,Data!$A:$A,Cataratorii!$B13,Data!$C:$C,Cataratorii!N$1)</f>
        <v>174</v>
      </c>
      <c r="O13" s="88">
        <f>SUMIFS(Data!$H:$H,Data!$A:$A,Cataratorii!$B13,Data!$C:$C,Cataratorii!O$1)</f>
        <v>15</v>
      </c>
      <c r="P13" s="88">
        <f>SUMIFS(Data!$H:$H,Data!$A:$A,Cataratorii!$B13,Data!$C:$C,Cataratorii!P$1)</f>
        <v>0</v>
      </c>
      <c r="Q13" s="88">
        <f>SUMIFS(Data!$H:$H,Data!$A:$A,Cataratorii!$B13,Data!$C:$C,Cataratorii!Q$1)</f>
        <v>0</v>
      </c>
      <c r="R13" s="88">
        <f t="shared" si="0"/>
        <v>2961</v>
      </c>
      <c r="S13" s="37">
        <f>SUMIFS(Data!D:D,Data!A:A,Cataratorii!B13)</f>
        <v>167.23000000000002</v>
      </c>
      <c r="T13" s="38" t="str">
        <f>IF(VLOOKUP(B13,Participanti!A:D,4,0)=0," ","New")</f>
        <v xml:space="preserve"> </v>
      </c>
    </row>
    <row r="14" spans="1:20" ht="13.8" x14ac:dyDescent="0.3">
      <c r="A14" s="103">
        <v>13</v>
      </c>
      <c r="B14" s="36" t="s">
        <v>215</v>
      </c>
      <c r="C14" s="88">
        <f>SUMIFS(Data!$H:$H,Data!$A:$A,Cataratorii!$B14,Data!$C:$C,Cataratorii!C$1)</f>
        <v>186</v>
      </c>
      <c r="D14" s="88">
        <f>SUMIFS(Data!$H:$H,Data!$A:$A,Cataratorii!$B14,Data!$C:$C,Cataratorii!D$1)</f>
        <v>516</v>
      </c>
      <c r="E14" s="88">
        <f>SUMIFS(Data!$H:$H,Data!$A:$A,Cataratorii!$B14,Data!$C:$C,Cataratorii!E$1)</f>
        <v>460</v>
      </c>
      <c r="F14" s="88">
        <f>SUMIFS(Data!$H:$H,Data!$A:$A,Cataratorii!$B14,Data!$C:$C,Cataratorii!F$1)</f>
        <v>441</v>
      </c>
      <c r="G14" s="88">
        <f>SUMIFS(Data!$H:$H,Data!$A:$A,Cataratorii!$B14,Data!$C:$C,Cataratorii!G$1)</f>
        <v>461</v>
      </c>
      <c r="H14" s="88">
        <f>SUMIFS(Data!$H:$H,Data!$A:$A,Cataratorii!$B14,Data!$C:$C,Cataratorii!H$1)</f>
        <v>0</v>
      </c>
      <c r="I14" s="88">
        <f>SUMIFS(Data!$H:$H,Data!$A:$A,Cataratorii!$B14,Data!$C:$C,Cataratorii!I$1)</f>
        <v>65</v>
      </c>
      <c r="J14" s="88">
        <f>SUMIFS(Data!$H:$H,Data!$A:$A,Cataratorii!$B14,Data!$C:$C,Cataratorii!J$1)</f>
        <v>73</v>
      </c>
      <c r="K14" s="88">
        <f>SUMIFS(Data!$H:$H,Data!$A:$A,Cataratorii!$B14,Data!$C:$C,Cataratorii!K$1)</f>
        <v>0</v>
      </c>
      <c r="L14" s="88">
        <f>SUMIFS(Data!$H:$H,Data!$A:$A,Cataratorii!$B14,Data!$C:$C,Cataratorii!L$1)</f>
        <v>0</v>
      </c>
      <c r="M14" s="88">
        <f>SUMIFS(Data!$H:$H,Data!$A:$A,Cataratorii!$B14,Data!$C:$C,Cataratorii!M$1)</f>
        <v>32</v>
      </c>
      <c r="N14" s="88">
        <f>SUMIFS(Data!$H:$H,Data!$A:$A,Cataratorii!$B14,Data!$C:$C,Cataratorii!N$1)</f>
        <v>104</v>
      </c>
      <c r="O14" s="88">
        <f>SUMIFS(Data!$H:$H,Data!$A:$A,Cataratorii!$B14,Data!$C:$C,Cataratorii!O$1)</f>
        <v>73</v>
      </c>
      <c r="P14" s="88">
        <f>SUMIFS(Data!$H:$H,Data!$A:$A,Cataratorii!$B14,Data!$C:$C,Cataratorii!P$1)</f>
        <v>234</v>
      </c>
      <c r="Q14" s="88">
        <f>SUMIFS(Data!$H:$H,Data!$A:$A,Cataratorii!$B14,Data!$C:$C,Cataratorii!Q$1)</f>
        <v>173</v>
      </c>
      <c r="R14" s="88">
        <f t="shared" si="0"/>
        <v>2818</v>
      </c>
      <c r="S14" s="37">
        <f>SUMIFS(Data!D:D,Data!A:A,Cataratorii!B14)</f>
        <v>227.7</v>
      </c>
      <c r="T14" s="38" t="str">
        <f>IF(VLOOKUP(B14,Participanti!A:D,4,0)=0," ","New")</f>
        <v xml:space="preserve"> </v>
      </c>
    </row>
    <row r="15" spans="1:20" ht="13.8" x14ac:dyDescent="0.3">
      <c r="A15" s="103">
        <v>14</v>
      </c>
      <c r="B15" s="36" t="s">
        <v>141</v>
      </c>
      <c r="C15" s="88">
        <f>SUMIFS(Data!$H:$H,Data!$A:$A,Cataratorii!$B15,Data!$C:$C,Cataratorii!C$1)</f>
        <v>447</v>
      </c>
      <c r="D15" s="88">
        <f>SUMIFS(Data!$H:$H,Data!$A:$A,Cataratorii!$B15,Data!$C:$C,Cataratorii!D$1)</f>
        <v>114</v>
      </c>
      <c r="E15" s="88">
        <f>SUMIFS(Data!$H:$H,Data!$A:$A,Cataratorii!$B15,Data!$C:$C,Cataratorii!E$1)</f>
        <v>289</v>
      </c>
      <c r="F15" s="88">
        <f>SUMIFS(Data!$H:$H,Data!$A:$A,Cataratorii!$B15,Data!$C:$C,Cataratorii!F$1)</f>
        <v>446</v>
      </c>
      <c r="G15" s="88">
        <f>SUMIFS(Data!$H:$H,Data!$A:$A,Cataratorii!$B15,Data!$C:$C,Cataratorii!G$1)</f>
        <v>479</v>
      </c>
      <c r="H15" s="88">
        <f>SUMIFS(Data!$H:$H,Data!$A:$A,Cataratorii!$B15,Data!$C:$C,Cataratorii!H$1)</f>
        <v>0</v>
      </c>
      <c r="I15" s="88">
        <f>SUMIFS(Data!$H:$H,Data!$A:$A,Cataratorii!$B15,Data!$C:$C,Cataratorii!I$1)</f>
        <v>81</v>
      </c>
      <c r="J15" s="88">
        <f>SUMIFS(Data!$H:$H,Data!$A:$A,Cataratorii!$B15,Data!$C:$C,Cataratorii!J$1)</f>
        <v>86</v>
      </c>
      <c r="K15" s="88">
        <f>SUMIFS(Data!$H:$H,Data!$A:$A,Cataratorii!$B15,Data!$C:$C,Cataratorii!K$1)</f>
        <v>22</v>
      </c>
      <c r="L15" s="88">
        <f>SUMIFS(Data!$H:$H,Data!$A:$A,Cataratorii!$B15,Data!$C:$C,Cataratorii!L$1)</f>
        <v>2</v>
      </c>
      <c r="M15" s="88">
        <f>SUMIFS(Data!$H:$H,Data!$A:$A,Cataratorii!$B15,Data!$C:$C,Cataratorii!M$1)</f>
        <v>38</v>
      </c>
      <c r="N15" s="88">
        <f>SUMIFS(Data!$H:$H,Data!$A:$A,Cataratorii!$B15,Data!$C:$C,Cataratorii!N$1)</f>
        <v>22</v>
      </c>
      <c r="O15" s="88">
        <f>SUMIFS(Data!$H:$H,Data!$A:$A,Cataratorii!$B15,Data!$C:$C,Cataratorii!O$1)</f>
        <v>80</v>
      </c>
      <c r="P15" s="88">
        <f>SUMIFS(Data!$H:$H,Data!$A:$A,Cataratorii!$B15,Data!$C:$C,Cataratorii!P$1)</f>
        <v>249</v>
      </c>
      <c r="Q15" s="88">
        <f>SUMIFS(Data!$H:$H,Data!$A:$A,Cataratorii!$B15,Data!$C:$C,Cataratorii!Q$1)</f>
        <v>30</v>
      </c>
      <c r="R15" s="88">
        <f t="shared" si="0"/>
        <v>2385</v>
      </c>
      <c r="S15" s="37">
        <f>SUMIFS(Data!D:D,Data!A:A,Cataratorii!B15)</f>
        <v>242.19999999999996</v>
      </c>
      <c r="T15" s="38" t="str">
        <f>IF(VLOOKUP(B15,Participanti!A:D,4,0)=0," ","New")</f>
        <v xml:space="preserve"> </v>
      </c>
    </row>
    <row r="16" spans="1:20" ht="13.8" x14ac:dyDescent="0.3">
      <c r="A16" s="103">
        <v>15</v>
      </c>
      <c r="B16" s="36" t="s">
        <v>216</v>
      </c>
      <c r="C16" s="88">
        <f>SUMIFS(Data!$H:$H,Data!$A:$A,Cataratorii!$B16,Data!$C:$C,Cataratorii!C$1)</f>
        <v>24</v>
      </c>
      <c r="D16" s="88">
        <f>SUMIFS(Data!$H:$H,Data!$A:$A,Cataratorii!$B16,Data!$C:$C,Cataratorii!D$1)</f>
        <v>11</v>
      </c>
      <c r="E16" s="88">
        <f>SUMIFS(Data!$H:$H,Data!$A:$A,Cataratorii!$B16,Data!$C:$C,Cataratorii!E$1)</f>
        <v>1131</v>
      </c>
      <c r="F16" s="88">
        <f>SUMIFS(Data!$H:$H,Data!$A:$A,Cataratorii!$B16,Data!$C:$C,Cataratorii!F$1)</f>
        <v>6</v>
      </c>
      <c r="G16" s="88">
        <f>SUMIFS(Data!$H:$H,Data!$A:$A,Cataratorii!$B16,Data!$C:$C,Cataratorii!G$1)</f>
        <v>34</v>
      </c>
      <c r="H16" s="88">
        <f>SUMIFS(Data!$H:$H,Data!$A:$A,Cataratorii!$B16,Data!$C:$C,Cataratorii!H$1)</f>
        <v>28</v>
      </c>
      <c r="I16" s="88">
        <f>SUMIFS(Data!$H:$H,Data!$A:$A,Cataratorii!$B16,Data!$C:$C,Cataratorii!I$1)</f>
        <v>31</v>
      </c>
      <c r="J16" s="88">
        <f>SUMIFS(Data!$H:$H,Data!$A:$A,Cataratorii!$B16,Data!$C:$C,Cataratorii!J$1)</f>
        <v>30</v>
      </c>
      <c r="K16" s="88">
        <f>SUMIFS(Data!$H:$H,Data!$A:$A,Cataratorii!$B16,Data!$C:$C,Cataratorii!K$1)</f>
        <v>10</v>
      </c>
      <c r="L16" s="88">
        <f>SUMIFS(Data!$H:$H,Data!$A:$A,Cataratorii!$B16,Data!$C:$C,Cataratorii!L$1)</f>
        <v>43</v>
      </c>
      <c r="M16" s="88">
        <f>SUMIFS(Data!$H:$H,Data!$A:$A,Cataratorii!$B16,Data!$C:$C,Cataratorii!M$1)</f>
        <v>8</v>
      </c>
      <c r="N16" s="88">
        <f>SUMIFS(Data!$H:$H,Data!$A:$A,Cataratorii!$B16,Data!$C:$C,Cataratorii!N$1)</f>
        <v>729</v>
      </c>
      <c r="O16" s="88">
        <f>SUMIFS(Data!$H:$H,Data!$A:$A,Cataratorii!$B16,Data!$C:$C,Cataratorii!O$1)</f>
        <v>14</v>
      </c>
      <c r="P16" s="88">
        <f>SUMIFS(Data!$H:$H,Data!$A:$A,Cataratorii!$B16,Data!$C:$C,Cataratorii!P$1)</f>
        <v>94</v>
      </c>
      <c r="Q16" s="88">
        <f>SUMIFS(Data!$H:$H,Data!$A:$A,Cataratorii!$B16,Data!$C:$C,Cataratorii!Q$1)</f>
        <v>0</v>
      </c>
      <c r="R16" s="88">
        <f t="shared" si="0"/>
        <v>2193</v>
      </c>
      <c r="S16" s="37">
        <f>SUMIFS(Data!D:D,Data!A:A,Cataratorii!B16)</f>
        <v>196.5</v>
      </c>
      <c r="T16" s="38" t="str">
        <f>IF(VLOOKUP(B16,Participanti!A:D,4,0)=0," ","New")</f>
        <v xml:space="preserve"> </v>
      </c>
    </row>
    <row r="17" spans="1:20" ht="13.8" x14ac:dyDescent="0.3">
      <c r="A17" s="103">
        <v>16</v>
      </c>
      <c r="B17" s="36" t="s">
        <v>142</v>
      </c>
      <c r="C17" s="88">
        <f>SUMIFS(Data!$H:$H,Data!$A:$A,Cataratorii!$B17,Data!$C:$C,Cataratorii!C$1)</f>
        <v>82</v>
      </c>
      <c r="D17" s="88">
        <f>SUMIFS(Data!$H:$H,Data!$A:$A,Cataratorii!$B17,Data!$C:$C,Cataratorii!D$1)</f>
        <v>72</v>
      </c>
      <c r="E17" s="88">
        <f>SUMIFS(Data!$H:$H,Data!$A:$A,Cataratorii!$B17,Data!$C:$C,Cataratorii!E$1)</f>
        <v>377</v>
      </c>
      <c r="F17" s="88">
        <f>SUMIFS(Data!$H:$H,Data!$A:$A,Cataratorii!$B17,Data!$C:$C,Cataratorii!F$1)</f>
        <v>430</v>
      </c>
      <c r="G17" s="88">
        <f>SUMIFS(Data!$H:$H,Data!$A:$A,Cataratorii!$B17,Data!$C:$C,Cataratorii!G$1)</f>
        <v>20</v>
      </c>
      <c r="H17" s="88">
        <f>SUMIFS(Data!$H:$H,Data!$A:$A,Cataratorii!$B17,Data!$C:$C,Cataratorii!H$1)</f>
        <v>20</v>
      </c>
      <c r="I17" s="88">
        <f>SUMIFS(Data!$H:$H,Data!$A:$A,Cataratorii!$B17,Data!$C:$C,Cataratorii!I$1)</f>
        <v>123</v>
      </c>
      <c r="J17" s="88">
        <f>SUMIFS(Data!$H:$H,Data!$A:$A,Cataratorii!$B17,Data!$C:$C,Cataratorii!J$1)</f>
        <v>426</v>
      </c>
      <c r="K17" s="88">
        <f>SUMIFS(Data!$H:$H,Data!$A:$A,Cataratorii!$B17,Data!$C:$C,Cataratorii!K$1)</f>
        <v>26</v>
      </c>
      <c r="L17" s="88">
        <f>SUMIFS(Data!$H:$H,Data!$A:$A,Cataratorii!$B17,Data!$C:$C,Cataratorii!L$1)</f>
        <v>411</v>
      </c>
      <c r="M17" s="88">
        <f>SUMIFS(Data!$H:$H,Data!$A:$A,Cataratorii!$B17,Data!$C:$C,Cataratorii!M$1)</f>
        <v>34</v>
      </c>
      <c r="N17" s="88">
        <f>SUMIFS(Data!$H:$H,Data!$A:$A,Cataratorii!$B17,Data!$C:$C,Cataratorii!N$1)</f>
        <v>0</v>
      </c>
      <c r="O17" s="88">
        <f>SUMIFS(Data!$H:$H,Data!$A:$A,Cataratorii!$B17,Data!$C:$C,Cataratorii!O$1)</f>
        <v>0</v>
      </c>
      <c r="P17" s="88">
        <f>SUMIFS(Data!$H:$H,Data!$A:$A,Cataratorii!$B17,Data!$C:$C,Cataratorii!P$1)</f>
        <v>171</v>
      </c>
      <c r="Q17" s="88">
        <f>SUMIFS(Data!$H:$H,Data!$A:$A,Cataratorii!$B17,Data!$C:$C,Cataratorii!Q$1)</f>
        <v>0</v>
      </c>
      <c r="R17" s="88">
        <f t="shared" si="0"/>
        <v>2192</v>
      </c>
      <c r="S17" s="37">
        <f>SUMIFS(Data!D:D,Data!A:A,Cataratorii!B17)</f>
        <v>115.11000000000001</v>
      </c>
      <c r="T17" s="38" t="str">
        <f>IF(VLOOKUP(B17,Participanti!A:D,4,0)=0," ","New")</f>
        <v xml:space="preserve"> </v>
      </c>
    </row>
    <row r="18" spans="1:20" ht="13.8" x14ac:dyDescent="0.3">
      <c r="A18" s="103">
        <v>17</v>
      </c>
      <c r="B18" s="36" t="s">
        <v>221</v>
      </c>
      <c r="C18" s="88">
        <f>SUMIFS(Data!$H:$H,Data!$A:$A,Cataratorii!$B18,Data!$C:$C,Cataratorii!C$1)</f>
        <v>0</v>
      </c>
      <c r="D18" s="88">
        <f>SUMIFS(Data!$H:$H,Data!$A:$A,Cataratorii!$B18,Data!$C:$C,Cataratorii!D$1)</f>
        <v>0</v>
      </c>
      <c r="E18" s="88">
        <f>SUMIFS(Data!$H:$H,Data!$A:$A,Cataratorii!$B18,Data!$C:$C,Cataratorii!E$1)</f>
        <v>0</v>
      </c>
      <c r="F18" s="88">
        <f>SUMIFS(Data!$H:$H,Data!$A:$A,Cataratorii!$B18,Data!$C:$C,Cataratorii!F$1)</f>
        <v>52</v>
      </c>
      <c r="G18" s="88">
        <f>SUMIFS(Data!$H:$H,Data!$A:$A,Cataratorii!$B18,Data!$C:$C,Cataratorii!G$1)</f>
        <v>0</v>
      </c>
      <c r="H18" s="88">
        <f>SUMIFS(Data!$H:$H,Data!$A:$A,Cataratorii!$B18,Data!$C:$C,Cataratorii!H$1)</f>
        <v>660</v>
      </c>
      <c r="I18" s="88">
        <f>SUMIFS(Data!$H:$H,Data!$A:$A,Cataratorii!$B18,Data!$C:$C,Cataratorii!I$1)</f>
        <v>0</v>
      </c>
      <c r="J18" s="88">
        <f>SUMIFS(Data!$H:$H,Data!$A:$A,Cataratorii!$B18,Data!$C:$C,Cataratorii!J$1)</f>
        <v>0</v>
      </c>
      <c r="K18" s="88">
        <f>SUMIFS(Data!$H:$H,Data!$A:$A,Cataratorii!$B18,Data!$C:$C,Cataratorii!K$1)</f>
        <v>0</v>
      </c>
      <c r="L18" s="88">
        <f>SUMIFS(Data!$H:$H,Data!$A:$A,Cataratorii!$B18,Data!$C:$C,Cataratorii!L$1)</f>
        <v>0</v>
      </c>
      <c r="M18" s="88">
        <f>SUMIFS(Data!$H:$H,Data!$A:$A,Cataratorii!$B18,Data!$C:$C,Cataratorii!M$1)</f>
        <v>0</v>
      </c>
      <c r="N18" s="88">
        <f>SUMIFS(Data!$H:$H,Data!$A:$A,Cataratorii!$B18,Data!$C:$C,Cataratorii!N$1)</f>
        <v>0</v>
      </c>
      <c r="O18" s="88">
        <f>SUMIFS(Data!$H:$H,Data!$A:$A,Cataratorii!$B18,Data!$C:$C,Cataratorii!O$1)</f>
        <v>1296</v>
      </c>
      <c r="P18" s="88">
        <f>SUMIFS(Data!$H:$H,Data!$A:$A,Cataratorii!$B18,Data!$C:$C,Cataratorii!P$1)</f>
        <v>0</v>
      </c>
      <c r="Q18" s="88">
        <f>SUMIFS(Data!$H:$H,Data!$A:$A,Cataratorii!$B18,Data!$C:$C,Cataratorii!Q$1)</f>
        <v>0</v>
      </c>
      <c r="R18" s="88">
        <f t="shared" si="0"/>
        <v>2008</v>
      </c>
      <c r="S18" s="37">
        <f>SUMIFS(Data!D:D,Data!A:A,Cataratorii!B18)</f>
        <v>85.6</v>
      </c>
      <c r="T18" s="38" t="str">
        <f>IF(VLOOKUP(B18,Participanti!A:D,4,0)=0," ","New")</f>
        <v xml:space="preserve"> </v>
      </c>
    </row>
    <row r="19" spans="1:20" ht="13.8" x14ac:dyDescent="0.3">
      <c r="A19" s="103">
        <v>18</v>
      </c>
      <c r="B19" s="36" t="s">
        <v>179</v>
      </c>
      <c r="C19" s="88">
        <f>SUMIFS(Data!$H:$H,Data!$A:$A,Cataratorii!$B19,Data!$C:$C,Cataratorii!C$1)</f>
        <v>0</v>
      </c>
      <c r="D19" s="88">
        <f>SUMIFS(Data!$H:$H,Data!$A:$A,Cataratorii!$B19,Data!$C:$C,Cataratorii!D$1)</f>
        <v>8</v>
      </c>
      <c r="E19" s="88">
        <f>SUMIFS(Data!$H:$H,Data!$A:$A,Cataratorii!$B19,Data!$C:$C,Cataratorii!E$1)</f>
        <v>34</v>
      </c>
      <c r="F19" s="88">
        <f>SUMIFS(Data!$H:$H,Data!$A:$A,Cataratorii!$B19,Data!$C:$C,Cataratorii!F$1)</f>
        <v>275</v>
      </c>
      <c r="G19" s="88">
        <f>SUMIFS(Data!$H:$H,Data!$A:$A,Cataratorii!$B19,Data!$C:$C,Cataratorii!G$1)</f>
        <v>462</v>
      </c>
      <c r="H19" s="88">
        <f>SUMIFS(Data!$H:$H,Data!$A:$A,Cataratorii!$B19,Data!$C:$C,Cataratorii!H$1)</f>
        <v>141</v>
      </c>
      <c r="I19" s="88">
        <f>SUMIFS(Data!$H:$H,Data!$A:$A,Cataratorii!$B19,Data!$C:$C,Cataratorii!I$1)</f>
        <v>6</v>
      </c>
      <c r="J19" s="88">
        <f>SUMIFS(Data!$H:$H,Data!$A:$A,Cataratorii!$B19,Data!$C:$C,Cataratorii!J$1)</f>
        <v>25</v>
      </c>
      <c r="K19" s="88">
        <f>SUMIFS(Data!$H:$H,Data!$A:$A,Cataratorii!$B19,Data!$C:$C,Cataratorii!K$1)</f>
        <v>183</v>
      </c>
      <c r="L19" s="88">
        <f>SUMIFS(Data!$H:$H,Data!$A:$A,Cataratorii!$B19,Data!$C:$C,Cataratorii!L$1)</f>
        <v>8</v>
      </c>
      <c r="M19" s="88">
        <f>SUMIFS(Data!$H:$H,Data!$A:$A,Cataratorii!$B19,Data!$C:$C,Cataratorii!M$1)</f>
        <v>112</v>
      </c>
      <c r="N19" s="88">
        <f>SUMIFS(Data!$H:$H,Data!$A:$A,Cataratorii!$B19,Data!$C:$C,Cataratorii!N$1)</f>
        <v>9</v>
      </c>
      <c r="O19" s="88">
        <f>SUMIFS(Data!$H:$H,Data!$A:$A,Cataratorii!$B19,Data!$C:$C,Cataratorii!O$1)</f>
        <v>26</v>
      </c>
      <c r="P19" s="88">
        <f>SUMIFS(Data!$H:$H,Data!$A:$A,Cataratorii!$B19,Data!$C:$C,Cataratorii!P$1)</f>
        <v>33</v>
      </c>
      <c r="Q19" s="88">
        <f>SUMIFS(Data!$H:$H,Data!$A:$A,Cataratorii!$B19,Data!$C:$C,Cataratorii!Q$1)</f>
        <v>55</v>
      </c>
      <c r="R19" s="88">
        <f t="shared" si="0"/>
        <v>1377</v>
      </c>
      <c r="S19" s="37">
        <f>SUMIFS(Data!D:D,Data!A:A,Cataratorii!B19)</f>
        <v>214.36000000000004</v>
      </c>
      <c r="T19" s="38" t="str">
        <f>IF(VLOOKUP(B19,Participanti!A:D,4,0)=0," ","New")</f>
        <v xml:space="preserve"> </v>
      </c>
    </row>
    <row r="20" spans="1:20" ht="13.8" x14ac:dyDescent="0.3">
      <c r="A20" s="103">
        <v>19</v>
      </c>
      <c r="B20" s="36" t="s">
        <v>138</v>
      </c>
      <c r="C20" s="88">
        <f>SUMIFS(Data!$H:$H,Data!$A:$A,Cataratorii!$B20,Data!$C:$C,Cataratorii!C$1)</f>
        <v>135</v>
      </c>
      <c r="D20" s="88">
        <f>SUMIFS(Data!$H:$H,Data!$A:$A,Cataratorii!$B20,Data!$C:$C,Cataratorii!D$1)</f>
        <v>0</v>
      </c>
      <c r="E20" s="88">
        <f>SUMIFS(Data!$H:$H,Data!$A:$A,Cataratorii!$B20,Data!$C:$C,Cataratorii!E$1)</f>
        <v>35</v>
      </c>
      <c r="F20" s="88">
        <f>SUMIFS(Data!$H:$H,Data!$A:$A,Cataratorii!$B20,Data!$C:$C,Cataratorii!F$1)</f>
        <v>136</v>
      </c>
      <c r="G20" s="88">
        <f>SUMIFS(Data!$H:$H,Data!$A:$A,Cataratorii!$B20,Data!$C:$C,Cataratorii!G$1)</f>
        <v>0</v>
      </c>
      <c r="H20" s="88">
        <f>SUMIFS(Data!$H:$H,Data!$A:$A,Cataratorii!$B20,Data!$C:$C,Cataratorii!H$1)</f>
        <v>91</v>
      </c>
      <c r="I20" s="88">
        <f>SUMIFS(Data!$H:$H,Data!$A:$A,Cataratorii!$B20,Data!$C:$C,Cataratorii!I$1)</f>
        <v>116</v>
      </c>
      <c r="J20" s="88">
        <f>SUMIFS(Data!$H:$H,Data!$A:$A,Cataratorii!$B20,Data!$C:$C,Cataratorii!J$1)</f>
        <v>78</v>
      </c>
      <c r="K20" s="88">
        <f>SUMIFS(Data!$H:$H,Data!$A:$A,Cataratorii!$B20,Data!$C:$C,Cataratorii!K$1)</f>
        <v>92</v>
      </c>
      <c r="L20" s="88">
        <f>SUMIFS(Data!$H:$H,Data!$A:$A,Cataratorii!$B20,Data!$C:$C,Cataratorii!L$1)</f>
        <v>49</v>
      </c>
      <c r="M20" s="88">
        <f>SUMIFS(Data!$H:$H,Data!$A:$A,Cataratorii!$B20,Data!$C:$C,Cataratorii!M$1)</f>
        <v>59</v>
      </c>
      <c r="N20" s="88">
        <f>SUMIFS(Data!$H:$H,Data!$A:$A,Cataratorii!$B20,Data!$C:$C,Cataratorii!N$1)</f>
        <v>0</v>
      </c>
      <c r="O20" s="88">
        <f>SUMIFS(Data!$H:$H,Data!$A:$A,Cataratorii!$B20,Data!$C:$C,Cataratorii!O$1)</f>
        <v>353</v>
      </c>
      <c r="P20" s="88">
        <f>SUMIFS(Data!$H:$H,Data!$A:$A,Cataratorii!$B20,Data!$C:$C,Cataratorii!P$1)</f>
        <v>26</v>
      </c>
      <c r="Q20" s="88">
        <f>SUMIFS(Data!$H:$H,Data!$A:$A,Cataratorii!$B20,Data!$C:$C,Cataratorii!Q$1)</f>
        <v>47</v>
      </c>
      <c r="R20" s="88">
        <f t="shared" si="0"/>
        <v>1217</v>
      </c>
      <c r="S20" s="37">
        <f>SUMIFS(Data!D:D,Data!A:A,Cataratorii!B20)</f>
        <v>92.42</v>
      </c>
      <c r="T20" s="38" t="str">
        <f>IF(VLOOKUP(B20,Participanti!A:D,4,0)=0," ","New")</f>
        <v xml:space="preserve"> </v>
      </c>
    </row>
    <row r="21" spans="1:20" ht="13.8" x14ac:dyDescent="0.3">
      <c r="A21" s="103">
        <v>20</v>
      </c>
      <c r="B21" s="36" t="s">
        <v>222</v>
      </c>
      <c r="C21" s="88">
        <f>SUMIFS(Data!$H:$H,Data!$A:$A,Cataratorii!$B21,Data!$C:$C,Cataratorii!C$1)</f>
        <v>6</v>
      </c>
      <c r="D21" s="88">
        <f>SUMIFS(Data!$H:$H,Data!$A:$A,Cataratorii!$B21,Data!$C:$C,Cataratorii!D$1)</f>
        <v>0</v>
      </c>
      <c r="E21" s="88">
        <f>SUMIFS(Data!$H:$H,Data!$A:$A,Cataratorii!$B21,Data!$C:$C,Cataratorii!E$1)</f>
        <v>741</v>
      </c>
      <c r="F21" s="88">
        <f>SUMIFS(Data!$H:$H,Data!$A:$A,Cataratorii!$B21,Data!$C:$C,Cataratorii!F$1)</f>
        <v>3</v>
      </c>
      <c r="G21" s="88">
        <f>SUMIFS(Data!$H:$H,Data!$A:$A,Cataratorii!$B21,Data!$C:$C,Cataratorii!G$1)</f>
        <v>61</v>
      </c>
      <c r="H21" s="88">
        <f>SUMIFS(Data!$H:$H,Data!$A:$A,Cataratorii!$B21,Data!$C:$C,Cataratorii!H$1)</f>
        <v>10</v>
      </c>
      <c r="I21" s="88">
        <f>SUMIFS(Data!$H:$H,Data!$A:$A,Cataratorii!$B21,Data!$C:$C,Cataratorii!I$1)</f>
        <v>0</v>
      </c>
      <c r="J21" s="88">
        <f>SUMIFS(Data!$H:$H,Data!$A:$A,Cataratorii!$B21,Data!$C:$C,Cataratorii!J$1)</f>
        <v>0</v>
      </c>
      <c r="K21" s="88">
        <f>SUMIFS(Data!$H:$H,Data!$A:$A,Cataratorii!$B21,Data!$C:$C,Cataratorii!K$1)</f>
        <v>0</v>
      </c>
      <c r="L21" s="88">
        <f>SUMIFS(Data!$H:$H,Data!$A:$A,Cataratorii!$B21,Data!$C:$C,Cataratorii!L$1)</f>
        <v>0</v>
      </c>
      <c r="M21" s="88">
        <f>SUMIFS(Data!$H:$H,Data!$A:$A,Cataratorii!$B21,Data!$C:$C,Cataratorii!M$1)</f>
        <v>0</v>
      </c>
      <c r="N21" s="88">
        <f>SUMIFS(Data!$H:$H,Data!$A:$A,Cataratorii!$B21,Data!$C:$C,Cataratorii!N$1)</f>
        <v>0</v>
      </c>
      <c r="O21" s="88">
        <f>SUMIFS(Data!$H:$H,Data!$A:$A,Cataratorii!$B21,Data!$C:$C,Cataratorii!O$1)</f>
        <v>338</v>
      </c>
      <c r="P21" s="88">
        <f>SUMIFS(Data!$H:$H,Data!$A:$A,Cataratorii!$B21,Data!$C:$C,Cataratorii!P$1)</f>
        <v>0</v>
      </c>
      <c r="Q21" s="88">
        <f>SUMIFS(Data!$H:$H,Data!$A:$A,Cataratorii!$B21,Data!$C:$C,Cataratorii!Q$1)</f>
        <v>0</v>
      </c>
      <c r="R21" s="88">
        <f t="shared" si="0"/>
        <v>1159</v>
      </c>
      <c r="S21" s="37">
        <f>SUMIFS(Data!D:D,Data!A:A,Cataratorii!B21)</f>
        <v>81.83</v>
      </c>
      <c r="T21" s="38" t="str">
        <f>IF(VLOOKUP(B21,Participanti!A:D,4,0)=0," ","New")</f>
        <v xml:space="preserve"> </v>
      </c>
    </row>
    <row r="22" spans="1:20" ht="13.8" x14ac:dyDescent="0.3">
      <c r="A22" s="103">
        <v>21</v>
      </c>
      <c r="B22" s="36" t="s">
        <v>48</v>
      </c>
      <c r="C22" s="88">
        <f>SUMIFS(Data!$H:$H,Data!$A:$A,Cataratorii!$B22,Data!$C:$C,Cataratorii!C$1)</f>
        <v>0</v>
      </c>
      <c r="D22" s="88">
        <f>SUMIFS(Data!$H:$H,Data!$A:$A,Cataratorii!$B22,Data!$C:$C,Cataratorii!D$1)</f>
        <v>27</v>
      </c>
      <c r="E22" s="88">
        <f>SUMIFS(Data!$H:$H,Data!$A:$A,Cataratorii!$B22,Data!$C:$C,Cataratorii!E$1)</f>
        <v>0</v>
      </c>
      <c r="F22" s="88">
        <f>SUMIFS(Data!$H:$H,Data!$A:$A,Cataratorii!$B22,Data!$C:$C,Cataratorii!F$1)</f>
        <v>30</v>
      </c>
      <c r="G22" s="88">
        <f>SUMIFS(Data!$H:$H,Data!$A:$A,Cataratorii!$B22,Data!$C:$C,Cataratorii!G$1)</f>
        <v>34</v>
      </c>
      <c r="H22" s="88">
        <f>SUMIFS(Data!$H:$H,Data!$A:$A,Cataratorii!$B22,Data!$C:$C,Cataratorii!H$1)</f>
        <v>36</v>
      </c>
      <c r="I22" s="88">
        <f>SUMIFS(Data!$H:$H,Data!$A:$A,Cataratorii!$B22,Data!$C:$C,Cataratorii!I$1)</f>
        <v>36</v>
      </c>
      <c r="J22" s="88">
        <f>SUMIFS(Data!$H:$H,Data!$A:$A,Cataratorii!$B22,Data!$C:$C,Cataratorii!J$1)</f>
        <v>23</v>
      </c>
      <c r="K22" s="88">
        <f>SUMIFS(Data!$H:$H,Data!$A:$A,Cataratorii!$B22,Data!$C:$C,Cataratorii!K$1)</f>
        <v>21</v>
      </c>
      <c r="L22" s="88">
        <f>SUMIFS(Data!$H:$H,Data!$A:$A,Cataratorii!$B22,Data!$C:$C,Cataratorii!L$1)</f>
        <v>177</v>
      </c>
      <c r="M22" s="88">
        <f>SUMIFS(Data!$H:$H,Data!$A:$A,Cataratorii!$B22,Data!$C:$C,Cataratorii!M$1)</f>
        <v>0</v>
      </c>
      <c r="N22" s="88">
        <f>SUMIFS(Data!$H:$H,Data!$A:$A,Cataratorii!$B22,Data!$C:$C,Cataratorii!N$1)</f>
        <v>209</v>
      </c>
      <c r="O22" s="88">
        <f>SUMIFS(Data!$H:$H,Data!$A:$A,Cataratorii!$B22,Data!$C:$C,Cataratorii!O$1)</f>
        <v>243</v>
      </c>
      <c r="P22" s="88">
        <f>SUMIFS(Data!$H:$H,Data!$A:$A,Cataratorii!$B22,Data!$C:$C,Cataratorii!P$1)</f>
        <v>39</v>
      </c>
      <c r="Q22" s="88">
        <f>SUMIFS(Data!$H:$H,Data!$A:$A,Cataratorii!$B22,Data!$C:$C,Cataratorii!Q$1)</f>
        <v>234</v>
      </c>
      <c r="R22" s="88">
        <f t="shared" si="0"/>
        <v>1109</v>
      </c>
      <c r="S22" s="37">
        <f>SUMIFS(Data!D:D,Data!A:A,Cataratorii!B22)</f>
        <v>142.16000000000003</v>
      </c>
      <c r="T22" s="38" t="str">
        <f>IF(VLOOKUP(B22,Participanti!A:D,4,0)=0," ","New")</f>
        <v xml:space="preserve"> </v>
      </c>
    </row>
    <row r="23" spans="1:20" ht="13.8" x14ac:dyDescent="0.3">
      <c r="A23" s="103">
        <v>22</v>
      </c>
      <c r="B23" s="36" t="s">
        <v>143</v>
      </c>
      <c r="C23" s="88">
        <f>SUMIFS(Data!$H:$H,Data!$A:$A,Cataratorii!$B23,Data!$C:$C,Cataratorii!C$1)</f>
        <v>26</v>
      </c>
      <c r="D23" s="88">
        <f>SUMIFS(Data!$H:$H,Data!$A:$A,Cataratorii!$B23,Data!$C:$C,Cataratorii!D$1)</f>
        <v>37</v>
      </c>
      <c r="E23" s="88">
        <f>SUMIFS(Data!$H:$H,Data!$A:$A,Cataratorii!$B23,Data!$C:$C,Cataratorii!E$1)</f>
        <v>130</v>
      </c>
      <c r="F23" s="88">
        <f>SUMIFS(Data!$H:$H,Data!$A:$A,Cataratorii!$B23,Data!$C:$C,Cataratorii!F$1)</f>
        <v>188</v>
      </c>
      <c r="G23" s="88">
        <f>SUMIFS(Data!$H:$H,Data!$A:$A,Cataratorii!$B23,Data!$C:$C,Cataratorii!G$1)</f>
        <v>41</v>
      </c>
      <c r="H23" s="88">
        <f>SUMIFS(Data!$H:$H,Data!$A:$A,Cataratorii!$B23,Data!$C:$C,Cataratorii!H$1)</f>
        <v>64</v>
      </c>
      <c r="I23" s="88">
        <f>SUMIFS(Data!$H:$H,Data!$A:$A,Cataratorii!$B23,Data!$C:$C,Cataratorii!I$1)</f>
        <v>28</v>
      </c>
      <c r="J23" s="88">
        <f>SUMIFS(Data!$H:$H,Data!$A:$A,Cataratorii!$B23,Data!$C:$C,Cataratorii!J$1)</f>
        <v>47</v>
      </c>
      <c r="K23" s="88">
        <f>SUMIFS(Data!$H:$H,Data!$A:$A,Cataratorii!$B23,Data!$C:$C,Cataratorii!K$1)</f>
        <v>39</v>
      </c>
      <c r="L23" s="88">
        <f>SUMIFS(Data!$H:$H,Data!$A:$A,Cataratorii!$B23,Data!$C:$C,Cataratorii!L$1)</f>
        <v>94</v>
      </c>
      <c r="M23" s="88">
        <f>SUMIFS(Data!$H:$H,Data!$A:$A,Cataratorii!$B23,Data!$C:$C,Cataratorii!M$1)</f>
        <v>56</v>
      </c>
      <c r="N23" s="88">
        <f>SUMIFS(Data!$H:$H,Data!$A:$A,Cataratorii!$B23,Data!$C:$C,Cataratorii!N$1)</f>
        <v>28</v>
      </c>
      <c r="O23" s="88">
        <f>SUMIFS(Data!$H:$H,Data!$A:$A,Cataratorii!$B23,Data!$C:$C,Cataratorii!O$1)</f>
        <v>94</v>
      </c>
      <c r="P23" s="88">
        <f>SUMIFS(Data!$H:$H,Data!$A:$A,Cataratorii!$B23,Data!$C:$C,Cataratorii!P$1)</f>
        <v>83</v>
      </c>
      <c r="Q23" s="88">
        <f>SUMIFS(Data!$H:$H,Data!$A:$A,Cataratorii!$B23,Data!$C:$C,Cataratorii!Q$1)</f>
        <v>54</v>
      </c>
      <c r="R23" s="88">
        <f t="shared" si="0"/>
        <v>1009</v>
      </c>
      <c r="S23" s="37">
        <f>SUMIFS(Data!D:D,Data!A:A,Cataratorii!B23)</f>
        <v>272.68999999999994</v>
      </c>
      <c r="T23" s="38" t="str">
        <f>IF(VLOOKUP(B23,Participanti!A:D,4,0)=0," ","New")</f>
        <v xml:space="preserve"> </v>
      </c>
    </row>
    <row r="24" spans="1:20" ht="13.8" x14ac:dyDescent="0.3">
      <c r="A24" s="103">
        <v>23</v>
      </c>
      <c r="B24" s="36" t="s">
        <v>60</v>
      </c>
      <c r="C24" s="88">
        <f>SUMIFS(Data!$H:$H,Data!$A:$A,Cataratorii!$B24,Data!$C:$C,Cataratorii!C$1)</f>
        <v>92</v>
      </c>
      <c r="D24" s="88">
        <f>SUMIFS(Data!$H:$H,Data!$A:$A,Cataratorii!$B24,Data!$C:$C,Cataratorii!D$1)</f>
        <v>0</v>
      </c>
      <c r="E24" s="88">
        <f>SUMIFS(Data!$H:$H,Data!$A:$A,Cataratorii!$B24,Data!$C:$C,Cataratorii!E$1)</f>
        <v>120</v>
      </c>
      <c r="F24" s="88">
        <f>SUMIFS(Data!$H:$H,Data!$A:$A,Cataratorii!$B24,Data!$C:$C,Cataratorii!F$1)</f>
        <v>67</v>
      </c>
      <c r="G24" s="88">
        <f>SUMIFS(Data!$H:$H,Data!$A:$A,Cataratorii!$B24,Data!$C:$C,Cataratorii!G$1)</f>
        <v>26</v>
      </c>
      <c r="H24" s="88">
        <f>SUMIFS(Data!$H:$H,Data!$A:$A,Cataratorii!$B24,Data!$C:$C,Cataratorii!H$1)</f>
        <v>0</v>
      </c>
      <c r="I24" s="88">
        <f>SUMIFS(Data!$H:$H,Data!$A:$A,Cataratorii!$B24,Data!$C:$C,Cataratorii!I$1)</f>
        <v>0</v>
      </c>
      <c r="J24" s="88">
        <f>SUMIFS(Data!$H:$H,Data!$A:$A,Cataratorii!$B24,Data!$C:$C,Cataratorii!J$1)</f>
        <v>0</v>
      </c>
      <c r="K24" s="88">
        <f>SUMIFS(Data!$H:$H,Data!$A:$A,Cataratorii!$B24,Data!$C:$C,Cataratorii!K$1)</f>
        <v>0</v>
      </c>
      <c r="L24" s="88">
        <f>SUMIFS(Data!$H:$H,Data!$A:$A,Cataratorii!$B24,Data!$C:$C,Cataratorii!L$1)</f>
        <v>0</v>
      </c>
      <c r="M24" s="88">
        <f>SUMIFS(Data!$H:$H,Data!$A:$A,Cataratorii!$B24,Data!$C:$C,Cataratorii!M$1)</f>
        <v>196</v>
      </c>
      <c r="N24" s="88">
        <f>SUMIFS(Data!$H:$H,Data!$A:$A,Cataratorii!$B24,Data!$C:$C,Cataratorii!N$1)</f>
        <v>90</v>
      </c>
      <c r="O24" s="88">
        <f>SUMIFS(Data!$H:$H,Data!$A:$A,Cataratorii!$B24,Data!$C:$C,Cataratorii!O$1)</f>
        <v>388</v>
      </c>
      <c r="P24" s="88">
        <f>SUMIFS(Data!$H:$H,Data!$A:$A,Cataratorii!$B24,Data!$C:$C,Cataratorii!P$1)</f>
        <v>0</v>
      </c>
      <c r="Q24" s="88">
        <f>SUMIFS(Data!$H:$H,Data!$A:$A,Cataratorii!$B24,Data!$C:$C,Cataratorii!Q$1)</f>
        <v>0</v>
      </c>
      <c r="R24" s="88">
        <f t="shared" si="0"/>
        <v>979</v>
      </c>
      <c r="S24" s="37">
        <f>SUMIFS(Data!D:D,Data!A:A,Cataratorii!B24)</f>
        <v>109.07</v>
      </c>
      <c r="T24" s="38" t="str">
        <f>IF(VLOOKUP(B24,Participanti!A:D,4,0)=0," ","New")</f>
        <v xml:space="preserve"> </v>
      </c>
    </row>
    <row r="25" spans="1:20" ht="13.8" x14ac:dyDescent="0.3">
      <c r="A25" s="103">
        <v>24</v>
      </c>
      <c r="B25" s="36" t="s">
        <v>102</v>
      </c>
      <c r="C25" s="88">
        <f>SUMIFS(Data!$H:$H,Data!$A:$A,Cataratorii!$B25,Data!$C:$C,Cataratorii!C$1)</f>
        <v>0</v>
      </c>
      <c r="D25" s="88">
        <f>SUMIFS(Data!$H:$H,Data!$A:$A,Cataratorii!$B25,Data!$C:$C,Cataratorii!D$1)</f>
        <v>39</v>
      </c>
      <c r="E25" s="88">
        <f>SUMIFS(Data!$H:$H,Data!$A:$A,Cataratorii!$B25,Data!$C:$C,Cataratorii!E$1)</f>
        <v>0</v>
      </c>
      <c r="F25" s="88">
        <f>SUMIFS(Data!$H:$H,Data!$A:$A,Cataratorii!$B25,Data!$C:$C,Cataratorii!F$1)</f>
        <v>8</v>
      </c>
      <c r="G25" s="88">
        <f>SUMIFS(Data!$H:$H,Data!$A:$A,Cataratorii!$B25,Data!$C:$C,Cataratorii!G$1)</f>
        <v>220</v>
      </c>
      <c r="H25" s="88">
        <f>SUMIFS(Data!$H:$H,Data!$A:$A,Cataratorii!$B25,Data!$C:$C,Cataratorii!H$1)</f>
        <v>0</v>
      </c>
      <c r="I25" s="88">
        <f>SUMIFS(Data!$H:$H,Data!$A:$A,Cataratorii!$B25,Data!$C:$C,Cataratorii!I$1)</f>
        <v>13</v>
      </c>
      <c r="J25" s="88">
        <f>SUMIFS(Data!$H:$H,Data!$A:$A,Cataratorii!$B25,Data!$C:$C,Cataratorii!J$1)</f>
        <v>0</v>
      </c>
      <c r="K25" s="88">
        <f>SUMIFS(Data!$H:$H,Data!$A:$A,Cataratorii!$B25,Data!$C:$C,Cataratorii!K$1)</f>
        <v>0</v>
      </c>
      <c r="L25" s="88">
        <f>SUMIFS(Data!$H:$H,Data!$A:$A,Cataratorii!$B25,Data!$C:$C,Cataratorii!L$1)</f>
        <v>69</v>
      </c>
      <c r="M25" s="88">
        <f>SUMIFS(Data!$H:$H,Data!$A:$A,Cataratorii!$B25,Data!$C:$C,Cataratorii!M$1)</f>
        <v>122</v>
      </c>
      <c r="N25" s="88">
        <f>SUMIFS(Data!$H:$H,Data!$A:$A,Cataratorii!$B25,Data!$C:$C,Cataratorii!N$1)</f>
        <v>0</v>
      </c>
      <c r="O25" s="88">
        <f>SUMIFS(Data!$H:$H,Data!$A:$A,Cataratorii!$B25,Data!$C:$C,Cataratorii!O$1)</f>
        <v>327</v>
      </c>
      <c r="P25" s="88">
        <f>SUMIFS(Data!$H:$H,Data!$A:$A,Cataratorii!$B25,Data!$C:$C,Cataratorii!P$1)</f>
        <v>0</v>
      </c>
      <c r="Q25" s="88">
        <f>SUMIFS(Data!$H:$H,Data!$A:$A,Cataratorii!$B25,Data!$C:$C,Cataratorii!Q$1)</f>
        <v>18</v>
      </c>
      <c r="R25" s="88">
        <f t="shared" si="0"/>
        <v>816</v>
      </c>
      <c r="S25" s="37">
        <f>SUMIFS(Data!D:D,Data!A:A,Cataratorii!B25)</f>
        <v>122.14000000000003</v>
      </c>
      <c r="T25" s="38" t="str">
        <f>IF(VLOOKUP(B25,Participanti!A:D,4,0)=0," ","New")</f>
        <v xml:space="preserve"> </v>
      </c>
    </row>
    <row r="26" spans="1:20" ht="13.8" x14ac:dyDescent="0.3">
      <c r="A26" s="103">
        <v>25</v>
      </c>
      <c r="B26" s="36" t="s">
        <v>116</v>
      </c>
      <c r="C26" s="88">
        <f>SUMIFS(Data!$H:$H,Data!$A:$A,Cataratorii!$B26,Data!$C:$C,Cataratorii!C$1)</f>
        <v>27</v>
      </c>
      <c r="D26" s="88">
        <f>SUMIFS(Data!$H:$H,Data!$A:$A,Cataratorii!$B26,Data!$C:$C,Cataratorii!D$1)</f>
        <v>0</v>
      </c>
      <c r="E26" s="88">
        <f>SUMIFS(Data!$H:$H,Data!$A:$A,Cataratorii!$B26,Data!$C:$C,Cataratorii!E$1)</f>
        <v>9</v>
      </c>
      <c r="F26" s="88">
        <f>SUMIFS(Data!$H:$H,Data!$A:$A,Cataratorii!$B26,Data!$C:$C,Cataratorii!F$1)</f>
        <v>42</v>
      </c>
      <c r="G26" s="88">
        <f>SUMIFS(Data!$H:$H,Data!$A:$A,Cataratorii!$B26,Data!$C:$C,Cataratorii!G$1)</f>
        <v>514</v>
      </c>
      <c r="H26" s="88">
        <f>SUMIFS(Data!$H:$H,Data!$A:$A,Cataratorii!$B26,Data!$C:$C,Cataratorii!H$1)</f>
        <v>39</v>
      </c>
      <c r="I26" s="88">
        <f>SUMIFS(Data!$H:$H,Data!$A:$A,Cataratorii!$B26,Data!$C:$C,Cataratorii!I$1)</f>
        <v>19</v>
      </c>
      <c r="J26" s="88">
        <f>SUMIFS(Data!$H:$H,Data!$A:$A,Cataratorii!$B26,Data!$C:$C,Cataratorii!J$1)</f>
        <v>16</v>
      </c>
      <c r="K26" s="88">
        <f>SUMIFS(Data!$H:$H,Data!$A:$A,Cataratorii!$B26,Data!$C:$C,Cataratorii!K$1)</f>
        <v>35</v>
      </c>
      <c r="L26" s="88">
        <f>SUMIFS(Data!$H:$H,Data!$A:$A,Cataratorii!$B26,Data!$C:$C,Cataratorii!L$1)</f>
        <v>0</v>
      </c>
      <c r="M26" s="88">
        <f>SUMIFS(Data!$H:$H,Data!$A:$A,Cataratorii!$B26,Data!$C:$C,Cataratorii!M$1)</f>
        <v>21</v>
      </c>
      <c r="N26" s="88">
        <f>SUMIFS(Data!$H:$H,Data!$A:$A,Cataratorii!$B26,Data!$C:$C,Cataratorii!N$1)</f>
        <v>0</v>
      </c>
      <c r="O26" s="88">
        <f>SUMIFS(Data!$H:$H,Data!$A:$A,Cataratorii!$B26,Data!$C:$C,Cataratorii!O$1)</f>
        <v>19</v>
      </c>
      <c r="P26" s="88">
        <f>SUMIFS(Data!$H:$H,Data!$A:$A,Cataratorii!$B26,Data!$C:$C,Cataratorii!P$1)</f>
        <v>0</v>
      </c>
      <c r="Q26" s="88">
        <f>SUMIFS(Data!$H:$H,Data!$A:$A,Cataratorii!$B26,Data!$C:$C,Cataratorii!Q$1)</f>
        <v>2</v>
      </c>
      <c r="R26" s="88">
        <f t="shared" si="0"/>
        <v>743</v>
      </c>
      <c r="S26" s="37">
        <f>SUMIFS(Data!D:D,Data!A:A,Cataratorii!B26)</f>
        <v>107.28000000000002</v>
      </c>
      <c r="T26" s="38" t="str">
        <f>IF(VLOOKUP(B26,Participanti!A:D,4,0)=0," ","New")</f>
        <v xml:space="preserve"> </v>
      </c>
    </row>
    <row r="27" spans="1:20" ht="13.8" x14ac:dyDescent="0.3">
      <c r="A27" s="103">
        <v>26</v>
      </c>
      <c r="B27" s="36" t="s">
        <v>119</v>
      </c>
      <c r="C27" s="88">
        <f>SUMIFS(Data!$H:$H,Data!$A:$A,Cataratorii!$B27,Data!$C:$C,Cataratorii!C$1)</f>
        <v>17</v>
      </c>
      <c r="D27" s="88">
        <f>SUMIFS(Data!$H:$H,Data!$A:$A,Cataratorii!$B27,Data!$C:$C,Cataratorii!D$1)</f>
        <v>73</v>
      </c>
      <c r="E27" s="88">
        <f>SUMIFS(Data!$H:$H,Data!$A:$A,Cataratorii!$B27,Data!$C:$C,Cataratorii!E$1)</f>
        <v>395</v>
      </c>
      <c r="F27" s="88">
        <f>SUMIFS(Data!$H:$H,Data!$A:$A,Cataratorii!$B27,Data!$C:$C,Cataratorii!F$1)</f>
        <v>34.200000000000003</v>
      </c>
      <c r="G27" s="88">
        <f>SUMIFS(Data!$H:$H,Data!$A:$A,Cataratorii!$B27,Data!$C:$C,Cataratorii!G$1)</f>
        <v>13</v>
      </c>
      <c r="H27" s="88">
        <f>SUMIFS(Data!$H:$H,Data!$A:$A,Cataratorii!$B27,Data!$C:$C,Cataratorii!H$1)</f>
        <v>22</v>
      </c>
      <c r="I27" s="88">
        <f>SUMIFS(Data!$H:$H,Data!$A:$A,Cataratorii!$B27,Data!$C:$C,Cataratorii!I$1)</f>
        <v>24</v>
      </c>
      <c r="J27" s="88">
        <f>SUMIFS(Data!$H:$H,Data!$A:$A,Cataratorii!$B27,Data!$C:$C,Cataratorii!J$1)</f>
        <v>38</v>
      </c>
      <c r="K27" s="88">
        <f>SUMIFS(Data!$H:$H,Data!$A:$A,Cataratorii!$B27,Data!$C:$C,Cataratorii!K$1)</f>
        <v>24</v>
      </c>
      <c r="L27" s="88">
        <f>SUMIFS(Data!$H:$H,Data!$A:$A,Cataratorii!$B27,Data!$C:$C,Cataratorii!L$1)</f>
        <v>33</v>
      </c>
      <c r="M27" s="88">
        <f>SUMIFS(Data!$H:$H,Data!$A:$A,Cataratorii!$B27,Data!$C:$C,Cataratorii!M$1)</f>
        <v>11</v>
      </c>
      <c r="N27" s="88">
        <f>SUMIFS(Data!$H:$H,Data!$A:$A,Cataratorii!$B27,Data!$C:$C,Cataratorii!N$1)</f>
        <v>0</v>
      </c>
      <c r="O27" s="88">
        <f>SUMIFS(Data!$H:$H,Data!$A:$A,Cataratorii!$B27,Data!$C:$C,Cataratorii!O$1)</f>
        <v>23</v>
      </c>
      <c r="P27" s="88">
        <f>SUMIFS(Data!$H:$H,Data!$A:$A,Cataratorii!$B27,Data!$C:$C,Cataratorii!P$1)</f>
        <v>12</v>
      </c>
      <c r="Q27" s="88">
        <f>SUMIFS(Data!$H:$H,Data!$A:$A,Cataratorii!$B27,Data!$C:$C,Cataratorii!Q$1)</f>
        <v>0</v>
      </c>
      <c r="R27" s="88">
        <f t="shared" si="0"/>
        <v>719.2</v>
      </c>
      <c r="S27" s="37">
        <f>SUMIFS(Data!D:D,Data!A:A,Cataratorii!B27)</f>
        <v>98.32</v>
      </c>
      <c r="T27" s="38" t="str">
        <f>IF(VLOOKUP(B27,Participanti!A:D,4,0)=0," ","New")</f>
        <v xml:space="preserve"> </v>
      </c>
    </row>
    <row r="28" spans="1:20" ht="13.8" x14ac:dyDescent="0.3">
      <c r="A28" s="103">
        <v>27</v>
      </c>
      <c r="B28" s="36" t="s">
        <v>59</v>
      </c>
      <c r="C28" s="88">
        <f>SUMIFS(Data!$H:$H,Data!$A:$A,Cataratorii!$B28,Data!$C:$C,Cataratorii!C$1)</f>
        <v>9</v>
      </c>
      <c r="D28" s="88">
        <f>SUMIFS(Data!$H:$H,Data!$A:$A,Cataratorii!$B28,Data!$C:$C,Cataratorii!D$1)</f>
        <v>0</v>
      </c>
      <c r="E28" s="88">
        <f>SUMIFS(Data!$H:$H,Data!$A:$A,Cataratorii!$B28,Data!$C:$C,Cataratorii!E$1)</f>
        <v>0</v>
      </c>
      <c r="F28" s="88">
        <f>SUMIFS(Data!$H:$H,Data!$A:$A,Cataratorii!$B28,Data!$C:$C,Cataratorii!F$1)</f>
        <v>0</v>
      </c>
      <c r="G28" s="88">
        <f>SUMIFS(Data!$H:$H,Data!$A:$A,Cataratorii!$B28,Data!$C:$C,Cataratorii!G$1)</f>
        <v>43</v>
      </c>
      <c r="H28" s="88">
        <f>SUMIFS(Data!$H:$H,Data!$A:$A,Cataratorii!$B28,Data!$C:$C,Cataratorii!H$1)</f>
        <v>8</v>
      </c>
      <c r="I28" s="88">
        <f>SUMIFS(Data!$H:$H,Data!$A:$A,Cataratorii!$B28,Data!$C:$C,Cataratorii!I$1)</f>
        <v>0</v>
      </c>
      <c r="J28" s="88">
        <f>SUMIFS(Data!$H:$H,Data!$A:$A,Cataratorii!$B28,Data!$C:$C,Cataratorii!J$1)</f>
        <v>477</v>
      </c>
      <c r="K28" s="88">
        <f>SUMIFS(Data!$H:$H,Data!$A:$A,Cataratorii!$B28,Data!$C:$C,Cataratorii!K$1)</f>
        <v>0</v>
      </c>
      <c r="L28" s="88">
        <f>SUMIFS(Data!$H:$H,Data!$A:$A,Cataratorii!$B28,Data!$C:$C,Cataratorii!L$1)</f>
        <v>0</v>
      </c>
      <c r="M28" s="88">
        <f>SUMIFS(Data!$H:$H,Data!$A:$A,Cataratorii!$B28,Data!$C:$C,Cataratorii!M$1)</f>
        <v>0</v>
      </c>
      <c r="N28" s="88">
        <f>SUMIFS(Data!$H:$H,Data!$A:$A,Cataratorii!$B28,Data!$C:$C,Cataratorii!N$1)</f>
        <v>0</v>
      </c>
      <c r="O28" s="88">
        <f>SUMIFS(Data!$H:$H,Data!$A:$A,Cataratorii!$B28,Data!$C:$C,Cataratorii!O$1)</f>
        <v>0</v>
      </c>
      <c r="P28" s="88">
        <f>SUMIFS(Data!$H:$H,Data!$A:$A,Cataratorii!$B28,Data!$C:$C,Cataratorii!P$1)</f>
        <v>0</v>
      </c>
      <c r="Q28" s="88">
        <f>SUMIFS(Data!$H:$H,Data!$A:$A,Cataratorii!$B28,Data!$C:$C,Cataratorii!Q$1)</f>
        <v>0</v>
      </c>
      <c r="R28" s="88">
        <f t="shared" si="0"/>
        <v>537</v>
      </c>
      <c r="S28" s="37">
        <f>SUMIFS(Data!D:D,Data!A:A,Cataratorii!B28)</f>
        <v>58.480000000000004</v>
      </c>
      <c r="T28" s="38" t="str">
        <f>IF(VLOOKUP(B28,Participanti!A:D,4,0)=0," ","New")</f>
        <v xml:space="preserve"> </v>
      </c>
    </row>
    <row r="29" spans="1:20" ht="13.8" x14ac:dyDescent="0.3">
      <c r="A29" s="103">
        <v>28</v>
      </c>
      <c r="B29" s="36" t="s">
        <v>66</v>
      </c>
      <c r="C29" s="88">
        <f>SUMIFS(Data!$H:$H,Data!$A:$A,Cataratorii!$B29,Data!$C:$C,Cataratorii!C$1)</f>
        <v>27</v>
      </c>
      <c r="D29" s="88">
        <f>SUMIFS(Data!$H:$H,Data!$A:$A,Cataratorii!$B29,Data!$C:$C,Cataratorii!D$1)</f>
        <v>0</v>
      </c>
      <c r="E29" s="88">
        <f>SUMIFS(Data!$H:$H,Data!$A:$A,Cataratorii!$B29,Data!$C:$C,Cataratorii!E$1)</f>
        <v>85</v>
      </c>
      <c r="F29" s="88">
        <f>SUMIFS(Data!$H:$H,Data!$A:$A,Cataratorii!$B29,Data!$C:$C,Cataratorii!F$1)</f>
        <v>11</v>
      </c>
      <c r="G29" s="88">
        <f>SUMIFS(Data!$H:$H,Data!$A:$A,Cataratorii!$B29,Data!$C:$C,Cataratorii!G$1)</f>
        <v>163</v>
      </c>
      <c r="H29" s="88">
        <f>SUMIFS(Data!$H:$H,Data!$A:$A,Cataratorii!$B29,Data!$C:$C,Cataratorii!H$1)</f>
        <v>35</v>
      </c>
      <c r="I29" s="88">
        <f>SUMIFS(Data!$H:$H,Data!$A:$A,Cataratorii!$B29,Data!$C:$C,Cataratorii!I$1)</f>
        <v>0</v>
      </c>
      <c r="J29" s="88">
        <f>SUMIFS(Data!$H:$H,Data!$A:$A,Cataratorii!$B29,Data!$C:$C,Cataratorii!J$1)</f>
        <v>21</v>
      </c>
      <c r="K29" s="88">
        <f>SUMIFS(Data!$H:$H,Data!$A:$A,Cataratorii!$B29,Data!$C:$C,Cataratorii!K$1)</f>
        <v>0</v>
      </c>
      <c r="L29" s="88">
        <f>SUMIFS(Data!$H:$H,Data!$A:$A,Cataratorii!$B29,Data!$C:$C,Cataratorii!L$1)</f>
        <v>0</v>
      </c>
      <c r="M29" s="88">
        <f>SUMIFS(Data!$H:$H,Data!$A:$A,Cataratorii!$B29,Data!$C:$C,Cataratorii!M$1)</f>
        <v>47</v>
      </c>
      <c r="N29" s="88">
        <f>SUMIFS(Data!$H:$H,Data!$A:$A,Cataratorii!$B29,Data!$C:$C,Cataratorii!N$1)</f>
        <v>31</v>
      </c>
      <c r="O29" s="88">
        <f>SUMIFS(Data!$H:$H,Data!$A:$A,Cataratorii!$B29,Data!$C:$C,Cataratorii!O$1)</f>
        <v>0</v>
      </c>
      <c r="P29" s="88">
        <f>SUMIFS(Data!$H:$H,Data!$A:$A,Cataratorii!$B29,Data!$C:$C,Cataratorii!P$1)</f>
        <v>0</v>
      </c>
      <c r="Q29" s="88">
        <f>SUMIFS(Data!$H:$H,Data!$A:$A,Cataratorii!$B29,Data!$C:$C,Cataratorii!Q$1)</f>
        <v>0</v>
      </c>
      <c r="R29" s="88">
        <f t="shared" si="0"/>
        <v>420</v>
      </c>
      <c r="S29" s="37">
        <f>SUMIFS(Data!D:D,Data!A:A,Cataratorii!B29)</f>
        <v>125.99000000000001</v>
      </c>
      <c r="T29" s="38" t="str">
        <f>IF(VLOOKUP(B29,Participanti!A:D,4,0)=0," ","New")</f>
        <v xml:space="preserve"> </v>
      </c>
    </row>
    <row r="30" spans="1:20" ht="13.8" x14ac:dyDescent="0.3">
      <c r="A30" s="103">
        <v>29</v>
      </c>
      <c r="B30" s="36" t="s">
        <v>54</v>
      </c>
      <c r="C30" s="88">
        <f>SUMIFS(Data!$H:$H,Data!$A:$A,Cataratorii!$B30,Data!$C:$C,Cataratorii!C$1)</f>
        <v>0</v>
      </c>
      <c r="D30" s="88">
        <f>SUMIFS(Data!$H:$H,Data!$A:$A,Cataratorii!$B30,Data!$C:$C,Cataratorii!D$1)</f>
        <v>0</v>
      </c>
      <c r="E30" s="88">
        <f>SUMIFS(Data!$H:$H,Data!$A:$A,Cataratorii!$B30,Data!$C:$C,Cataratorii!E$1)</f>
        <v>0</v>
      </c>
      <c r="F30" s="88">
        <f>SUMIFS(Data!$H:$H,Data!$A:$A,Cataratorii!$B30,Data!$C:$C,Cataratorii!F$1)</f>
        <v>58</v>
      </c>
      <c r="G30" s="88">
        <f>SUMIFS(Data!$H:$H,Data!$A:$A,Cataratorii!$B30,Data!$C:$C,Cataratorii!G$1)</f>
        <v>41</v>
      </c>
      <c r="H30" s="88">
        <f>SUMIFS(Data!$H:$H,Data!$A:$A,Cataratorii!$B30,Data!$C:$C,Cataratorii!H$1)</f>
        <v>59</v>
      </c>
      <c r="I30" s="88">
        <f>SUMIFS(Data!$H:$H,Data!$A:$A,Cataratorii!$B30,Data!$C:$C,Cataratorii!I$1)</f>
        <v>0</v>
      </c>
      <c r="J30" s="88">
        <f>SUMIFS(Data!$H:$H,Data!$A:$A,Cataratorii!$B30,Data!$C:$C,Cataratorii!J$1)</f>
        <v>0</v>
      </c>
      <c r="K30" s="88">
        <f>SUMIFS(Data!$H:$H,Data!$A:$A,Cataratorii!$B30,Data!$C:$C,Cataratorii!K$1)</f>
        <v>56</v>
      </c>
      <c r="L30" s="88">
        <f>SUMIFS(Data!$H:$H,Data!$A:$A,Cataratorii!$B30,Data!$C:$C,Cataratorii!L$1)</f>
        <v>45</v>
      </c>
      <c r="M30" s="88">
        <f>SUMIFS(Data!$H:$H,Data!$A:$A,Cataratorii!$B30,Data!$C:$C,Cataratorii!M$1)</f>
        <v>102</v>
      </c>
      <c r="N30" s="88">
        <f>SUMIFS(Data!$H:$H,Data!$A:$A,Cataratorii!$B30,Data!$C:$C,Cataratorii!N$1)</f>
        <v>25</v>
      </c>
      <c r="O30" s="88">
        <f>SUMIFS(Data!$H:$H,Data!$A:$A,Cataratorii!$B30,Data!$C:$C,Cataratorii!O$1)</f>
        <v>0</v>
      </c>
      <c r="P30" s="88">
        <f>SUMIFS(Data!$H:$H,Data!$A:$A,Cataratorii!$B30,Data!$C:$C,Cataratorii!P$1)</f>
        <v>0</v>
      </c>
      <c r="Q30" s="88">
        <f>SUMIFS(Data!$H:$H,Data!$A:$A,Cataratorii!$B30,Data!$C:$C,Cataratorii!Q$1)</f>
        <v>0</v>
      </c>
      <c r="R30" s="88">
        <f t="shared" si="0"/>
        <v>386</v>
      </c>
      <c r="S30" s="37">
        <f>SUMIFS(Data!D:D,Data!A:A,Cataratorii!B30)</f>
        <v>118.92</v>
      </c>
      <c r="T30" s="38" t="str">
        <f>IF(VLOOKUP(B30,Participanti!A:D,4,0)=0," ","New")</f>
        <v xml:space="preserve"> </v>
      </c>
    </row>
    <row r="31" spans="1:20" ht="13.8" x14ac:dyDescent="0.3">
      <c r="A31" s="103">
        <v>30</v>
      </c>
      <c r="B31" s="36" t="s">
        <v>256</v>
      </c>
      <c r="C31" s="88">
        <f>SUMIFS(Data!$H:$H,Data!$A:$A,Cataratorii!$B31,Data!$C:$C,Cataratorii!C$1)</f>
        <v>4</v>
      </c>
      <c r="D31" s="88">
        <f>SUMIFS(Data!$H:$H,Data!$A:$A,Cataratorii!$B31,Data!$C:$C,Cataratorii!D$1)</f>
        <v>24</v>
      </c>
      <c r="E31" s="88">
        <f>SUMIFS(Data!$H:$H,Data!$A:$A,Cataratorii!$B31,Data!$C:$C,Cataratorii!E$1)</f>
        <v>48</v>
      </c>
      <c r="F31" s="88">
        <f>SUMIFS(Data!$H:$H,Data!$A:$A,Cataratorii!$B31,Data!$C:$C,Cataratorii!F$1)</f>
        <v>50</v>
      </c>
      <c r="G31" s="88">
        <f>SUMIFS(Data!$H:$H,Data!$A:$A,Cataratorii!$B31,Data!$C:$C,Cataratorii!G$1)</f>
        <v>4</v>
      </c>
      <c r="H31" s="88">
        <f>SUMIFS(Data!$H:$H,Data!$A:$A,Cataratorii!$B31,Data!$C:$C,Cataratorii!H$1)</f>
        <v>2</v>
      </c>
      <c r="I31" s="88">
        <f>SUMIFS(Data!$H:$H,Data!$A:$A,Cataratorii!$B31,Data!$C:$C,Cataratorii!I$1)</f>
        <v>15</v>
      </c>
      <c r="J31" s="88">
        <f>SUMIFS(Data!$H:$H,Data!$A:$A,Cataratorii!$B31,Data!$C:$C,Cataratorii!J$1)</f>
        <v>39</v>
      </c>
      <c r="K31" s="88">
        <f>SUMIFS(Data!$H:$H,Data!$A:$A,Cataratorii!$B31,Data!$C:$C,Cataratorii!K$1)</f>
        <v>0</v>
      </c>
      <c r="L31" s="88">
        <f>SUMIFS(Data!$H:$H,Data!$A:$A,Cataratorii!$B31,Data!$C:$C,Cataratorii!L$1)</f>
        <v>57</v>
      </c>
      <c r="M31" s="88">
        <f>SUMIFS(Data!$H:$H,Data!$A:$A,Cataratorii!$B31,Data!$C:$C,Cataratorii!M$1)</f>
        <v>19</v>
      </c>
      <c r="N31" s="88">
        <f>SUMIFS(Data!$H:$H,Data!$A:$A,Cataratorii!$B31,Data!$C:$C,Cataratorii!N$1)</f>
        <v>24</v>
      </c>
      <c r="O31" s="88">
        <f>SUMIFS(Data!$H:$H,Data!$A:$A,Cataratorii!$B31,Data!$C:$C,Cataratorii!O$1)</f>
        <v>29</v>
      </c>
      <c r="P31" s="88">
        <f>SUMIFS(Data!$H:$H,Data!$A:$A,Cataratorii!$B31,Data!$C:$C,Cataratorii!P$1)</f>
        <v>0</v>
      </c>
      <c r="Q31" s="88">
        <f>SUMIFS(Data!$H:$H,Data!$A:$A,Cataratorii!$B31,Data!$C:$C,Cataratorii!Q$1)</f>
        <v>0</v>
      </c>
      <c r="R31" s="88">
        <f t="shared" si="0"/>
        <v>315</v>
      </c>
      <c r="S31" s="37">
        <f>SUMIFS(Data!D:D,Data!A:A,Cataratorii!B31)</f>
        <v>359.37</v>
      </c>
      <c r="T31" s="38" t="str">
        <f>IF(VLOOKUP(B31,Participanti!A:D,4,0)=0," ","New")</f>
        <v>New</v>
      </c>
    </row>
    <row r="32" spans="1:20" ht="13.8" x14ac:dyDescent="0.3">
      <c r="A32" s="103">
        <v>31</v>
      </c>
      <c r="B32" s="36" t="s">
        <v>185</v>
      </c>
      <c r="C32" s="88">
        <f>SUMIFS(Data!$H:$H,Data!$A:$A,Cataratorii!$B32,Data!$C:$C,Cataratorii!C$1)</f>
        <v>8</v>
      </c>
      <c r="D32" s="88">
        <f>SUMIFS(Data!$H:$H,Data!$A:$A,Cataratorii!$B32,Data!$C:$C,Cataratorii!D$1)</f>
        <v>8</v>
      </c>
      <c r="E32" s="88">
        <f>SUMIFS(Data!$H:$H,Data!$A:$A,Cataratorii!$B32,Data!$C:$C,Cataratorii!E$1)</f>
        <v>23</v>
      </c>
      <c r="F32" s="88">
        <f>SUMIFS(Data!$H:$H,Data!$A:$A,Cataratorii!$B32,Data!$C:$C,Cataratorii!F$1)</f>
        <v>24</v>
      </c>
      <c r="G32" s="88">
        <f>SUMIFS(Data!$H:$H,Data!$A:$A,Cataratorii!$B32,Data!$C:$C,Cataratorii!G$1)</f>
        <v>90</v>
      </c>
      <c r="H32" s="88">
        <f>SUMIFS(Data!$H:$H,Data!$A:$A,Cataratorii!$B32,Data!$C:$C,Cataratorii!H$1)</f>
        <v>8</v>
      </c>
      <c r="I32" s="88">
        <f>SUMIFS(Data!$H:$H,Data!$A:$A,Cataratorii!$B32,Data!$C:$C,Cataratorii!I$1)</f>
        <v>8</v>
      </c>
      <c r="J32" s="88">
        <f>SUMIFS(Data!$H:$H,Data!$A:$A,Cataratorii!$B32,Data!$C:$C,Cataratorii!J$1)</f>
        <v>16</v>
      </c>
      <c r="K32" s="88">
        <f>SUMIFS(Data!$H:$H,Data!$A:$A,Cataratorii!$B32,Data!$C:$C,Cataratorii!K$1)</f>
        <v>23</v>
      </c>
      <c r="L32" s="88">
        <f>SUMIFS(Data!$H:$H,Data!$A:$A,Cataratorii!$B32,Data!$C:$C,Cataratorii!L$1)</f>
        <v>4</v>
      </c>
      <c r="M32" s="88">
        <f>SUMIFS(Data!$H:$H,Data!$A:$A,Cataratorii!$B32,Data!$C:$C,Cataratorii!M$1)</f>
        <v>11</v>
      </c>
      <c r="N32" s="88">
        <f>SUMIFS(Data!$H:$H,Data!$A:$A,Cataratorii!$B32,Data!$C:$C,Cataratorii!N$1)</f>
        <v>4</v>
      </c>
      <c r="O32" s="88">
        <f>SUMIFS(Data!$H:$H,Data!$A:$A,Cataratorii!$B32,Data!$C:$C,Cataratorii!O$1)</f>
        <v>21</v>
      </c>
      <c r="P32" s="88">
        <f>SUMIFS(Data!$H:$H,Data!$A:$A,Cataratorii!$B32,Data!$C:$C,Cataratorii!P$1)</f>
        <v>7</v>
      </c>
      <c r="Q32" s="88">
        <f>SUMIFS(Data!$H:$H,Data!$A:$A,Cataratorii!$B32,Data!$C:$C,Cataratorii!Q$1)</f>
        <v>0</v>
      </c>
      <c r="R32" s="88">
        <f t="shared" si="0"/>
        <v>255</v>
      </c>
      <c r="S32" s="37">
        <f>SUMIFS(Data!D:D,Data!A:A,Cataratorii!B32)</f>
        <v>136.88</v>
      </c>
      <c r="T32" s="38" t="str">
        <f>IF(VLOOKUP(B32,Participanti!A:D,4,0)=0," ","New")</f>
        <v xml:space="preserve"> </v>
      </c>
    </row>
    <row r="33" spans="1:20" ht="13.8" x14ac:dyDescent="0.3">
      <c r="A33" s="103">
        <v>32</v>
      </c>
      <c r="B33" s="36" t="s">
        <v>217</v>
      </c>
      <c r="C33" s="88">
        <f>SUMIFS(Data!$H:$H,Data!$A:$A,Cataratorii!$B33,Data!$C:$C,Cataratorii!C$1)</f>
        <v>0</v>
      </c>
      <c r="D33" s="88">
        <f>SUMIFS(Data!$H:$H,Data!$A:$A,Cataratorii!$B33,Data!$C:$C,Cataratorii!D$1)</f>
        <v>0</v>
      </c>
      <c r="E33" s="88">
        <f>SUMIFS(Data!$H:$H,Data!$A:$A,Cataratorii!$B33,Data!$C:$C,Cataratorii!E$1)</f>
        <v>0</v>
      </c>
      <c r="F33" s="88">
        <f>SUMIFS(Data!$H:$H,Data!$A:$A,Cataratorii!$B33,Data!$C:$C,Cataratorii!F$1)</f>
        <v>0</v>
      </c>
      <c r="G33" s="88">
        <f>SUMIFS(Data!$H:$H,Data!$A:$A,Cataratorii!$B33,Data!$C:$C,Cataratorii!G$1)</f>
        <v>16</v>
      </c>
      <c r="H33" s="88">
        <f>SUMIFS(Data!$H:$H,Data!$A:$A,Cataratorii!$B33,Data!$C:$C,Cataratorii!H$1)</f>
        <v>0</v>
      </c>
      <c r="I33" s="88">
        <f>SUMIFS(Data!$H:$H,Data!$A:$A,Cataratorii!$B33,Data!$C:$C,Cataratorii!I$1)</f>
        <v>0</v>
      </c>
      <c r="J33" s="88">
        <f>SUMIFS(Data!$H:$H,Data!$A:$A,Cataratorii!$B33,Data!$C:$C,Cataratorii!J$1)</f>
        <v>28</v>
      </c>
      <c r="K33" s="88">
        <f>SUMIFS(Data!$H:$H,Data!$A:$A,Cataratorii!$B33,Data!$C:$C,Cataratorii!K$1)</f>
        <v>0</v>
      </c>
      <c r="L33" s="88">
        <f>SUMIFS(Data!$H:$H,Data!$A:$A,Cataratorii!$B33,Data!$C:$C,Cataratorii!L$1)</f>
        <v>0</v>
      </c>
      <c r="M33" s="88">
        <f>SUMIFS(Data!$H:$H,Data!$A:$A,Cataratorii!$B33,Data!$C:$C,Cataratorii!M$1)</f>
        <v>16</v>
      </c>
      <c r="N33" s="88">
        <f>SUMIFS(Data!$H:$H,Data!$A:$A,Cataratorii!$B33,Data!$C:$C,Cataratorii!N$1)</f>
        <v>13</v>
      </c>
      <c r="O33" s="88">
        <f>SUMIFS(Data!$H:$H,Data!$A:$A,Cataratorii!$B33,Data!$C:$C,Cataratorii!O$1)</f>
        <v>13</v>
      </c>
      <c r="P33" s="88">
        <f>SUMIFS(Data!$H:$H,Data!$A:$A,Cataratorii!$B33,Data!$C:$C,Cataratorii!P$1)</f>
        <v>10</v>
      </c>
      <c r="Q33" s="88">
        <f>SUMIFS(Data!$H:$H,Data!$A:$A,Cataratorii!$B33,Data!$C:$C,Cataratorii!Q$1)</f>
        <v>13</v>
      </c>
      <c r="R33" s="88">
        <f t="shared" si="0"/>
        <v>109</v>
      </c>
      <c r="S33" s="37">
        <f>SUMIFS(Data!D:D,Data!A:A,Cataratorii!B33)</f>
        <v>135.02000000000001</v>
      </c>
      <c r="T33" s="38" t="str">
        <f>IF(VLOOKUP(B33,Participanti!A:D,4,0)=0," ","New")</f>
        <v xml:space="preserve"> </v>
      </c>
    </row>
    <row r="34" spans="1:20" ht="13.8" x14ac:dyDescent="0.3">
      <c r="A34" s="103">
        <v>33</v>
      </c>
      <c r="B34" s="36" t="s">
        <v>273</v>
      </c>
      <c r="C34" s="88">
        <f>SUMIFS(Data!$H:$H,Data!$A:$A,Cataratorii!$B34,Data!$C:$C,Cataratorii!C$1)</f>
        <v>0</v>
      </c>
      <c r="D34" s="88">
        <f>SUMIFS(Data!$H:$H,Data!$A:$A,Cataratorii!$B34,Data!$C:$C,Cataratorii!D$1)</f>
        <v>0</v>
      </c>
      <c r="E34" s="88">
        <f>SUMIFS(Data!$H:$H,Data!$A:$A,Cataratorii!$B34,Data!$C:$C,Cataratorii!E$1)</f>
        <v>0</v>
      </c>
      <c r="F34" s="88">
        <f>SUMIFS(Data!$H:$H,Data!$A:$A,Cataratorii!$B34,Data!$C:$C,Cataratorii!F$1)</f>
        <v>0</v>
      </c>
      <c r="G34" s="88">
        <f>SUMIFS(Data!$H:$H,Data!$A:$A,Cataratorii!$B34,Data!$C:$C,Cataratorii!G$1)</f>
        <v>0</v>
      </c>
      <c r="H34" s="88">
        <f>SUMIFS(Data!$H:$H,Data!$A:$A,Cataratorii!$B34,Data!$C:$C,Cataratorii!H$1)</f>
        <v>5</v>
      </c>
      <c r="I34" s="88">
        <f>SUMIFS(Data!$H:$H,Data!$A:$A,Cataratorii!$B34,Data!$C:$C,Cataratorii!I$1)</f>
        <v>9</v>
      </c>
      <c r="J34" s="88">
        <f>SUMIFS(Data!$H:$H,Data!$A:$A,Cataratorii!$B34,Data!$C:$C,Cataratorii!J$1)</f>
        <v>0</v>
      </c>
      <c r="K34" s="88">
        <f>SUMIFS(Data!$H:$H,Data!$A:$A,Cataratorii!$B34,Data!$C:$C,Cataratorii!K$1)</f>
        <v>0</v>
      </c>
      <c r="L34" s="88">
        <f>SUMIFS(Data!$H:$H,Data!$A:$A,Cataratorii!$B34,Data!$C:$C,Cataratorii!L$1)</f>
        <v>0</v>
      </c>
      <c r="M34" s="88">
        <f>SUMIFS(Data!$H:$H,Data!$A:$A,Cataratorii!$B34,Data!$C:$C,Cataratorii!M$1)</f>
        <v>0</v>
      </c>
      <c r="N34" s="88">
        <f>SUMIFS(Data!$H:$H,Data!$A:$A,Cataratorii!$B34,Data!$C:$C,Cataratorii!N$1)</f>
        <v>0</v>
      </c>
      <c r="O34" s="88">
        <f>SUMIFS(Data!$H:$H,Data!$A:$A,Cataratorii!$B34,Data!$C:$C,Cataratorii!O$1)</f>
        <v>0</v>
      </c>
      <c r="P34" s="88">
        <f>SUMIFS(Data!$H:$H,Data!$A:$A,Cataratorii!$B34,Data!$C:$C,Cataratorii!P$1)</f>
        <v>0</v>
      </c>
      <c r="Q34" s="88">
        <f>SUMIFS(Data!$H:$H,Data!$A:$A,Cataratorii!$B34,Data!$C:$C,Cataratorii!Q$1)</f>
        <v>0</v>
      </c>
      <c r="R34" s="88">
        <f t="shared" si="0"/>
        <v>14</v>
      </c>
      <c r="S34" s="37">
        <f>SUMIFS(Data!D:D,Data!A:A,Cataratorii!B34)</f>
        <v>10.52</v>
      </c>
      <c r="T34" s="38" t="str">
        <f>IF(VLOOKUP(B34,Participanti!A:D,4,0)=0," ","New")</f>
        <v>New</v>
      </c>
    </row>
    <row r="35" spans="1:20" ht="13.8" x14ac:dyDescent="0.3">
      <c r="A35" s="103">
        <v>34</v>
      </c>
      <c r="B35" s="36" t="s">
        <v>184</v>
      </c>
      <c r="C35" s="88">
        <f>SUMIFS(Data!$H:$H,Data!$A:$A,Cataratorii!$B35,Data!$C:$C,Cataratorii!C$1)</f>
        <v>6</v>
      </c>
      <c r="D35" s="88">
        <f>SUMIFS(Data!$H:$H,Data!$A:$A,Cataratorii!$B35,Data!$C:$C,Cataratorii!D$1)</f>
        <v>7</v>
      </c>
      <c r="E35" s="88">
        <f>SUMIFS(Data!$H:$H,Data!$A:$A,Cataratorii!$B35,Data!$C:$C,Cataratorii!E$1)</f>
        <v>0</v>
      </c>
      <c r="F35" s="88">
        <f>SUMIFS(Data!$H:$H,Data!$A:$A,Cataratorii!$B35,Data!$C:$C,Cataratorii!F$1)</f>
        <v>0</v>
      </c>
      <c r="G35" s="88">
        <f>SUMIFS(Data!$H:$H,Data!$A:$A,Cataratorii!$B35,Data!$C:$C,Cataratorii!G$1)</f>
        <v>0</v>
      </c>
      <c r="H35" s="88">
        <f>SUMIFS(Data!$H:$H,Data!$A:$A,Cataratorii!$B35,Data!$C:$C,Cataratorii!H$1)</f>
        <v>0</v>
      </c>
      <c r="I35" s="88">
        <f>SUMIFS(Data!$H:$H,Data!$A:$A,Cataratorii!$B35,Data!$C:$C,Cataratorii!I$1)</f>
        <v>0</v>
      </c>
      <c r="J35" s="88">
        <f>SUMIFS(Data!$H:$H,Data!$A:$A,Cataratorii!$B35,Data!$C:$C,Cataratorii!J$1)</f>
        <v>0</v>
      </c>
      <c r="K35" s="88">
        <f>SUMIFS(Data!$H:$H,Data!$A:$A,Cataratorii!$B35,Data!$C:$C,Cataratorii!K$1)</f>
        <v>0</v>
      </c>
      <c r="L35" s="88">
        <f>SUMIFS(Data!$H:$H,Data!$A:$A,Cataratorii!$B35,Data!$C:$C,Cataratorii!L$1)</f>
        <v>0</v>
      </c>
      <c r="M35" s="88">
        <f>SUMIFS(Data!$H:$H,Data!$A:$A,Cataratorii!$B35,Data!$C:$C,Cataratorii!M$1)</f>
        <v>0</v>
      </c>
      <c r="N35" s="88">
        <f>SUMIFS(Data!$H:$H,Data!$A:$A,Cataratorii!$B35,Data!$C:$C,Cataratorii!N$1)</f>
        <v>0</v>
      </c>
      <c r="O35" s="88">
        <f>SUMIFS(Data!$H:$H,Data!$A:$A,Cataratorii!$B35,Data!$C:$C,Cataratorii!O$1)</f>
        <v>0</v>
      </c>
      <c r="P35" s="88">
        <f>SUMIFS(Data!$H:$H,Data!$A:$A,Cataratorii!$B35,Data!$C:$C,Cataratorii!P$1)</f>
        <v>0</v>
      </c>
      <c r="Q35" s="88">
        <f>SUMIFS(Data!$H:$H,Data!$A:$A,Cataratorii!$B35,Data!$C:$C,Cataratorii!Q$1)</f>
        <v>0</v>
      </c>
      <c r="R35" s="88">
        <f t="shared" si="0"/>
        <v>13</v>
      </c>
      <c r="S35" s="37">
        <f>SUMIFS(Data!D:D,Data!A:A,Cataratorii!B35)</f>
        <v>15.049999999999999</v>
      </c>
      <c r="T35" s="38" t="str">
        <f>IF(VLOOKUP(B35,Participanti!A:D,4,0)=0," ","New")</f>
        <v xml:space="preserve"> </v>
      </c>
    </row>
    <row r="36" spans="1:20" ht="13.8" x14ac:dyDescent="0.3">
      <c r="A36" s="103">
        <v>35</v>
      </c>
      <c r="B36" s="36" t="s">
        <v>65</v>
      </c>
      <c r="C36" s="88">
        <f>SUMIFS(Data!$H:$H,Data!$A:$A,Cataratorii!$B36,Data!$C:$C,Cataratorii!C$1)</f>
        <v>0</v>
      </c>
      <c r="D36" s="88">
        <f>SUMIFS(Data!$H:$H,Data!$A:$A,Cataratorii!$B36,Data!$C:$C,Cataratorii!D$1)</f>
        <v>0</v>
      </c>
      <c r="E36" s="88">
        <f>SUMIFS(Data!$H:$H,Data!$A:$A,Cataratorii!$B36,Data!$C:$C,Cataratorii!E$1)</f>
        <v>0</v>
      </c>
      <c r="F36" s="88">
        <f>SUMIFS(Data!$H:$H,Data!$A:$A,Cataratorii!$B36,Data!$C:$C,Cataratorii!F$1)</f>
        <v>0</v>
      </c>
      <c r="G36" s="88">
        <f>SUMIFS(Data!$H:$H,Data!$A:$A,Cataratorii!$B36,Data!$C:$C,Cataratorii!G$1)</f>
        <v>0</v>
      </c>
      <c r="H36" s="88">
        <f>SUMIFS(Data!$H:$H,Data!$A:$A,Cataratorii!$B36,Data!$C:$C,Cataratorii!H$1)</f>
        <v>0</v>
      </c>
      <c r="I36" s="88">
        <f>SUMIFS(Data!$H:$H,Data!$A:$A,Cataratorii!$B36,Data!$C:$C,Cataratorii!I$1)</f>
        <v>0</v>
      </c>
      <c r="J36" s="88">
        <f>SUMIFS(Data!$H:$H,Data!$A:$A,Cataratorii!$B36,Data!$C:$C,Cataratorii!J$1)</f>
        <v>0</v>
      </c>
      <c r="K36" s="88">
        <f>SUMIFS(Data!$H:$H,Data!$A:$A,Cataratorii!$B36,Data!$C:$C,Cataratorii!K$1)</f>
        <v>4</v>
      </c>
      <c r="L36" s="88">
        <f>SUMIFS(Data!$H:$H,Data!$A:$A,Cataratorii!$B36,Data!$C:$C,Cataratorii!L$1)</f>
        <v>0</v>
      </c>
      <c r="M36" s="88">
        <f>SUMIFS(Data!$H:$H,Data!$A:$A,Cataratorii!$B36,Data!$C:$C,Cataratorii!M$1)</f>
        <v>0</v>
      </c>
      <c r="N36" s="88">
        <f>SUMIFS(Data!$H:$H,Data!$A:$A,Cataratorii!$B36,Data!$C:$C,Cataratorii!N$1)</f>
        <v>0</v>
      </c>
      <c r="O36" s="88">
        <f>SUMIFS(Data!$H:$H,Data!$A:$A,Cataratorii!$B36,Data!$C:$C,Cataratorii!O$1)</f>
        <v>0</v>
      </c>
      <c r="P36" s="88">
        <f>SUMIFS(Data!$H:$H,Data!$A:$A,Cataratorii!$B36,Data!$C:$C,Cataratorii!P$1)</f>
        <v>0</v>
      </c>
      <c r="Q36" s="88">
        <f>SUMIFS(Data!$H:$H,Data!$A:$A,Cataratorii!$B36,Data!$C:$C,Cataratorii!Q$1)</f>
        <v>0</v>
      </c>
      <c r="R36" s="88">
        <f t="shared" si="0"/>
        <v>4</v>
      </c>
      <c r="S36" s="37">
        <f>SUMIFS(Data!D:D,Data!A:A,Cataratorii!B36)</f>
        <v>94.72999999999999</v>
      </c>
      <c r="T36" s="38" t="str">
        <f>IF(VLOOKUP(B36,Participanti!A:D,4,0)=0," ","New")</f>
        <v xml:space="preserve"> </v>
      </c>
    </row>
    <row r="37" spans="1:20" ht="13.8" x14ac:dyDescent="0.3">
      <c r="A37" s="103">
        <v>36</v>
      </c>
      <c r="B37" s="36"/>
      <c r="C37" s="88">
        <f>SUMIFS(Data!$H:$H,Data!$A:$A,Cataratorii!$B37,Data!$C:$C,Cataratorii!C$1)</f>
        <v>0</v>
      </c>
      <c r="D37" s="88">
        <f>SUMIFS(Data!$H:$H,Data!$A:$A,Cataratorii!$B37,Data!$C:$C,Cataratorii!D$1)</f>
        <v>0</v>
      </c>
      <c r="E37" s="88">
        <f>SUMIFS(Data!$H:$H,Data!$A:$A,Cataratorii!$B37,Data!$C:$C,Cataratorii!E$1)</f>
        <v>0</v>
      </c>
      <c r="F37" s="88">
        <f>SUMIFS(Data!$H:$H,Data!$A:$A,Cataratorii!$B37,Data!$C:$C,Cataratorii!F$1)</f>
        <v>0</v>
      </c>
      <c r="G37" s="88">
        <f>SUMIFS(Data!$H:$H,Data!$A:$A,Cataratorii!$B37,Data!$C:$C,Cataratorii!G$1)</f>
        <v>0</v>
      </c>
      <c r="H37" s="88">
        <f>SUMIFS(Data!$H:$H,Data!$A:$A,Cataratorii!$B37,Data!$C:$C,Cataratorii!H$1)</f>
        <v>0</v>
      </c>
      <c r="I37" s="88">
        <f>SUMIFS(Data!$H:$H,Data!$A:$A,Cataratorii!$B37,Data!$C:$C,Cataratorii!I$1)</f>
        <v>0</v>
      </c>
      <c r="J37" s="88">
        <f>SUMIFS(Data!$H:$H,Data!$A:$A,Cataratorii!$B37,Data!$C:$C,Cataratorii!J$1)</f>
        <v>0</v>
      </c>
      <c r="K37" s="88">
        <f>SUMIFS(Data!$H:$H,Data!$A:$A,Cataratorii!$B37,Data!$C:$C,Cataratorii!K$1)</f>
        <v>0</v>
      </c>
      <c r="L37" s="88">
        <f>SUMIFS(Data!$H:$H,Data!$A:$A,Cataratorii!$B37,Data!$C:$C,Cataratorii!L$1)</f>
        <v>0</v>
      </c>
      <c r="M37" s="88">
        <f>SUMIFS(Data!$H:$H,Data!$A:$A,Cataratorii!$B37,Data!$C:$C,Cataratorii!M$1)</f>
        <v>0</v>
      </c>
      <c r="N37" s="88">
        <f>SUMIFS(Data!$H:$H,Data!$A:$A,Cataratorii!$B37,Data!$C:$C,Cataratorii!N$1)</f>
        <v>0</v>
      </c>
      <c r="O37" s="88">
        <f>SUMIFS(Data!$H:$H,Data!$A:$A,Cataratorii!$B37,Data!$C:$C,Cataratorii!O$1)</f>
        <v>0</v>
      </c>
      <c r="P37" s="88">
        <f>SUMIFS(Data!$H:$H,Data!$A:$A,Cataratorii!$B37,Data!$C:$C,Cataratorii!P$1)</f>
        <v>0</v>
      </c>
      <c r="Q37" s="88">
        <f>SUMIFS(Data!$H:$H,Data!$A:$A,Cataratorii!$B37,Data!$C:$C,Cataratorii!Q$1)</f>
        <v>0</v>
      </c>
      <c r="R37" s="88">
        <f t="shared" si="0"/>
        <v>0</v>
      </c>
      <c r="S37" s="37">
        <f>SUMIFS(Data!D:D,Data!A:A,Cataratorii!B37)</f>
        <v>0</v>
      </c>
      <c r="T37" s="38" t="e">
        <f>IF(VLOOKUP(B37,Participanti!A:D,4,0)=0," ","New")</f>
        <v>#N/A</v>
      </c>
    </row>
    <row r="38" spans="1:20" ht="13.8" x14ac:dyDescent="0.3">
      <c r="A38" s="103">
        <v>37</v>
      </c>
      <c r="B38" s="36"/>
      <c r="C38" s="88">
        <f>SUMIFS(Data!$H:$H,Data!$A:$A,Cataratorii!$B38,Data!$C:$C,Cataratorii!C$1)</f>
        <v>0</v>
      </c>
      <c r="D38" s="88">
        <f>SUMIFS(Data!$H:$H,Data!$A:$A,Cataratorii!$B38,Data!$C:$C,Cataratorii!D$1)</f>
        <v>0</v>
      </c>
      <c r="E38" s="88">
        <f>SUMIFS(Data!$H:$H,Data!$A:$A,Cataratorii!$B38,Data!$C:$C,Cataratorii!E$1)</f>
        <v>0</v>
      </c>
      <c r="F38" s="88">
        <f>SUMIFS(Data!$H:$H,Data!$A:$A,Cataratorii!$B38,Data!$C:$C,Cataratorii!F$1)</f>
        <v>0</v>
      </c>
      <c r="G38" s="88">
        <f>SUMIFS(Data!$H:$H,Data!$A:$A,Cataratorii!$B38,Data!$C:$C,Cataratorii!G$1)</f>
        <v>0</v>
      </c>
      <c r="H38" s="88">
        <f>SUMIFS(Data!$H:$H,Data!$A:$A,Cataratorii!$B38,Data!$C:$C,Cataratorii!H$1)</f>
        <v>0</v>
      </c>
      <c r="I38" s="88">
        <f>SUMIFS(Data!$H:$H,Data!$A:$A,Cataratorii!$B38,Data!$C:$C,Cataratorii!I$1)</f>
        <v>0</v>
      </c>
      <c r="J38" s="88">
        <f>SUMIFS(Data!$H:$H,Data!$A:$A,Cataratorii!$B38,Data!$C:$C,Cataratorii!J$1)</f>
        <v>0</v>
      </c>
      <c r="K38" s="88">
        <f>SUMIFS(Data!$H:$H,Data!$A:$A,Cataratorii!$B38,Data!$C:$C,Cataratorii!K$1)</f>
        <v>0</v>
      </c>
      <c r="L38" s="88">
        <f>SUMIFS(Data!$H:$H,Data!$A:$A,Cataratorii!$B38,Data!$C:$C,Cataratorii!L$1)</f>
        <v>0</v>
      </c>
      <c r="M38" s="88">
        <f>SUMIFS(Data!$H:$H,Data!$A:$A,Cataratorii!$B38,Data!$C:$C,Cataratorii!M$1)</f>
        <v>0</v>
      </c>
      <c r="N38" s="88">
        <f>SUMIFS(Data!$H:$H,Data!$A:$A,Cataratorii!$B38,Data!$C:$C,Cataratorii!N$1)</f>
        <v>0</v>
      </c>
      <c r="O38" s="88">
        <f>SUMIFS(Data!$H:$H,Data!$A:$A,Cataratorii!$B38,Data!$C:$C,Cataratorii!O$1)</f>
        <v>0</v>
      </c>
      <c r="P38" s="88">
        <f>SUMIFS(Data!$H:$H,Data!$A:$A,Cataratorii!$B38,Data!$C:$C,Cataratorii!P$1)</f>
        <v>0</v>
      </c>
      <c r="Q38" s="88">
        <f>SUMIFS(Data!$H:$H,Data!$A:$A,Cataratorii!$B38,Data!$C:$C,Cataratorii!Q$1)</f>
        <v>0</v>
      </c>
      <c r="R38" s="88">
        <f t="shared" si="0"/>
        <v>0</v>
      </c>
      <c r="S38" s="37">
        <f>SUMIFS(Data!D:D,Data!A:A,Cataratorii!B38)</f>
        <v>0</v>
      </c>
      <c r="T38" s="38" t="e">
        <f>IF(VLOOKUP(B38,Participanti!A:D,4,0)=0," ","New")</f>
        <v>#N/A</v>
      </c>
    </row>
    <row r="39" spans="1:20" ht="13.8" x14ac:dyDescent="0.3">
      <c r="A39" s="103">
        <v>38</v>
      </c>
      <c r="B39" s="36"/>
      <c r="C39" s="88">
        <f>SUMIFS(Data!$H:$H,Data!$A:$A,Cataratorii!$B39,Data!$C:$C,Cataratorii!C$1)</f>
        <v>0</v>
      </c>
      <c r="D39" s="88">
        <f>SUMIFS(Data!$H:$H,Data!$A:$A,Cataratorii!$B39,Data!$C:$C,Cataratorii!D$1)</f>
        <v>0</v>
      </c>
      <c r="E39" s="88">
        <f>SUMIFS(Data!$H:$H,Data!$A:$A,Cataratorii!$B39,Data!$C:$C,Cataratorii!E$1)</f>
        <v>0</v>
      </c>
      <c r="F39" s="88">
        <f>SUMIFS(Data!$H:$H,Data!$A:$A,Cataratorii!$B39,Data!$C:$C,Cataratorii!F$1)</f>
        <v>0</v>
      </c>
      <c r="G39" s="88">
        <f>SUMIFS(Data!$H:$H,Data!$A:$A,Cataratorii!$B39,Data!$C:$C,Cataratorii!G$1)</f>
        <v>0</v>
      </c>
      <c r="H39" s="88">
        <f>SUMIFS(Data!$H:$H,Data!$A:$A,Cataratorii!$B39,Data!$C:$C,Cataratorii!H$1)</f>
        <v>0</v>
      </c>
      <c r="I39" s="88">
        <f>SUMIFS(Data!$H:$H,Data!$A:$A,Cataratorii!$B39,Data!$C:$C,Cataratorii!I$1)</f>
        <v>0</v>
      </c>
      <c r="J39" s="88">
        <f>SUMIFS(Data!$H:$H,Data!$A:$A,Cataratorii!$B39,Data!$C:$C,Cataratorii!J$1)</f>
        <v>0</v>
      </c>
      <c r="K39" s="88">
        <f>SUMIFS(Data!$H:$H,Data!$A:$A,Cataratorii!$B39,Data!$C:$C,Cataratorii!K$1)</f>
        <v>0</v>
      </c>
      <c r="L39" s="88">
        <f>SUMIFS(Data!$H:$H,Data!$A:$A,Cataratorii!$B39,Data!$C:$C,Cataratorii!L$1)</f>
        <v>0</v>
      </c>
      <c r="M39" s="88">
        <f>SUMIFS(Data!$H:$H,Data!$A:$A,Cataratorii!$B39,Data!$C:$C,Cataratorii!M$1)</f>
        <v>0</v>
      </c>
      <c r="N39" s="88">
        <f>SUMIFS(Data!$H:$H,Data!$A:$A,Cataratorii!$B39,Data!$C:$C,Cataratorii!N$1)</f>
        <v>0</v>
      </c>
      <c r="O39" s="88">
        <f>SUMIFS(Data!$H:$H,Data!$A:$A,Cataratorii!$B39,Data!$C:$C,Cataratorii!O$1)</f>
        <v>0</v>
      </c>
      <c r="P39" s="88">
        <f>SUMIFS(Data!$H:$H,Data!$A:$A,Cataratorii!$B39,Data!$C:$C,Cataratorii!P$1)</f>
        <v>0</v>
      </c>
      <c r="Q39" s="88">
        <f>SUMIFS(Data!$H:$H,Data!$A:$A,Cataratorii!$B39,Data!$C:$C,Cataratorii!Q$1)</f>
        <v>0</v>
      </c>
      <c r="R39" s="88">
        <f t="shared" si="0"/>
        <v>0</v>
      </c>
      <c r="S39" s="37">
        <f>SUMIFS(Data!D:D,Data!A:A,Cataratorii!B39)</f>
        <v>0</v>
      </c>
      <c r="T39" s="38" t="e">
        <f>IF(VLOOKUP(B39,Participanti!A:D,4,0)=0," ","New")</f>
        <v>#N/A</v>
      </c>
    </row>
    <row r="40" spans="1:20" ht="13.8" x14ac:dyDescent="0.3">
      <c r="A40" s="103">
        <v>39</v>
      </c>
      <c r="B40" s="36"/>
      <c r="C40" s="88"/>
      <c r="D40" s="88"/>
      <c r="E40" s="88"/>
      <c r="F40" s="88"/>
      <c r="G40" s="88"/>
      <c r="H40" s="88" t="str">
        <f>IF(SUMIFS(Data!$U:$U,Data!$A:$A,$B40,Data!$C:$C,H$1)=0,"",SUMIFS(Data!$U:$U,Data!$A:$A,$B40,Data!$C:$C,H$1))</f>
        <v/>
      </c>
      <c r="I40" s="88" t="str">
        <f>IF(SUMIFS(Data!$U:$U,Data!$A:$A,$B40,Data!$C:$C,I$1)=0,"",SUMIFS(Data!$U:$U,Data!$A:$A,$B40,Data!$C:$C,I$1))</f>
        <v/>
      </c>
      <c r="J40" s="88" t="str">
        <f>IF(SUMIFS(Data!$U:$U,Data!$A:$A,$B40,Data!$C:$C,J$1)=0,"",SUMIFS(Data!$U:$U,Data!$A:$A,$B40,Data!$C:$C,J$1))</f>
        <v/>
      </c>
      <c r="K40" s="88" t="str">
        <f>IF(SUMIFS(Data!$U:$U,Data!$A:$A,$B40,Data!$C:$C,K$1)=0,"",SUMIFS(Data!$U:$U,Data!$A:$A,$B40,Data!$C:$C,K$1))</f>
        <v/>
      </c>
      <c r="L40" s="88" t="str">
        <f>IF(SUMIFS(Data!$U:$U,Data!$A:$A,$B40,Data!$C:$C,L$1)=0,"",SUMIFS(Data!$U:$U,Data!$A:$A,$B40,Data!$C:$C,L$1))</f>
        <v/>
      </c>
      <c r="M40" s="88" t="str">
        <f>IF(SUMIFS(Data!$U:$U,Data!$A:$A,$B40,Data!$C:$C,M$1)=0,"",SUMIFS(Data!$U:$U,Data!$A:$A,$B40,Data!$C:$C,M$1))</f>
        <v/>
      </c>
      <c r="N40" s="88" t="str">
        <f>IF(SUMIFS(Data!$U:$U,Data!$A:$A,$B40,Data!$C:$C,N$1)=0,"",SUMIFS(Data!$U:$U,Data!$A:$A,$B40,Data!$C:$C,N$1))</f>
        <v/>
      </c>
      <c r="O40" s="88" t="str">
        <f>IF(SUMIFS(Data!$U:$U,Data!$A:$A,$B40,Data!$C:$C,O$1)=0,"",SUMIFS(Data!$U:$U,Data!$A:$A,$B40,Data!$C:$C,O$1))</f>
        <v/>
      </c>
      <c r="P40" s="88" t="str">
        <f>IF(SUMIFS(Data!$U:$U,Data!$A:$A,$B40,Data!$C:$C,P$1)=0,"",SUMIFS(Data!$U:$U,Data!$A:$A,$B40,Data!$C:$C,P$1))</f>
        <v/>
      </c>
      <c r="Q40" s="88"/>
      <c r="R40" s="88"/>
      <c r="S40" s="37"/>
    </row>
    <row r="41" spans="1:20" ht="13.8" x14ac:dyDescent="0.3">
      <c r="A41" s="103">
        <v>40</v>
      </c>
      <c r="B41" s="36"/>
      <c r="C41" s="88"/>
      <c r="D41" s="88"/>
      <c r="E41" s="88"/>
      <c r="F41" s="88"/>
      <c r="G41" s="88"/>
      <c r="H41" s="88" t="str">
        <f>IF(SUMIFS(Data!$U:$U,Data!$A:$A,$B41,Data!$C:$C,H$1)=0,"",SUMIFS(Data!$U:$U,Data!$A:$A,$B41,Data!$C:$C,H$1))</f>
        <v/>
      </c>
      <c r="I41" s="88" t="str">
        <f>IF(SUMIFS(Data!$U:$U,Data!$A:$A,$B41,Data!$C:$C,I$1)=0,"",SUMIFS(Data!$U:$U,Data!$A:$A,$B41,Data!$C:$C,I$1))</f>
        <v/>
      </c>
      <c r="J41" s="88" t="str">
        <f>IF(SUMIFS(Data!$U:$U,Data!$A:$A,$B41,Data!$C:$C,J$1)=0,"",SUMIFS(Data!$U:$U,Data!$A:$A,$B41,Data!$C:$C,J$1))</f>
        <v/>
      </c>
      <c r="K41" s="88" t="str">
        <f>IF(SUMIFS(Data!$U:$U,Data!$A:$A,$B41,Data!$C:$C,K$1)=0,"",SUMIFS(Data!$U:$U,Data!$A:$A,$B41,Data!$C:$C,K$1))</f>
        <v/>
      </c>
      <c r="L41" s="88" t="str">
        <f>IF(SUMIFS(Data!$U:$U,Data!$A:$A,$B41,Data!$C:$C,L$1)=0,"",SUMIFS(Data!$U:$U,Data!$A:$A,$B41,Data!$C:$C,L$1))</f>
        <v/>
      </c>
      <c r="M41" s="88" t="str">
        <f>IF(SUMIFS(Data!$U:$U,Data!$A:$A,$B41,Data!$C:$C,M$1)=0,"",SUMIFS(Data!$U:$U,Data!$A:$A,$B41,Data!$C:$C,M$1))</f>
        <v/>
      </c>
      <c r="N41" s="88" t="str">
        <f>IF(SUMIFS(Data!$U:$U,Data!$A:$A,$B41,Data!$C:$C,N$1)=0,"",SUMIFS(Data!$U:$U,Data!$A:$A,$B41,Data!$C:$C,N$1))</f>
        <v/>
      </c>
      <c r="O41" s="88" t="str">
        <f>IF(SUMIFS(Data!$U:$U,Data!$A:$A,$B41,Data!$C:$C,O$1)=0,"",SUMIFS(Data!$U:$U,Data!$A:$A,$B41,Data!$C:$C,O$1))</f>
        <v/>
      </c>
      <c r="P41" s="88" t="str">
        <f>IF(SUMIFS(Data!$U:$U,Data!$A:$A,$B41,Data!$C:$C,P$1)=0,"",SUMIFS(Data!$U:$U,Data!$A:$A,$B41,Data!$C:$C,P$1))</f>
        <v/>
      </c>
      <c r="Q41" s="88"/>
      <c r="R41" s="88"/>
      <c r="S41" s="37"/>
    </row>
    <row r="42" spans="1:20" ht="13.8" x14ac:dyDescent="0.3">
      <c r="A42" s="103">
        <v>41</v>
      </c>
      <c r="B42" s="36"/>
      <c r="C42" s="88"/>
      <c r="D42" s="88"/>
      <c r="E42" s="88"/>
      <c r="F42" s="88"/>
      <c r="G42" s="88"/>
      <c r="H42" s="88" t="str">
        <f>IF(SUMIFS(Data!$U:$U,Data!$A:$A,$B42,Data!$C:$C,H$1)=0,"",SUMIFS(Data!$U:$U,Data!$A:$A,$B42,Data!$C:$C,H$1))</f>
        <v/>
      </c>
      <c r="I42" s="88" t="str">
        <f>IF(SUMIFS(Data!$U:$U,Data!$A:$A,$B42,Data!$C:$C,I$1)=0,"",SUMIFS(Data!$U:$U,Data!$A:$A,$B42,Data!$C:$C,I$1))</f>
        <v/>
      </c>
      <c r="J42" s="88" t="str">
        <f>IF(SUMIFS(Data!$U:$U,Data!$A:$A,$B42,Data!$C:$C,J$1)=0,"",SUMIFS(Data!$U:$U,Data!$A:$A,$B42,Data!$C:$C,J$1))</f>
        <v/>
      </c>
      <c r="K42" s="88" t="str">
        <f>IF(SUMIFS(Data!$U:$U,Data!$A:$A,$B42,Data!$C:$C,K$1)=0,"",SUMIFS(Data!$U:$U,Data!$A:$A,$B42,Data!$C:$C,K$1))</f>
        <v/>
      </c>
      <c r="L42" s="88" t="str">
        <f>IF(SUMIFS(Data!$U:$U,Data!$A:$A,$B42,Data!$C:$C,L$1)=0,"",SUMIFS(Data!$U:$U,Data!$A:$A,$B42,Data!$C:$C,L$1))</f>
        <v/>
      </c>
      <c r="M42" s="88" t="str">
        <f>IF(SUMIFS(Data!$U:$U,Data!$A:$A,$B42,Data!$C:$C,M$1)=0,"",SUMIFS(Data!$U:$U,Data!$A:$A,$B42,Data!$C:$C,M$1))</f>
        <v/>
      </c>
      <c r="N42" s="88" t="str">
        <f>IF(SUMIFS(Data!$U:$U,Data!$A:$A,$B42,Data!$C:$C,N$1)=0,"",SUMIFS(Data!$U:$U,Data!$A:$A,$B42,Data!$C:$C,N$1))</f>
        <v/>
      </c>
      <c r="O42" s="88" t="str">
        <f>IF(SUMIFS(Data!$U:$U,Data!$A:$A,$B42,Data!$C:$C,O$1)=0,"",SUMIFS(Data!$U:$U,Data!$A:$A,$B42,Data!$C:$C,O$1))</f>
        <v/>
      </c>
      <c r="P42" s="88" t="str">
        <f>IF(SUMIFS(Data!$U:$U,Data!$A:$A,$B42,Data!$C:$C,P$1)=0,"",SUMIFS(Data!$U:$U,Data!$A:$A,$B42,Data!$C:$C,P$1))</f>
        <v/>
      </c>
      <c r="Q42" s="88"/>
      <c r="R42" s="88"/>
      <c r="S42" s="37"/>
    </row>
    <row r="43" spans="1:20" ht="13.8" x14ac:dyDescent="0.3">
      <c r="A43" s="103">
        <v>42</v>
      </c>
      <c r="B43" s="36"/>
      <c r="C43" s="88"/>
      <c r="D43" s="88"/>
      <c r="E43" s="88"/>
      <c r="F43" s="88"/>
      <c r="G43" s="88"/>
      <c r="H43" s="88" t="str">
        <f>IF(SUMIFS(Data!$U:$U,Data!$A:$A,$B43,Data!$C:$C,H$1)=0,"",SUMIFS(Data!$U:$U,Data!$A:$A,$B43,Data!$C:$C,H$1))</f>
        <v/>
      </c>
      <c r="I43" s="88" t="str">
        <f>IF(SUMIFS(Data!$U:$U,Data!$A:$A,$B43,Data!$C:$C,I$1)=0,"",SUMIFS(Data!$U:$U,Data!$A:$A,$B43,Data!$C:$C,I$1))</f>
        <v/>
      </c>
      <c r="J43" s="88" t="str">
        <f>IF(SUMIFS(Data!$U:$U,Data!$A:$A,$B43,Data!$C:$C,J$1)=0,"",SUMIFS(Data!$U:$U,Data!$A:$A,$B43,Data!$C:$C,J$1))</f>
        <v/>
      </c>
      <c r="K43" s="88" t="str">
        <f>IF(SUMIFS(Data!$U:$U,Data!$A:$A,$B43,Data!$C:$C,K$1)=0,"",SUMIFS(Data!$U:$U,Data!$A:$A,$B43,Data!$C:$C,K$1))</f>
        <v/>
      </c>
      <c r="L43" s="88" t="str">
        <f>IF(SUMIFS(Data!$U:$U,Data!$A:$A,$B43,Data!$C:$C,L$1)=0,"",SUMIFS(Data!$U:$U,Data!$A:$A,$B43,Data!$C:$C,L$1))</f>
        <v/>
      </c>
      <c r="M43" s="88" t="str">
        <f>IF(SUMIFS(Data!$U:$U,Data!$A:$A,$B43,Data!$C:$C,M$1)=0,"",SUMIFS(Data!$U:$U,Data!$A:$A,$B43,Data!$C:$C,M$1))</f>
        <v/>
      </c>
      <c r="N43" s="88" t="str">
        <f>IF(SUMIFS(Data!$U:$U,Data!$A:$A,$B43,Data!$C:$C,N$1)=0,"",SUMIFS(Data!$U:$U,Data!$A:$A,$B43,Data!$C:$C,N$1))</f>
        <v/>
      </c>
      <c r="O43" s="88" t="str">
        <f>IF(SUMIFS(Data!$U:$U,Data!$A:$A,$B43,Data!$C:$C,O$1)=0,"",SUMIFS(Data!$U:$U,Data!$A:$A,$B43,Data!$C:$C,O$1))</f>
        <v/>
      </c>
      <c r="P43" s="88" t="str">
        <f>IF(SUMIFS(Data!$U:$U,Data!$A:$A,$B43,Data!$C:$C,P$1)=0,"",SUMIFS(Data!$U:$U,Data!$A:$A,$B43,Data!$C:$C,P$1))</f>
        <v/>
      </c>
      <c r="Q43" s="88"/>
      <c r="R43" s="88"/>
      <c r="S43" s="37"/>
    </row>
  </sheetData>
  <autoFilter ref="A1:T43"/>
  <sortState ref="B2:T36">
    <sortCondition descending="1" ref="R2:R36"/>
    <sortCondition descending="1" ref="S2:S36"/>
  </sortState>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sheetPr>
  <dimension ref="A1:T43"/>
  <sheetViews>
    <sheetView zoomScaleNormal="100" workbookViewId="0">
      <pane ySplit="1" topLeftCell="A2" activePane="bottomLeft" state="frozen"/>
      <selection pane="bottomLeft" activeCell="O29" sqref="O29"/>
    </sheetView>
  </sheetViews>
  <sheetFormatPr defaultColWidth="9.109375" defaultRowHeight="12" x14ac:dyDescent="0.25"/>
  <cols>
    <col min="1" max="1" width="7.88671875" style="104" bestFit="1" customWidth="1"/>
    <col min="2" max="2" width="22.109375" style="27" bestFit="1" customWidth="1"/>
    <col min="3" max="13" width="6.109375" style="28" customWidth="1"/>
    <col min="14" max="17" width="5.33203125" style="28" customWidth="1"/>
    <col min="18" max="18" width="10.44140625" style="28" bestFit="1" customWidth="1"/>
    <col min="19" max="19" width="13.33203125" style="28" bestFit="1" customWidth="1"/>
    <col min="20" max="20" width="7.5546875" style="38" bestFit="1" customWidth="1"/>
    <col min="21" max="16384" width="9.109375" style="38"/>
  </cols>
  <sheetData>
    <row r="1" spans="1:20" ht="13.8" x14ac:dyDescent="0.3">
      <c r="A1" s="102" t="s">
        <v>68</v>
      </c>
      <c r="B1" s="34" t="s">
        <v>32</v>
      </c>
      <c r="C1" s="43">
        <v>1</v>
      </c>
      <c r="D1" s="43">
        <v>2</v>
      </c>
      <c r="E1" s="43">
        <v>3</v>
      </c>
      <c r="F1" s="43">
        <v>4</v>
      </c>
      <c r="G1" s="43">
        <v>5</v>
      </c>
      <c r="H1" s="43">
        <v>6</v>
      </c>
      <c r="I1" s="43">
        <v>7</v>
      </c>
      <c r="J1" s="43">
        <v>8</v>
      </c>
      <c r="K1" s="43">
        <v>9</v>
      </c>
      <c r="L1" s="43">
        <v>10</v>
      </c>
      <c r="M1" s="43">
        <v>11</v>
      </c>
      <c r="N1" s="43">
        <v>12</v>
      </c>
      <c r="O1" s="43">
        <v>13</v>
      </c>
      <c r="P1" s="43">
        <v>14</v>
      </c>
      <c r="Q1" s="43">
        <v>15</v>
      </c>
      <c r="R1" s="35" t="s">
        <v>70</v>
      </c>
      <c r="S1" s="35" t="s">
        <v>69</v>
      </c>
      <c r="T1" s="42" t="s">
        <v>188</v>
      </c>
    </row>
    <row r="2" spans="1:20" ht="13.8" x14ac:dyDescent="0.3">
      <c r="A2" s="103">
        <v>1</v>
      </c>
      <c r="B2" s="36" t="s">
        <v>218</v>
      </c>
      <c r="C2" s="37">
        <f>IFERROR(IF(SUMIFS(Data!$K:$K,Data!$A:$A,Vitezistii!$B2,Data!$C:$C,Vitezistii!C$1)=0," ",SUMIFS(Data!$K:$K,Data!$A:$A,Vitezistii!$B2,Data!$C:$C,Vitezistii!C$1))+SUMIFS(Data!$S:$S,Data!$A:$A,Vitezistii!$B2,Data!$C:$C,Vitezistii!C$1),0)</f>
        <v>7.25</v>
      </c>
      <c r="D2" s="37">
        <f>IFERROR(IF(SUMIFS(Data!$K:$K,Data!$A:$A,Vitezistii!$B2,Data!$C:$C,Vitezistii!D$1)=0," ",SUMIFS(Data!$K:$K,Data!$A:$A,Vitezistii!$B2,Data!$C:$C,Vitezistii!D$1))+SUMIFS(Data!$S:$S,Data!$A:$A,Vitezistii!$B2,Data!$C:$C,Vitezistii!D$1),0)</f>
        <v>4</v>
      </c>
      <c r="E2" s="37">
        <f>IFERROR(IF(SUMIFS(Data!$K:$K,Data!$A:$A,Vitezistii!$B2,Data!$C:$C,Vitezistii!E$1)=0," ",SUMIFS(Data!$K:$K,Data!$A:$A,Vitezistii!$B2,Data!$C:$C,Vitezistii!E$1))+SUMIFS(Data!$S:$S,Data!$A:$A,Vitezistii!$B2,Data!$C:$C,Vitezistii!E$1),0)</f>
        <v>3.5</v>
      </c>
      <c r="F2" s="37">
        <f>IFERROR(IF(SUMIFS(Data!$K:$K,Data!$A:$A,Vitezistii!$B2,Data!$C:$C,Vitezistii!F$1)=0," ",SUMIFS(Data!$K:$K,Data!$A:$A,Vitezistii!$B2,Data!$C:$C,Vitezistii!F$1))+SUMIFS(Data!$S:$S,Data!$A:$A,Vitezistii!$B2,Data!$C:$C,Vitezistii!F$1),0)</f>
        <v>4.5</v>
      </c>
      <c r="G2" s="37">
        <f>IFERROR(IF(SUMIFS(Data!$K:$K,Data!$A:$A,Vitezistii!$B2,Data!$C:$C,Vitezistii!G$1)=0," ",SUMIFS(Data!$K:$K,Data!$A:$A,Vitezistii!$B2,Data!$C:$C,Vitezistii!G$1))+SUMIFS(Data!$S:$S,Data!$A:$A,Vitezistii!$B2,Data!$C:$C,Vitezistii!G$1),0)</f>
        <v>8.15</v>
      </c>
      <c r="H2" s="37">
        <f>IFERROR(IF(SUMIFS(Data!$K:$K,Data!$A:$A,Vitezistii!$B2,Data!$C:$C,Vitezistii!H$1)=0," ",SUMIFS(Data!$K:$K,Data!$A:$A,Vitezistii!$B2,Data!$C:$C,Vitezistii!H$1))+SUMIFS(Data!$S:$S,Data!$A:$A,Vitezistii!$B2,Data!$C:$C,Vitezistii!H$1),0)</f>
        <v>4</v>
      </c>
      <c r="I2" s="37">
        <f>IFERROR(IF(SUMIFS(Data!$K:$K,Data!$A:$A,Vitezistii!$B2,Data!$C:$C,Vitezistii!I$1)=0," ",SUMIFS(Data!$K:$K,Data!$A:$A,Vitezistii!$B2,Data!$C:$C,Vitezistii!I$1))+SUMIFS(Data!$S:$S,Data!$A:$A,Vitezistii!$B2,Data!$C:$C,Vitezistii!I$1),0)</f>
        <v>9.1999999999999993</v>
      </c>
      <c r="J2" s="37">
        <f>IFERROR(IF(SUMIFS(Data!$K:$K,Data!$A:$A,Vitezistii!$B2,Data!$C:$C,Vitezistii!J$1)=0," ",SUMIFS(Data!$K:$K,Data!$A:$A,Vitezistii!$B2,Data!$C:$C,Vitezistii!J$1))+SUMIFS(Data!$S:$S,Data!$A:$A,Vitezistii!$B2,Data!$C:$C,Vitezistii!J$1),0)</f>
        <v>4.5</v>
      </c>
      <c r="K2" s="37">
        <f>IFERROR(IF(SUMIFS(Data!$K:$K,Data!$A:$A,Vitezistii!$B2,Data!$C:$C,Vitezistii!K$1)=0," ",SUMIFS(Data!$K:$K,Data!$A:$A,Vitezistii!$B2,Data!$C:$C,Vitezistii!K$1))+SUMIFS(Data!$S:$S,Data!$A:$A,Vitezistii!$B2,Data!$C:$C,Vitezistii!K$1),0)</f>
        <v>5.45</v>
      </c>
      <c r="L2" s="37">
        <f>IFERROR(IF(SUMIFS(Data!$K:$K,Data!$A:$A,Vitezistii!$B2,Data!$C:$C,Vitezistii!L$1)=0," ",SUMIFS(Data!$K:$K,Data!$A:$A,Vitezistii!$B2,Data!$C:$C,Vitezistii!L$1))+SUMIFS(Data!$S:$S,Data!$A:$A,Vitezistii!$B2,Data!$C:$C,Vitezistii!L$1),0)</f>
        <v>4.5</v>
      </c>
      <c r="M2" s="37">
        <f>IFERROR(IF(SUMIFS(Data!$K:$K,Data!$A:$A,Vitezistii!$B2,Data!$C:$C,Vitezistii!M$1)=0," ",SUMIFS(Data!$K:$K,Data!$A:$A,Vitezistii!$B2,Data!$C:$C,Vitezistii!M$1))+SUMIFS(Data!$S:$S,Data!$A:$A,Vitezistii!$B2,Data!$C:$C,Vitezistii!M$1),0)</f>
        <v>9.1999999999999993</v>
      </c>
      <c r="N2" s="37">
        <f>IFERROR(IF(SUMIFS(Data!$K:$K,Data!$A:$A,Vitezistii!$B2,Data!$C:$C,Vitezistii!N$1)=0," ",SUMIFS(Data!$K:$K,Data!$A:$A,Vitezistii!$B2,Data!$C:$C,Vitezistii!N$1))+SUMIFS(Data!$S:$S,Data!$A:$A,Vitezistii!$B2,Data!$C:$C,Vitezistii!N$1),0)</f>
        <v>5.9</v>
      </c>
      <c r="O2" s="37">
        <f>IFERROR(IF(SUMIFS(Data!$K:$K,Data!$A:$A,Vitezistii!$B2,Data!$C:$C,Vitezistii!O$1)=0," ",SUMIFS(Data!$K:$K,Data!$A:$A,Vitezistii!$B2,Data!$C:$C,Vitezistii!O$1))+SUMIFS(Data!$S:$S,Data!$A:$A,Vitezistii!$B2,Data!$C:$C,Vitezistii!O$1),0)</f>
        <v>5.15</v>
      </c>
      <c r="P2" s="37">
        <f>IFERROR(IF(SUMIFS(Data!$K:$K,Data!$A:$A,Vitezistii!$B2,Data!$C:$C,Vitezistii!P$1)=0," ",SUMIFS(Data!$K:$K,Data!$A:$A,Vitezistii!$B2,Data!$C:$C,Vitezistii!P$1))+SUMIFS(Data!$S:$S,Data!$A:$A,Vitezistii!$B2,Data!$C:$C,Vitezistii!P$1),0)</f>
        <v>9.1999999999999993</v>
      </c>
      <c r="Q2" s="37">
        <f>IFERROR(IF(SUMIFS(Data!$K:$K,Data!$A:$A,Vitezistii!$B2,Data!$C:$C,Vitezistii!Q$1)=0," ",SUMIFS(Data!$K:$K,Data!$A:$A,Vitezistii!$B2,Data!$C:$C,Vitezistii!Q$1))+SUMIFS(Data!$S:$S,Data!$A:$A,Vitezistii!$B2,Data!$C:$C,Vitezistii!Q$1),0)</f>
        <v>5.9</v>
      </c>
      <c r="R2" s="37">
        <f>SUM(C2:Q2)</f>
        <v>90.40000000000002</v>
      </c>
      <c r="S2" s="37">
        <f>SUMIFS(Data!D:D,Data!A:A,Vitezistii!B2)</f>
        <v>357.28999999999991</v>
      </c>
      <c r="T2" s="13">
        <f>SUMIFS(Data!I:I,Data!A:A,Vitezistii!B2)/COUNTIF(Data!A:A,Vitezistii!B2)</f>
        <v>2.7216584578917393E-3</v>
      </c>
    </row>
    <row r="3" spans="1:20" ht="13.8" x14ac:dyDescent="0.3">
      <c r="A3" s="103">
        <v>2</v>
      </c>
      <c r="B3" s="36" t="s">
        <v>141</v>
      </c>
      <c r="C3" s="37">
        <f>IFERROR(IF(SUMIFS(Data!$K:$K,Data!$A:$A,Vitezistii!$B3,Data!$C:$C,Vitezistii!C$1)=0," ",SUMIFS(Data!$K:$K,Data!$A:$A,Vitezistii!$B3,Data!$C:$C,Vitezistii!C$1))+SUMIFS(Data!$S:$S,Data!$A:$A,Vitezistii!$B3,Data!$C:$C,Vitezistii!C$1),0)</f>
        <v>1.5</v>
      </c>
      <c r="D3" s="37">
        <f>IFERROR(IF(SUMIFS(Data!$K:$K,Data!$A:$A,Vitezistii!$B3,Data!$C:$C,Vitezistii!D$1)=0," ",SUMIFS(Data!$K:$K,Data!$A:$A,Vitezistii!$B3,Data!$C:$C,Vitezistii!D$1))+SUMIFS(Data!$S:$S,Data!$A:$A,Vitezistii!$B3,Data!$C:$C,Vitezistii!D$1),0)</f>
        <v>3</v>
      </c>
      <c r="E3" s="37">
        <f>IFERROR(IF(SUMIFS(Data!$K:$K,Data!$A:$A,Vitezistii!$B3,Data!$C:$C,Vitezistii!E$1)=0," ",SUMIFS(Data!$K:$K,Data!$A:$A,Vitezistii!$B3,Data!$C:$C,Vitezistii!E$1))+SUMIFS(Data!$S:$S,Data!$A:$A,Vitezistii!$B3,Data!$C:$C,Vitezistii!E$1),0)</f>
        <v>0</v>
      </c>
      <c r="F3" s="37">
        <f>IFERROR(IF(SUMIFS(Data!$K:$K,Data!$A:$A,Vitezistii!$B3,Data!$C:$C,Vitezistii!F$1)=0," ",SUMIFS(Data!$K:$K,Data!$A:$A,Vitezistii!$B3,Data!$C:$C,Vitezistii!F$1))+SUMIFS(Data!$S:$S,Data!$A:$A,Vitezistii!$B3,Data!$C:$C,Vitezistii!F$1),0)</f>
        <v>2.5</v>
      </c>
      <c r="G3" s="37">
        <f>IFERROR(IF(SUMIFS(Data!$K:$K,Data!$A:$A,Vitezistii!$B3,Data!$C:$C,Vitezistii!G$1)=0," ",SUMIFS(Data!$K:$K,Data!$A:$A,Vitezistii!$B3,Data!$C:$C,Vitezistii!G$1))+SUMIFS(Data!$S:$S,Data!$A:$A,Vitezistii!$B3,Data!$C:$C,Vitezistii!G$1),0)</f>
        <v>3.5</v>
      </c>
      <c r="H3" s="37">
        <f>IFERROR(IF(SUMIFS(Data!$K:$K,Data!$A:$A,Vitezistii!$B3,Data!$C:$C,Vitezistii!H$1)=0," ",SUMIFS(Data!$K:$K,Data!$A:$A,Vitezistii!$B3,Data!$C:$C,Vitezistii!H$1))+SUMIFS(Data!$S:$S,Data!$A:$A,Vitezistii!$B3,Data!$C:$C,Vitezistii!H$1),0)</f>
        <v>5.45</v>
      </c>
      <c r="I3" s="37">
        <f>IFERROR(IF(SUMIFS(Data!$K:$K,Data!$A:$A,Vitezistii!$B3,Data!$C:$C,Vitezistii!I$1)=0," ",SUMIFS(Data!$K:$K,Data!$A:$A,Vitezistii!$B3,Data!$C:$C,Vitezistii!I$1))+SUMIFS(Data!$S:$S,Data!$A:$A,Vitezistii!$B3,Data!$C:$C,Vitezistii!I$1),0)</f>
        <v>3</v>
      </c>
      <c r="J3" s="37">
        <f>IFERROR(IF(SUMIFS(Data!$K:$K,Data!$A:$A,Vitezistii!$B3,Data!$C:$C,Vitezistii!J$1)=0," ",SUMIFS(Data!$K:$K,Data!$A:$A,Vitezistii!$B3,Data!$C:$C,Vitezistii!J$1))+SUMIFS(Data!$S:$S,Data!$A:$A,Vitezistii!$B3,Data!$C:$C,Vitezistii!J$1),0)</f>
        <v>4</v>
      </c>
      <c r="K3" s="37">
        <f>IFERROR(IF(SUMIFS(Data!$K:$K,Data!$A:$A,Vitezistii!$B3,Data!$C:$C,Vitezistii!K$1)=0," ",SUMIFS(Data!$K:$K,Data!$A:$A,Vitezistii!$B3,Data!$C:$C,Vitezistii!K$1))+SUMIFS(Data!$S:$S,Data!$A:$A,Vitezistii!$B3,Data!$C:$C,Vitezistii!K$1),0)</f>
        <v>5.15</v>
      </c>
      <c r="L3" s="37">
        <f>IFERROR(IF(SUMIFS(Data!$K:$K,Data!$A:$A,Vitezistii!$B3,Data!$C:$C,Vitezistii!L$1)=0," ",SUMIFS(Data!$K:$K,Data!$A:$A,Vitezistii!$B3,Data!$C:$C,Vitezistii!L$1))+SUMIFS(Data!$S:$S,Data!$A:$A,Vitezistii!$B3,Data!$C:$C,Vitezistii!L$1),0)</f>
        <v>6.5</v>
      </c>
      <c r="M3" s="37">
        <f>IFERROR(IF(SUMIFS(Data!$K:$K,Data!$A:$A,Vitezistii!$B3,Data!$C:$C,Vitezistii!M$1)=0," ",SUMIFS(Data!$K:$K,Data!$A:$A,Vitezistii!$B3,Data!$C:$C,Vitezistii!M$1))+SUMIFS(Data!$S:$S,Data!$A:$A,Vitezistii!$B3,Data!$C:$C,Vitezistii!M$1),0)</f>
        <v>3.5</v>
      </c>
      <c r="N3" s="37">
        <f>IFERROR(IF(SUMIFS(Data!$K:$K,Data!$A:$A,Vitezistii!$B3,Data!$C:$C,Vitezistii!N$1)=0," ",SUMIFS(Data!$K:$K,Data!$A:$A,Vitezistii!$B3,Data!$C:$C,Vitezistii!N$1))+SUMIFS(Data!$S:$S,Data!$A:$A,Vitezistii!$B3,Data!$C:$C,Vitezistii!N$1),0)</f>
        <v>4</v>
      </c>
      <c r="O3" s="37">
        <f>IFERROR(IF(SUMIFS(Data!$K:$K,Data!$A:$A,Vitezistii!$B3,Data!$C:$C,Vitezistii!O$1)=0," ",SUMIFS(Data!$K:$K,Data!$A:$A,Vitezistii!$B3,Data!$C:$C,Vitezistii!O$1))+SUMIFS(Data!$S:$S,Data!$A:$A,Vitezistii!$B3,Data!$C:$C,Vitezistii!O$1),0)</f>
        <v>3</v>
      </c>
      <c r="P3" s="37">
        <f>IFERROR(IF(SUMIFS(Data!$K:$K,Data!$A:$A,Vitezistii!$B3,Data!$C:$C,Vitezistii!P$1)=0," ",SUMIFS(Data!$K:$K,Data!$A:$A,Vitezistii!$B3,Data!$C:$C,Vitezistii!P$1))+SUMIFS(Data!$S:$S,Data!$A:$A,Vitezistii!$B3,Data!$C:$C,Vitezistii!P$1),0)</f>
        <v>4</v>
      </c>
      <c r="Q3" s="37">
        <f>IFERROR(IF(SUMIFS(Data!$K:$K,Data!$A:$A,Vitezistii!$B3,Data!$C:$C,Vitezistii!Q$1)=0," ",SUMIFS(Data!$K:$K,Data!$A:$A,Vitezistii!$B3,Data!$C:$C,Vitezistii!Q$1))+SUMIFS(Data!$S:$S,Data!$A:$A,Vitezistii!$B3,Data!$C:$C,Vitezistii!Q$1),0)</f>
        <v>4</v>
      </c>
      <c r="R3" s="37">
        <f t="shared" ref="R3:R39" si="0">SUM(C3:Q3)</f>
        <v>53.1</v>
      </c>
      <c r="S3" s="37">
        <f>SUMIFS(Data!D:D,Data!A:A,Vitezistii!B3)</f>
        <v>242.19999999999996</v>
      </c>
      <c r="T3" s="13">
        <f>SUMIFS(Data!I:I,Data!A:A,Vitezistii!B3)/COUNTIF(Data!A:A,Vitezistii!B3)</f>
        <v>3.9806774453707778E-3</v>
      </c>
    </row>
    <row r="4" spans="1:20" ht="13.8" x14ac:dyDescent="0.3">
      <c r="A4" s="103">
        <v>3</v>
      </c>
      <c r="B4" s="36" t="s">
        <v>216</v>
      </c>
      <c r="C4" s="37">
        <f>IFERROR(IF(SUMIFS(Data!$K:$K,Data!$A:$A,Vitezistii!$B4,Data!$C:$C,Vitezistii!C$1)=0," ",SUMIFS(Data!$K:$K,Data!$A:$A,Vitezistii!$B4,Data!$C:$C,Vitezistii!C$1))+SUMIFS(Data!$S:$S,Data!$A:$A,Vitezistii!$B4,Data!$C:$C,Vitezistii!C$1),0)</f>
        <v>3</v>
      </c>
      <c r="D4" s="37">
        <f>IFERROR(IF(SUMIFS(Data!$K:$K,Data!$A:$A,Vitezistii!$B4,Data!$C:$C,Vitezistii!D$1)=0," ",SUMIFS(Data!$K:$K,Data!$A:$A,Vitezistii!$B4,Data!$C:$C,Vitezistii!D$1))+SUMIFS(Data!$S:$S,Data!$A:$A,Vitezistii!$B4,Data!$C:$C,Vitezistii!D$1),0)</f>
        <v>3.5</v>
      </c>
      <c r="E4" s="37">
        <f>IFERROR(IF(SUMIFS(Data!$K:$K,Data!$A:$A,Vitezistii!$B4,Data!$C:$C,Vitezistii!E$1)=0," ",SUMIFS(Data!$K:$K,Data!$A:$A,Vitezistii!$B4,Data!$C:$C,Vitezistii!E$1))+SUMIFS(Data!$S:$S,Data!$A:$A,Vitezistii!$B4,Data!$C:$C,Vitezistii!E$1),0)</f>
        <v>0</v>
      </c>
      <c r="F4" s="37">
        <f>IFERROR(IF(SUMIFS(Data!$K:$K,Data!$A:$A,Vitezistii!$B4,Data!$C:$C,Vitezistii!F$1)=0," ",SUMIFS(Data!$K:$K,Data!$A:$A,Vitezistii!$B4,Data!$C:$C,Vitezistii!F$1))+SUMIFS(Data!$S:$S,Data!$A:$A,Vitezistii!$B4,Data!$C:$C,Vitezistii!F$1),0)</f>
        <v>4</v>
      </c>
      <c r="G4" s="37">
        <f>IFERROR(IF(SUMIFS(Data!$K:$K,Data!$A:$A,Vitezistii!$B4,Data!$C:$C,Vitezistii!G$1)=0," ",SUMIFS(Data!$K:$K,Data!$A:$A,Vitezistii!$B4,Data!$C:$C,Vitezistii!G$1))+SUMIFS(Data!$S:$S,Data!$A:$A,Vitezistii!$B4,Data!$C:$C,Vitezistii!G$1),0)</f>
        <v>2</v>
      </c>
      <c r="H4" s="37">
        <f>IFERROR(IF(SUMIFS(Data!$K:$K,Data!$A:$A,Vitezistii!$B4,Data!$C:$C,Vitezistii!H$1)=0," ",SUMIFS(Data!$K:$K,Data!$A:$A,Vitezistii!$B4,Data!$C:$C,Vitezistii!H$1))+SUMIFS(Data!$S:$S,Data!$A:$A,Vitezistii!$B4,Data!$C:$C,Vitezistii!H$1),0)</f>
        <v>3</v>
      </c>
      <c r="I4" s="37">
        <f>IFERROR(IF(SUMIFS(Data!$K:$K,Data!$A:$A,Vitezistii!$B4,Data!$C:$C,Vitezistii!I$1)=0," ",SUMIFS(Data!$K:$K,Data!$A:$A,Vitezistii!$B4,Data!$C:$C,Vitezistii!I$1))+SUMIFS(Data!$S:$S,Data!$A:$A,Vitezistii!$B4,Data!$C:$C,Vitezistii!I$1),0)</f>
        <v>4.5</v>
      </c>
      <c r="J4" s="37">
        <f>IFERROR(IF(SUMIFS(Data!$K:$K,Data!$A:$A,Vitezistii!$B4,Data!$C:$C,Vitezistii!J$1)=0," ",SUMIFS(Data!$K:$K,Data!$A:$A,Vitezistii!$B4,Data!$C:$C,Vitezistii!J$1))+SUMIFS(Data!$S:$S,Data!$A:$A,Vitezistii!$B4,Data!$C:$C,Vitezistii!J$1),0)</f>
        <v>3.5</v>
      </c>
      <c r="K4" s="37">
        <f>IFERROR(IF(SUMIFS(Data!$K:$K,Data!$A:$A,Vitezistii!$B4,Data!$C:$C,Vitezistii!K$1)=0," ",SUMIFS(Data!$K:$K,Data!$A:$A,Vitezistii!$B4,Data!$C:$C,Vitezistii!K$1))+SUMIFS(Data!$S:$S,Data!$A:$A,Vitezistii!$B4,Data!$C:$C,Vitezistii!K$1),0)</f>
        <v>4</v>
      </c>
      <c r="L4" s="37">
        <f>IFERROR(IF(SUMIFS(Data!$K:$K,Data!$A:$A,Vitezistii!$B4,Data!$C:$C,Vitezistii!L$1)=0," ",SUMIFS(Data!$K:$K,Data!$A:$A,Vitezistii!$B4,Data!$C:$C,Vitezistii!L$1))+SUMIFS(Data!$S:$S,Data!$A:$A,Vitezistii!$B4,Data!$C:$C,Vitezistii!L$1),0)</f>
        <v>3.5</v>
      </c>
      <c r="M4" s="37">
        <f>IFERROR(IF(SUMIFS(Data!$K:$K,Data!$A:$A,Vitezistii!$B4,Data!$C:$C,Vitezistii!M$1)=0," ",SUMIFS(Data!$K:$K,Data!$A:$A,Vitezistii!$B4,Data!$C:$C,Vitezistii!M$1))+SUMIFS(Data!$S:$S,Data!$A:$A,Vitezistii!$B4,Data!$C:$C,Vitezistii!M$1),0)</f>
        <v>4.5</v>
      </c>
      <c r="N4" s="37">
        <f>IFERROR(IF(SUMIFS(Data!$K:$K,Data!$A:$A,Vitezistii!$B4,Data!$C:$C,Vitezistii!N$1)=0," ",SUMIFS(Data!$K:$K,Data!$A:$A,Vitezistii!$B4,Data!$C:$C,Vitezistii!N$1))+SUMIFS(Data!$S:$S,Data!$A:$A,Vitezistii!$B4,Data!$C:$C,Vitezistii!N$1),0)</f>
        <v>1.5</v>
      </c>
      <c r="O4" s="37">
        <f>IFERROR(IF(SUMIFS(Data!$K:$K,Data!$A:$A,Vitezistii!$B4,Data!$C:$C,Vitezistii!O$1)=0," ",SUMIFS(Data!$K:$K,Data!$A:$A,Vitezistii!$B4,Data!$C:$C,Vitezistii!O$1))+SUMIFS(Data!$S:$S,Data!$A:$A,Vitezistii!$B4,Data!$C:$C,Vitezistii!O$1),0)</f>
        <v>2</v>
      </c>
      <c r="P4" s="37">
        <f>IFERROR(IF(SUMIFS(Data!$K:$K,Data!$A:$A,Vitezistii!$B4,Data!$C:$C,Vitezistii!P$1)=0," ",SUMIFS(Data!$K:$K,Data!$A:$A,Vitezistii!$B4,Data!$C:$C,Vitezistii!P$1))+SUMIFS(Data!$S:$S,Data!$A:$A,Vitezistii!$B4,Data!$C:$C,Vitezistii!P$1),0)</f>
        <v>1</v>
      </c>
      <c r="Q4" s="37">
        <f>IFERROR(IF(SUMIFS(Data!$K:$K,Data!$A:$A,Vitezistii!$B4,Data!$C:$C,Vitezistii!Q$1)=0," ",SUMIFS(Data!$K:$K,Data!$A:$A,Vitezistii!$B4,Data!$C:$C,Vitezistii!Q$1))+SUMIFS(Data!$S:$S,Data!$A:$A,Vitezistii!$B4,Data!$C:$C,Vitezistii!Q$1),0)</f>
        <v>3.5</v>
      </c>
      <c r="R4" s="37">
        <f t="shared" si="0"/>
        <v>43.5</v>
      </c>
      <c r="S4" s="37">
        <f>SUMIFS(Data!D:D,Data!A:A,Vitezistii!B4)</f>
        <v>196.5</v>
      </c>
      <c r="T4" s="13">
        <f>SUMIFS(Data!I:I,Data!A:A,Vitezistii!B4)/COUNTIF(Data!A:A,Vitezistii!B4)</f>
        <v>3.7678448735734916E-3</v>
      </c>
    </row>
    <row r="5" spans="1:20" ht="13.8" x14ac:dyDescent="0.3">
      <c r="A5" s="103">
        <v>4</v>
      </c>
      <c r="B5" s="36" t="s">
        <v>217</v>
      </c>
      <c r="C5" s="37">
        <f>IFERROR(IF(SUMIFS(Data!$K:$K,Data!$A:$A,Vitezistii!$B5,Data!$C:$C,Vitezistii!C$1)=0," ",SUMIFS(Data!$K:$K,Data!$A:$A,Vitezistii!$B5,Data!$C:$C,Vitezistii!C$1))+SUMIFS(Data!$S:$S,Data!$A:$A,Vitezistii!$B5,Data!$C:$C,Vitezistii!C$1),0)</f>
        <v>0</v>
      </c>
      <c r="D5" s="37">
        <f>IFERROR(IF(SUMIFS(Data!$K:$K,Data!$A:$A,Vitezistii!$B5,Data!$C:$C,Vitezistii!D$1)=0," ",SUMIFS(Data!$K:$K,Data!$A:$A,Vitezistii!$B5,Data!$C:$C,Vitezistii!D$1))+SUMIFS(Data!$S:$S,Data!$A:$A,Vitezistii!$B5,Data!$C:$C,Vitezistii!D$1),0)</f>
        <v>4</v>
      </c>
      <c r="E5" s="37">
        <f>IFERROR(IF(SUMIFS(Data!$K:$K,Data!$A:$A,Vitezistii!$B5,Data!$C:$C,Vitezistii!E$1)=0," ",SUMIFS(Data!$K:$K,Data!$A:$A,Vitezistii!$B5,Data!$C:$C,Vitezistii!E$1))+SUMIFS(Data!$S:$S,Data!$A:$A,Vitezistii!$B5,Data!$C:$C,Vitezistii!E$1),0)</f>
        <v>3.5</v>
      </c>
      <c r="F5" s="37">
        <f>IFERROR(IF(SUMIFS(Data!$K:$K,Data!$A:$A,Vitezistii!$B5,Data!$C:$C,Vitezistii!F$1)=0," ",SUMIFS(Data!$K:$K,Data!$A:$A,Vitezistii!$B5,Data!$C:$C,Vitezistii!F$1))+SUMIFS(Data!$S:$S,Data!$A:$A,Vitezistii!$B5,Data!$C:$C,Vitezistii!F$1),0)</f>
        <v>4.5</v>
      </c>
      <c r="G5" s="37">
        <f>IFERROR(IF(SUMIFS(Data!$K:$K,Data!$A:$A,Vitezistii!$B5,Data!$C:$C,Vitezistii!G$1)=0," ",SUMIFS(Data!$K:$K,Data!$A:$A,Vitezistii!$B5,Data!$C:$C,Vitezistii!G$1))+SUMIFS(Data!$S:$S,Data!$A:$A,Vitezistii!$B5,Data!$C:$C,Vitezistii!G$1),0)</f>
        <v>3</v>
      </c>
      <c r="H5" s="37">
        <f>IFERROR(IF(SUMIFS(Data!$K:$K,Data!$A:$A,Vitezistii!$B5,Data!$C:$C,Vitezistii!H$1)=0," ",SUMIFS(Data!$K:$K,Data!$A:$A,Vitezistii!$B5,Data!$C:$C,Vitezistii!H$1))+SUMIFS(Data!$S:$S,Data!$A:$A,Vitezistii!$B5,Data!$C:$C,Vitezistii!H$1),0)</f>
        <v>3</v>
      </c>
      <c r="I5" s="37">
        <f>IFERROR(IF(SUMIFS(Data!$K:$K,Data!$A:$A,Vitezistii!$B5,Data!$C:$C,Vitezistii!I$1)=0," ",SUMIFS(Data!$K:$K,Data!$A:$A,Vitezistii!$B5,Data!$C:$C,Vitezistii!I$1))+SUMIFS(Data!$S:$S,Data!$A:$A,Vitezistii!$B5,Data!$C:$C,Vitezistii!I$1),0)</f>
        <v>4.5</v>
      </c>
      <c r="J5" s="37">
        <f>IFERROR(IF(SUMIFS(Data!$K:$K,Data!$A:$A,Vitezistii!$B5,Data!$C:$C,Vitezistii!J$1)=0," ",SUMIFS(Data!$K:$K,Data!$A:$A,Vitezistii!$B5,Data!$C:$C,Vitezistii!J$1))+SUMIFS(Data!$S:$S,Data!$A:$A,Vitezistii!$B5,Data!$C:$C,Vitezistii!J$1),0)</f>
        <v>2.5</v>
      </c>
      <c r="K5" s="37">
        <f>IFERROR(IF(SUMIFS(Data!$K:$K,Data!$A:$A,Vitezistii!$B5,Data!$C:$C,Vitezistii!K$1)=0," ",SUMIFS(Data!$K:$K,Data!$A:$A,Vitezistii!$B5,Data!$C:$C,Vitezistii!K$1))+SUMIFS(Data!$S:$S,Data!$A:$A,Vitezistii!$B5,Data!$C:$C,Vitezistii!K$1),0)</f>
        <v>4</v>
      </c>
      <c r="L5" s="37">
        <f>IFERROR(IF(SUMIFS(Data!$K:$K,Data!$A:$A,Vitezistii!$B5,Data!$C:$C,Vitezistii!L$1)=0," ",SUMIFS(Data!$K:$K,Data!$A:$A,Vitezistii!$B5,Data!$C:$C,Vitezistii!L$1))+SUMIFS(Data!$S:$S,Data!$A:$A,Vitezistii!$B5,Data!$C:$C,Vitezistii!L$1),0)</f>
        <v>2.5</v>
      </c>
      <c r="M5" s="37">
        <f>IFERROR(IF(SUMIFS(Data!$K:$K,Data!$A:$A,Vitezistii!$B5,Data!$C:$C,Vitezistii!M$1)=0," ",SUMIFS(Data!$K:$K,Data!$A:$A,Vitezistii!$B5,Data!$C:$C,Vitezistii!M$1))+SUMIFS(Data!$S:$S,Data!$A:$A,Vitezistii!$B5,Data!$C:$C,Vitezistii!M$1),0)</f>
        <v>1.5</v>
      </c>
      <c r="N5" s="37">
        <f>IFERROR(IF(SUMIFS(Data!$K:$K,Data!$A:$A,Vitezistii!$B5,Data!$C:$C,Vitezistii!N$1)=0," ",SUMIFS(Data!$K:$K,Data!$A:$A,Vitezistii!$B5,Data!$C:$C,Vitezistii!N$1))+SUMIFS(Data!$S:$S,Data!$A:$A,Vitezistii!$B5,Data!$C:$C,Vitezistii!N$1),0)</f>
        <v>1.5</v>
      </c>
      <c r="O5" s="37">
        <f>IFERROR(IF(SUMIFS(Data!$K:$K,Data!$A:$A,Vitezistii!$B5,Data!$C:$C,Vitezistii!O$1)=0," ",SUMIFS(Data!$K:$K,Data!$A:$A,Vitezistii!$B5,Data!$C:$C,Vitezistii!O$1))+SUMIFS(Data!$S:$S,Data!$A:$A,Vitezistii!$B5,Data!$C:$C,Vitezistii!O$1),0)</f>
        <v>3</v>
      </c>
      <c r="P5" s="37">
        <f>IFERROR(IF(SUMIFS(Data!$K:$K,Data!$A:$A,Vitezistii!$B5,Data!$C:$C,Vitezistii!P$1)=0," ",SUMIFS(Data!$K:$K,Data!$A:$A,Vitezistii!$B5,Data!$C:$C,Vitezistii!P$1))+SUMIFS(Data!$S:$S,Data!$A:$A,Vitezistii!$B5,Data!$C:$C,Vitezistii!P$1),0)</f>
        <v>3</v>
      </c>
      <c r="Q5" s="37">
        <f>IFERROR(IF(SUMIFS(Data!$K:$K,Data!$A:$A,Vitezistii!$B5,Data!$C:$C,Vitezistii!Q$1)=0," ",SUMIFS(Data!$K:$K,Data!$A:$A,Vitezistii!$B5,Data!$C:$C,Vitezistii!Q$1))+SUMIFS(Data!$S:$S,Data!$A:$A,Vitezistii!$B5,Data!$C:$C,Vitezistii!Q$1),0)</f>
        <v>2.5</v>
      </c>
      <c r="R5" s="37">
        <f t="shared" si="0"/>
        <v>43</v>
      </c>
      <c r="S5" s="37">
        <f>SUMIFS(Data!D:D,Data!A:A,Vitezistii!B5)</f>
        <v>135.02000000000001</v>
      </c>
      <c r="T5" s="13">
        <f>SUMIFS(Data!I:I,Data!A:A,Vitezistii!B5)/COUNTIF(Data!A:A,Vitezistii!B5)</f>
        <v>3.3542073189366723E-3</v>
      </c>
    </row>
    <row r="6" spans="1:20" ht="13.8" x14ac:dyDescent="0.3">
      <c r="A6" s="103">
        <v>5</v>
      </c>
      <c r="B6" s="36" t="s">
        <v>117</v>
      </c>
      <c r="C6" s="37">
        <f>IFERROR(IF(SUMIFS(Data!$K:$K,Data!$A:$A,Vitezistii!$B6,Data!$C:$C,Vitezistii!C$1)=0," ",SUMIFS(Data!$K:$K,Data!$A:$A,Vitezistii!$B6,Data!$C:$C,Vitezistii!C$1))+SUMIFS(Data!$S:$S,Data!$A:$A,Vitezistii!$B6,Data!$C:$C,Vitezistii!C$1),0)</f>
        <v>3</v>
      </c>
      <c r="D6" s="37">
        <f>IFERROR(IF(SUMIFS(Data!$K:$K,Data!$A:$A,Vitezistii!$B6,Data!$C:$C,Vitezistii!D$1)=0," ",SUMIFS(Data!$K:$K,Data!$A:$A,Vitezistii!$B6,Data!$C:$C,Vitezistii!D$1))+SUMIFS(Data!$S:$S,Data!$A:$A,Vitezistii!$B6,Data!$C:$C,Vitezistii!D$1),0)</f>
        <v>1.5</v>
      </c>
      <c r="E6" s="37">
        <f>IFERROR(IF(SUMIFS(Data!$K:$K,Data!$A:$A,Vitezistii!$B6,Data!$C:$C,Vitezistii!E$1)=0," ",SUMIFS(Data!$K:$K,Data!$A:$A,Vitezistii!$B6,Data!$C:$C,Vitezistii!E$1))+SUMIFS(Data!$S:$S,Data!$A:$A,Vitezistii!$B6,Data!$C:$C,Vitezistii!E$1),0)</f>
        <v>3.5</v>
      </c>
      <c r="F6" s="37">
        <f>IFERROR(IF(SUMIFS(Data!$K:$K,Data!$A:$A,Vitezistii!$B6,Data!$C:$C,Vitezistii!F$1)=0," ",SUMIFS(Data!$K:$K,Data!$A:$A,Vitezistii!$B6,Data!$C:$C,Vitezistii!F$1))+SUMIFS(Data!$S:$S,Data!$A:$A,Vitezistii!$B6,Data!$C:$C,Vitezistii!F$1),0)</f>
        <v>5.45</v>
      </c>
      <c r="G6" s="37">
        <f>IFERROR(IF(SUMIFS(Data!$K:$K,Data!$A:$A,Vitezistii!$B6,Data!$C:$C,Vitezistii!G$1)=0," ",SUMIFS(Data!$K:$K,Data!$A:$A,Vitezistii!$B6,Data!$C:$C,Vitezistii!G$1))+SUMIFS(Data!$S:$S,Data!$A:$A,Vitezistii!$B6,Data!$C:$C,Vitezistii!G$1),0)</f>
        <v>3</v>
      </c>
      <c r="H6" s="37">
        <f>IFERROR(IF(SUMIFS(Data!$K:$K,Data!$A:$A,Vitezistii!$B6,Data!$C:$C,Vitezistii!H$1)=0," ",SUMIFS(Data!$K:$K,Data!$A:$A,Vitezistii!$B6,Data!$C:$C,Vitezistii!H$1))+SUMIFS(Data!$S:$S,Data!$A:$A,Vitezistii!$B6,Data!$C:$C,Vitezistii!H$1),0)</f>
        <v>1.5</v>
      </c>
      <c r="I6" s="37">
        <f>IFERROR(IF(SUMIFS(Data!$K:$K,Data!$A:$A,Vitezistii!$B6,Data!$C:$C,Vitezistii!I$1)=0," ",SUMIFS(Data!$K:$K,Data!$A:$A,Vitezistii!$B6,Data!$C:$C,Vitezistii!I$1))+SUMIFS(Data!$S:$S,Data!$A:$A,Vitezistii!$B6,Data!$C:$C,Vitezistii!I$1),0)</f>
        <v>1</v>
      </c>
      <c r="J6" s="37">
        <f>IFERROR(IF(SUMIFS(Data!$K:$K,Data!$A:$A,Vitezistii!$B6,Data!$C:$C,Vitezistii!J$1)=0," ",SUMIFS(Data!$K:$K,Data!$A:$A,Vitezistii!$B6,Data!$C:$C,Vitezistii!J$1))+SUMIFS(Data!$S:$S,Data!$A:$A,Vitezistii!$B6,Data!$C:$C,Vitezistii!J$1),0)</f>
        <v>1</v>
      </c>
      <c r="K6" s="37">
        <f>IFERROR(IF(SUMIFS(Data!$K:$K,Data!$A:$A,Vitezistii!$B6,Data!$C:$C,Vitezistii!K$1)=0," ",SUMIFS(Data!$K:$K,Data!$A:$A,Vitezistii!$B6,Data!$C:$C,Vitezistii!K$1))+SUMIFS(Data!$S:$S,Data!$A:$A,Vitezistii!$B6,Data!$C:$C,Vitezistii!K$1),0)</f>
        <v>1</v>
      </c>
      <c r="L6" s="37">
        <f>IFERROR(IF(SUMIFS(Data!$K:$K,Data!$A:$A,Vitezistii!$B6,Data!$C:$C,Vitezistii!L$1)=0," ",SUMIFS(Data!$K:$K,Data!$A:$A,Vitezistii!$B6,Data!$C:$C,Vitezistii!L$1))+SUMIFS(Data!$S:$S,Data!$A:$A,Vitezistii!$B6,Data!$C:$C,Vitezistii!L$1),0)</f>
        <v>4</v>
      </c>
      <c r="M6" s="37">
        <f>IFERROR(IF(SUMIFS(Data!$K:$K,Data!$A:$A,Vitezistii!$B6,Data!$C:$C,Vitezistii!M$1)=0," ",SUMIFS(Data!$K:$K,Data!$A:$A,Vitezistii!$B6,Data!$C:$C,Vitezistii!M$1))+SUMIFS(Data!$S:$S,Data!$A:$A,Vitezistii!$B6,Data!$C:$C,Vitezistii!M$1),0)</f>
        <v>4.5</v>
      </c>
      <c r="N6" s="37">
        <f>IFERROR(IF(SUMIFS(Data!$K:$K,Data!$A:$A,Vitezistii!$B6,Data!$C:$C,Vitezistii!N$1)=0," ",SUMIFS(Data!$K:$K,Data!$A:$A,Vitezistii!$B6,Data!$C:$C,Vitezistii!N$1))+SUMIFS(Data!$S:$S,Data!$A:$A,Vitezistii!$B6,Data!$C:$C,Vitezistii!N$1),0)</f>
        <v>1.5</v>
      </c>
      <c r="O6" s="37">
        <f>IFERROR(IF(SUMIFS(Data!$K:$K,Data!$A:$A,Vitezistii!$B6,Data!$C:$C,Vitezistii!O$1)=0," ",SUMIFS(Data!$K:$K,Data!$A:$A,Vitezistii!$B6,Data!$C:$C,Vitezistii!O$1))+SUMIFS(Data!$S:$S,Data!$A:$A,Vitezistii!$B6,Data!$C:$C,Vitezistii!O$1),0)</f>
        <v>0</v>
      </c>
      <c r="P6" s="37">
        <f>IFERROR(IF(SUMIFS(Data!$K:$K,Data!$A:$A,Vitezistii!$B6,Data!$C:$C,Vitezistii!P$1)=0," ",SUMIFS(Data!$K:$K,Data!$A:$A,Vitezistii!$B6,Data!$C:$C,Vitezistii!P$1))+SUMIFS(Data!$S:$S,Data!$A:$A,Vitezistii!$B6,Data!$C:$C,Vitezistii!P$1),0)</f>
        <v>0</v>
      </c>
      <c r="Q6" s="37">
        <f>IFERROR(IF(SUMIFS(Data!$K:$K,Data!$A:$A,Vitezistii!$B6,Data!$C:$C,Vitezistii!Q$1)=0," ",SUMIFS(Data!$K:$K,Data!$A:$A,Vitezistii!$B6,Data!$C:$C,Vitezistii!Q$1))+SUMIFS(Data!$S:$S,Data!$A:$A,Vitezistii!$B6,Data!$C:$C,Vitezistii!Q$1),0)</f>
        <v>4.5</v>
      </c>
      <c r="R6" s="37">
        <f t="shared" si="0"/>
        <v>35.450000000000003</v>
      </c>
      <c r="S6" s="37">
        <f>SUMIFS(Data!D:D,Data!A:A,Vitezistii!B6)</f>
        <v>428.02000000000004</v>
      </c>
      <c r="T6" s="13">
        <f>SUMIFS(Data!I:I,Data!A:A,Vitezistii!B6)/COUNTIF(Data!A:A,Vitezistii!B6)</f>
        <v>3.9020736541673859E-3</v>
      </c>
    </row>
    <row r="7" spans="1:20" ht="13.8" x14ac:dyDescent="0.3">
      <c r="A7" s="103">
        <v>6</v>
      </c>
      <c r="B7" s="36" t="s">
        <v>60</v>
      </c>
      <c r="C7" s="37">
        <f>IFERROR(IF(SUMIFS(Data!$K:$K,Data!$A:$A,Vitezistii!$B7,Data!$C:$C,Vitezistii!C$1)=0," ",SUMIFS(Data!$K:$K,Data!$A:$A,Vitezistii!$B7,Data!$C:$C,Vitezistii!C$1))+SUMIFS(Data!$S:$S,Data!$A:$A,Vitezistii!$B7,Data!$C:$C,Vitezistii!C$1),0)</f>
        <v>2.5</v>
      </c>
      <c r="D7" s="37">
        <f>IFERROR(IF(SUMIFS(Data!$K:$K,Data!$A:$A,Vitezistii!$B7,Data!$C:$C,Vitezistii!D$1)=0," ",SUMIFS(Data!$K:$K,Data!$A:$A,Vitezistii!$B7,Data!$C:$C,Vitezistii!D$1))+SUMIFS(Data!$S:$S,Data!$A:$A,Vitezistii!$B7,Data!$C:$C,Vitezistii!D$1),0)</f>
        <v>1</v>
      </c>
      <c r="E7" s="37">
        <f>IFERROR(IF(SUMIFS(Data!$K:$K,Data!$A:$A,Vitezistii!$B7,Data!$C:$C,Vitezistii!E$1)=0," ",SUMIFS(Data!$K:$K,Data!$A:$A,Vitezistii!$B7,Data!$C:$C,Vitezistii!E$1))+SUMIFS(Data!$S:$S,Data!$A:$A,Vitezistii!$B7,Data!$C:$C,Vitezistii!E$1),0)</f>
        <v>2.5</v>
      </c>
      <c r="F7" s="37">
        <f>IFERROR(IF(SUMIFS(Data!$K:$K,Data!$A:$A,Vitezistii!$B7,Data!$C:$C,Vitezistii!F$1)=0," ",SUMIFS(Data!$K:$K,Data!$A:$A,Vitezistii!$B7,Data!$C:$C,Vitezistii!F$1))+SUMIFS(Data!$S:$S,Data!$A:$A,Vitezistii!$B7,Data!$C:$C,Vitezistii!F$1),0)</f>
        <v>3.5</v>
      </c>
      <c r="G7" s="37">
        <f>IFERROR(IF(SUMIFS(Data!$K:$K,Data!$A:$A,Vitezistii!$B7,Data!$C:$C,Vitezistii!G$1)=0," ",SUMIFS(Data!$K:$K,Data!$A:$A,Vitezistii!$B7,Data!$C:$C,Vitezistii!G$1))+SUMIFS(Data!$S:$S,Data!$A:$A,Vitezistii!$B7,Data!$C:$C,Vitezistii!G$1),0)</f>
        <v>4</v>
      </c>
      <c r="H7" s="37">
        <f>IFERROR(IF(SUMIFS(Data!$K:$K,Data!$A:$A,Vitezistii!$B7,Data!$C:$C,Vitezistii!H$1)=0," ",SUMIFS(Data!$K:$K,Data!$A:$A,Vitezistii!$B7,Data!$C:$C,Vitezistii!H$1))+SUMIFS(Data!$S:$S,Data!$A:$A,Vitezistii!$B7,Data!$C:$C,Vitezistii!H$1),0)</f>
        <v>4</v>
      </c>
      <c r="I7" s="37">
        <f>IFERROR(IF(SUMIFS(Data!$K:$K,Data!$A:$A,Vitezistii!$B7,Data!$C:$C,Vitezistii!I$1)=0," ",SUMIFS(Data!$K:$K,Data!$A:$A,Vitezistii!$B7,Data!$C:$C,Vitezistii!I$1))+SUMIFS(Data!$S:$S,Data!$A:$A,Vitezistii!$B7,Data!$C:$C,Vitezistii!I$1),0)</f>
        <v>0</v>
      </c>
      <c r="J7" s="37">
        <f>IFERROR(IF(SUMIFS(Data!$K:$K,Data!$A:$A,Vitezistii!$B7,Data!$C:$C,Vitezistii!J$1)=0," ",SUMIFS(Data!$K:$K,Data!$A:$A,Vitezistii!$B7,Data!$C:$C,Vitezistii!J$1))+SUMIFS(Data!$S:$S,Data!$A:$A,Vitezistii!$B7,Data!$C:$C,Vitezistii!J$1),0)</f>
        <v>0</v>
      </c>
      <c r="K7" s="37">
        <f>IFERROR(IF(SUMIFS(Data!$K:$K,Data!$A:$A,Vitezistii!$B7,Data!$C:$C,Vitezistii!K$1)=0," ",SUMIFS(Data!$K:$K,Data!$A:$A,Vitezistii!$B7,Data!$C:$C,Vitezistii!K$1))+SUMIFS(Data!$S:$S,Data!$A:$A,Vitezistii!$B7,Data!$C:$C,Vitezistii!K$1),0)</f>
        <v>0</v>
      </c>
      <c r="L7" s="37">
        <f>IFERROR(IF(SUMIFS(Data!$K:$K,Data!$A:$A,Vitezistii!$B7,Data!$C:$C,Vitezistii!L$1)=0," ",SUMIFS(Data!$K:$K,Data!$A:$A,Vitezistii!$B7,Data!$C:$C,Vitezistii!L$1))+SUMIFS(Data!$S:$S,Data!$A:$A,Vitezistii!$B7,Data!$C:$C,Vitezistii!L$1),0)</f>
        <v>3</v>
      </c>
      <c r="M7" s="37">
        <f>IFERROR(IF(SUMIFS(Data!$K:$K,Data!$A:$A,Vitezistii!$B7,Data!$C:$C,Vitezistii!M$1)=0," ",SUMIFS(Data!$K:$K,Data!$A:$A,Vitezistii!$B7,Data!$C:$C,Vitezistii!M$1))+SUMIFS(Data!$S:$S,Data!$A:$A,Vitezistii!$B7,Data!$C:$C,Vitezistii!M$1),0)</f>
        <v>2.5</v>
      </c>
      <c r="N7" s="37">
        <f>IFERROR(IF(SUMIFS(Data!$K:$K,Data!$A:$A,Vitezistii!$B7,Data!$C:$C,Vitezistii!N$1)=0," ",SUMIFS(Data!$K:$K,Data!$A:$A,Vitezistii!$B7,Data!$C:$C,Vitezistii!N$1))+SUMIFS(Data!$S:$S,Data!$A:$A,Vitezistii!$B7,Data!$C:$C,Vitezistii!N$1),0)</f>
        <v>3</v>
      </c>
      <c r="O7" s="37">
        <f>IFERROR(IF(SUMIFS(Data!$K:$K,Data!$A:$A,Vitezistii!$B7,Data!$C:$C,Vitezistii!O$1)=0," ",SUMIFS(Data!$K:$K,Data!$A:$A,Vitezistii!$B7,Data!$C:$C,Vitezistii!O$1))+SUMIFS(Data!$S:$S,Data!$A:$A,Vitezistii!$B7,Data!$C:$C,Vitezistii!O$1),0)</f>
        <v>3.5</v>
      </c>
      <c r="P7" s="37">
        <f>IFERROR(IF(SUMIFS(Data!$K:$K,Data!$A:$A,Vitezistii!$B7,Data!$C:$C,Vitezistii!P$1)=0," ",SUMIFS(Data!$K:$K,Data!$A:$A,Vitezistii!$B7,Data!$C:$C,Vitezistii!P$1))+SUMIFS(Data!$S:$S,Data!$A:$A,Vitezistii!$B7,Data!$C:$C,Vitezistii!P$1),0)</f>
        <v>0</v>
      </c>
      <c r="Q7" s="37">
        <f>IFERROR(IF(SUMIFS(Data!$K:$K,Data!$A:$A,Vitezistii!$B7,Data!$C:$C,Vitezistii!Q$1)=0," ",SUMIFS(Data!$K:$K,Data!$A:$A,Vitezistii!$B7,Data!$C:$C,Vitezistii!Q$1))+SUMIFS(Data!$S:$S,Data!$A:$A,Vitezistii!$B7,Data!$C:$C,Vitezistii!Q$1),0)</f>
        <v>4.5</v>
      </c>
      <c r="R7" s="37">
        <f t="shared" si="0"/>
        <v>34</v>
      </c>
      <c r="S7" s="37">
        <f>SUMIFS(Data!D:D,Data!A:A,Vitezistii!B7)</f>
        <v>109.07</v>
      </c>
      <c r="T7" s="13">
        <f>SUMIFS(Data!I:I,Data!A:A,Vitezistii!B7)/COUNTIF(Data!A:A,Vitezistii!B7)</f>
        <v>3.3711248683202964E-3</v>
      </c>
    </row>
    <row r="8" spans="1:20" ht="13.8" x14ac:dyDescent="0.3">
      <c r="A8" s="103">
        <v>7</v>
      </c>
      <c r="B8" s="36" t="s">
        <v>102</v>
      </c>
      <c r="C8" s="37">
        <f>IFERROR(IF(SUMIFS(Data!$K:$K,Data!$A:$A,Vitezistii!$B8,Data!$C:$C,Vitezistii!C$1)=0," ",SUMIFS(Data!$K:$K,Data!$A:$A,Vitezistii!$B8,Data!$C:$C,Vitezistii!C$1))+SUMIFS(Data!$S:$S,Data!$A:$A,Vitezistii!$B8,Data!$C:$C,Vitezistii!C$1),0)</f>
        <v>2.5</v>
      </c>
      <c r="D8" s="37">
        <f>IFERROR(IF(SUMIFS(Data!$K:$K,Data!$A:$A,Vitezistii!$B8,Data!$C:$C,Vitezistii!D$1)=0," ",SUMIFS(Data!$K:$K,Data!$A:$A,Vitezistii!$B8,Data!$C:$C,Vitezistii!D$1))+SUMIFS(Data!$S:$S,Data!$A:$A,Vitezistii!$B8,Data!$C:$C,Vitezistii!D$1),0)</f>
        <v>1.5</v>
      </c>
      <c r="E8" s="37">
        <f>IFERROR(IF(SUMIFS(Data!$K:$K,Data!$A:$A,Vitezistii!$B8,Data!$C:$C,Vitezistii!E$1)=0," ",SUMIFS(Data!$K:$K,Data!$A:$A,Vitezistii!$B8,Data!$C:$C,Vitezistii!E$1))+SUMIFS(Data!$S:$S,Data!$A:$A,Vitezistii!$B8,Data!$C:$C,Vitezistii!E$1),0)</f>
        <v>2</v>
      </c>
      <c r="F8" s="37">
        <f>IFERROR(IF(SUMIFS(Data!$K:$K,Data!$A:$A,Vitezistii!$B8,Data!$C:$C,Vitezistii!F$1)=0," ",SUMIFS(Data!$K:$K,Data!$A:$A,Vitezistii!$B8,Data!$C:$C,Vitezistii!F$1))+SUMIFS(Data!$S:$S,Data!$A:$A,Vitezistii!$B8,Data!$C:$C,Vitezistii!F$1),0)</f>
        <v>1.5</v>
      </c>
      <c r="G8" s="37">
        <f>IFERROR(IF(SUMIFS(Data!$K:$K,Data!$A:$A,Vitezistii!$B8,Data!$C:$C,Vitezistii!G$1)=0," ",SUMIFS(Data!$K:$K,Data!$A:$A,Vitezistii!$B8,Data!$C:$C,Vitezistii!G$1))+SUMIFS(Data!$S:$S,Data!$A:$A,Vitezistii!$B8,Data!$C:$C,Vitezistii!G$1),0)</f>
        <v>1</v>
      </c>
      <c r="H8" s="37">
        <f>IFERROR(IF(SUMIFS(Data!$K:$K,Data!$A:$A,Vitezistii!$B8,Data!$C:$C,Vitezistii!H$1)=0," ",SUMIFS(Data!$K:$K,Data!$A:$A,Vitezistii!$B8,Data!$C:$C,Vitezistii!H$1))+SUMIFS(Data!$S:$S,Data!$A:$A,Vitezistii!$B8,Data!$C:$C,Vitezistii!H$1),0)</f>
        <v>4</v>
      </c>
      <c r="I8" s="37">
        <f>IFERROR(IF(SUMIFS(Data!$K:$K,Data!$A:$A,Vitezistii!$B8,Data!$C:$C,Vitezistii!I$1)=0," ",SUMIFS(Data!$K:$K,Data!$A:$A,Vitezistii!$B8,Data!$C:$C,Vitezistii!I$1))+SUMIFS(Data!$S:$S,Data!$A:$A,Vitezistii!$B8,Data!$C:$C,Vitezistii!I$1),0)</f>
        <v>2</v>
      </c>
      <c r="J8" s="37">
        <f>IFERROR(IF(SUMIFS(Data!$K:$K,Data!$A:$A,Vitezistii!$B8,Data!$C:$C,Vitezistii!J$1)=0," ",SUMIFS(Data!$K:$K,Data!$A:$A,Vitezistii!$B8,Data!$C:$C,Vitezistii!J$1))+SUMIFS(Data!$S:$S,Data!$A:$A,Vitezistii!$B8,Data!$C:$C,Vitezistii!J$1),0)</f>
        <v>1</v>
      </c>
      <c r="K8" s="37">
        <f>IFERROR(IF(SUMIFS(Data!$K:$K,Data!$A:$A,Vitezistii!$B8,Data!$C:$C,Vitezistii!K$1)=0," ",SUMIFS(Data!$K:$K,Data!$A:$A,Vitezistii!$B8,Data!$C:$C,Vitezistii!K$1))+SUMIFS(Data!$S:$S,Data!$A:$A,Vitezistii!$B8,Data!$C:$C,Vitezistii!K$1),0)</f>
        <v>3</v>
      </c>
      <c r="L8" s="37">
        <f>IFERROR(IF(SUMIFS(Data!$K:$K,Data!$A:$A,Vitezistii!$B8,Data!$C:$C,Vitezistii!L$1)=0," ",SUMIFS(Data!$K:$K,Data!$A:$A,Vitezistii!$B8,Data!$C:$C,Vitezistii!L$1))+SUMIFS(Data!$S:$S,Data!$A:$A,Vitezistii!$B8,Data!$C:$C,Vitezistii!L$1),0)</f>
        <v>2</v>
      </c>
      <c r="M8" s="37">
        <f>IFERROR(IF(SUMIFS(Data!$K:$K,Data!$A:$A,Vitezistii!$B8,Data!$C:$C,Vitezistii!M$1)=0," ",SUMIFS(Data!$K:$K,Data!$A:$A,Vitezistii!$B8,Data!$C:$C,Vitezistii!M$1))+SUMIFS(Data!$S:$S,Data!$A:$A,Vitezistii!$B8,Data!$C:$C,Vitezistii!M$1),0)</f>
        <v>2</v>
      </c>
      <c r="N8" s="37">
        <f>IFERROR(IF(SUMIFS(Data!$K:$K,Data!$A:$A,Vitezistii!$B8,Data!$C:$C,Vitezistii!N$1)=0," ",SUMIFS(Data!$K:$K,Data!$A:$A,Vitezistii!$B8,Data!$C:$C,Vitezistii!N$1))+SUMIFS(Data!$S:$S,Data!$A:$A,Vitezistii!$B8,Data!$C:$C,Vitezistii!N$1),0)</f>
        <v>3.5</v>
      </c>
      <c r="O8" s="37">
        <f>IFERROR(IF(SUMIFS(Data!$K:$K,Data!$A:$A,Vitezistii!$B8,Data!$C:$C,Vitezistii!O$1)=0," ",SUMIFS(Data!$K:$K,Data!$A:$A,Vitezistii!$B8,Data!$C:$C,Vitezistii!O$1))+SUMIFS(Data!$S:$S,Data!$A:$A,Vitezistii!$B8,Data!$C:$C,Vitezistii!O$1),0)</f>
        <v>1</v>
      </c>
      <c r="P8" s="37">
        <f>IFERROR(IF(SUMIFS(Data!$K:$K,Data!$A:$A,Vitezistii!$B8,Data!$C:$C,Vitezistii!P$1)=0," ",SUMIFS(Data!$K:$K,Data!$A:$A,Vitezistii!$B8,Data!$C:$C,Vitezistii!P$1))+SUMIFS(Data!$S:$S,Data!$A:$A,Vitezistii!$B8,Data!$C:$C,Vitezistii!P$1),0)</f>
        <v>3.5</v>
      </c>
      <c r="Q8" s="37">
        <f>IFERROR(IF(SUMIFS(Data!$K:$K,Data!$A:$A,Vitezistii!$B8,Data!$C:$C,Vitezistii!Q$1)=0," ",SUMIFS(Data!$K:$K,Data!$A:$A,Vitezistii!$B8,Data!$C:$C,Vitezistii!Q$1))+SUMIFS(Data!$S:$S,Data!$A:$A,Vitezistii!$B8,Data!$C:$C,Vitezistii!Q$1),0)</f>
        <v>1.5</v>
      </c>
      <c r="R8" s="37">
        <f t="shared" si="0"/>
        <v>32</v>
      </c>
      <c r="S8" s="37">
        <f>SUMIFS(Data!D:D,Data!A:A,Vitezistii!B8)</f>
        <v>122.14000000000003</v>
      </c>
      <c r="T8" s="13">
        <f>SUMIFS(Data!I:I,Data!A:A,Vitezistii!B8)/COUNTIF(Data!A:A,Vitezistii!B8)</f>
        <v>4.184515763309987E-3</v>
      </c>
    </row>
    <row r="9" spans="1:20" ht="13.8" x14ac:dyDescent="0.3">
      <c r="A9" s="103">
        <v>8</v>
      </c>
      <c r="B9" s="36" t="s">
        <v>215</v>
      </c>
      <c r="C9" s="37">
        <f>IFERROR(IF(SUMIFS(Data!$K:$K,Data!$A:$A,Vitezistii!$B9,Data!$C:$C,Vitezistii!C$1)=0," ",SUMIFS(Data!$K:$K,Data!$A:$A,Vitezistii!$B9,Data!$C:$C,Vitezistii!C$1))+SUMIFS(Data!$S:$S,Data!$A:$A,Vitezistii!$B9,Data!$C:$C,Vitezistii!C$1),0)</f>
        <v>3</v>
      </c>
      <c r="D9" s="37">
        <f>IFERROR(IF(SUMIFS(Data!$K:$K,Data!$A:$A,Vitezistii!$B9,Data!$C:$C,Vitezistii!D$1)=0," ",SUMIFS(Data!$K:$K,Data!$A:$A,Vitezistii!$B9,Data!$C:$C,Vitezistii!D$1))+SUMIFS(Data!$S:$S,Data!$A:$A,Vitezistii!$B9,Data!$C:$C,Vitezistii!D$1),0)</f>
        <v>1.5</v>
      </c>
      <c r="E9" s="37">
        <f>IFERROR(IF(SUMIFS(Data!$K:$K,Data!$A:$A,Vitezistii!$B9,Data!$C:$C,Vitezistii!E$1)=0," ",SUMIFS(Data!$K:$K,Data!$A:$A,Vitezistii!$B9,Data!$C:$C,Vitezistii!E$1))+SUMIFS(Data!$S:$S,Data!$A:$A,Vitezistii!$B9,Data!$C:$C,Vitezistii!E$1),0)</f>
        <v>1.5</v>
      </c>
      <c r="F9" s="37">
        <f>IFERROR(IF(SUMIFS(Data!$K:$K,Data!$A:$A,Vitezistii!$B9,Data!$C:$C,Vitezistii!F$1)=0," ",SUMIFS(Data!$K:$K,Data!$A:$A,Vitezistii!$B9,Data!$C:$C,Vitezistii!F$1))+SUMIFS(Data!$S:$S,Data!$A:$A,Vitezistii!$B9,Data!$C:$C,Vitezistii!F$1),0)</f>
        <v>2</v>
      </c>
      <c r="G9" s="37">
        <f>IFERROR(IF(SUMIFS(Data!$K:$K,Data!$A:$A,Vitezistii!$B9,Data!$C:$C,Vitezistii!G$1)=0," ",SUMIFS(Data!$K:$K,Data!$A:$A,Vitezistii!$B9,Data!$C:$C,Vitezistii!G$1))+SUMIFS(Data!$S:$S,Data!$A:$A,Vitezistii!$B9,Data!$C:$C,Vitezistii!G$1),0)</f>
        <v>2.5</v>
      </c>
      <c r="H9" s="37">
        <f>IFERROR(IF(SUMIFS(Data!$K:$K,Data!$A:$A,Vitezistii!$B9,Data!$C:$C,Vitezistii!H$1)=0," ",SUMIFS(Data!$K:$K,Data!$A:$A,Vitezistii!$B9,Data!$C:$C,Vitezistii!H$1))+SUMIFS(Data!$S:$S,Data!$A:$A,Vitezistii!$B9,Data!$C:$C,Vitezistii!H$1),0)</f>
        <v>0</v>
      </c>
      <c r="I9" s="37">
        <f>IFERROR(IF(SUMIFS(Data!$K:$K,Data!$A:$A,Vitezistii!$B9,Data!$C:$C,Vitezistii!I$1)=0," ",SUMIFS(Data!$K:$K,Data!$A:$A,Vitezistii!$B9,Data!$C:$C,Vitezistii!I$1))+SUMIFS(Data!$S:$S,Data!$A:$A,Vitezistii!$B9,Data!$C:$C,Vitezistii!I$1),0)</f>
        <v>1.5</v>
      </c>
      <c r="J9" s="37">
        <f>IFERROR(IF(SUMIFS(Data!$K:$K,Data!$A:$A,Vitezistii!$B9,Data!$C:$C,Vitezistii!J$1)=0," ",SUMIFS(Data!$K:$K,Data!$A:$A,Vitezistii!$B9,Data!$C:$C,Vitezistii!J$1))+SUMIFS(Data!$S:$S,Data!$A:$A,Vitezistii!$B9,Data!$C:$C,Vitezistii!J$1),0)</f>
        <v>3</v>
      </c>
      <c r="K9" s="37">
        <f>IFERROR(IF(SUMIFS(Data!$K:$K,Data!$A:$A,Vitezistii!$B9,Data!$C:$C,Vitezistii!K$1)=0," ",SUMIFS(Data!$K:$K,Data!$A:$A,Vitezistii!$B9,Data!$C:$C,Vitezistii!K$1))+SUMIFS(Data!$S:$S,Data!$A:$A,Vitezistii!$B9,Data!$C:$C,Vitezistii!K$1),0)</f>
        <v>4</v>
      </c>
      <c r="L9" s="37">
        <f>IFERROR(IF(SUMIFS(Data!$K:$K,Data!$A:$A,Vitezistii!$B9,Data!$C:$C,Vitezistii!L$1)=0," ",SUMIFS(Data!$K:$K,Data!$A:$A,Vitezistii!$B9,Data!$C:$C,Vitezistii!L$1))+SUMIFS(Data!$S:$S,Data!$A:$A,Vitezistii!$B9,Data!$C:$C,Vitezistii!L$1),0)</f>
        <v>0</v>
      </c>
      <c r="M9" s="37">
        <f>IFERROR(IF(SUMIFS(Data!$K:$K,Data!$A:$A,Vitezistii!$B9,Data!$C:$C,Vitezistii!M$1)=0," ",SUMIFS(Data!$K:$K,Data!$A:$A,Vitezistii!$B9,Data!$C:$C,Vitezistii!M$1))+SUMIFS(Data!$S:$S,Data!$A:$A,Vitezistii!$B9,Data!$C:$C,Vitezistii!M$1),0)</f>
        <v>2</v>
      </c>
      <c r="N9" s="37">
        <f>IFERROR(IF(SUMIFS(Data!$K:$K,Data!$A:$A,Vitezistii!$B9,Data!$C:$C,Vitezistii!N$1)=0," ",SUMIFS(Data!$K:$K,Data!$A:$A,Vitezistii!$B9,Data!$C:$C,Vitezistii!N$1))+SUMIFS(Data!$S:$S,Data!$A:$A,Vitezistii!$B9,Data!$C:$C,Vitezistii!N$1),0)</f>
        <v>2</v>
      </c>
      <c r="O9" s="37">
        <f>IFERROR(IF(SUMIFS(Data!$K:$K,Data!$A:$A,Vitezistii!$B9,Data!$C:$C,Vitezistii!O$1)=0," ",SUMIFS(Data!$K:$K,Data!$A:$A,Vitezistii!$B9,Data!$C:$C,Vitezistii!O$1))+SUMIFS(Data!$S:$S,Data!$A:$A,Vitezistii!$B9,Data!$C:$C,Vitezistii!O$1),0)</f>
        <v>2</v>
      </c>
      <c r="P9" s="37">
        <f>IFERROR(IF(SUMIFS(Data!$K:$K,Data!$A:$A,Vitezistii!$B9,Data!$C:$C,Vitezistii!P$1)=0," ",SUMIFS(Data!$K:$K,Data!$A:$A,Vitezistii!$B9,Data!$C:$C,Vitezistii!P$1))+SUMIFS(Data!$S:$S,Data!$A:$A,Vitezistii!$B9,Data!$C:$C,Vitezistii!P$1),0)</f>
        <v>3.5</v>
      </c>
      <c r="Q9" s="37">
        <f>IFERROR(IF(SUMIFS(Data!$K:$K,Data!$A:$A,Vitezistii!$B9,Data!$C:$C,Vitezistii!Q$1)=0," ",SUMIFS(Data!$K:$K,Data!$A:$A,Vitezistii!$B9,Data!$C:$C,Vitezistii!Q$1))+SUMIFS(Data!$S:$S,Data!$A:$A,Vitezistii!$B9,Data!$C:$C,Vitezistii!Q$1),0)</f>
        <v>2</v>
      </c>
      <c r="R9" s="37">
        <f t="shared" si="0"/>
        <v>30.5</v>
      </c>
      <c r="S9" s="37">
        <f>SUMIFS(Data!D:D,Data!A:A,Vitezistii!B9)</f>
        <v>227.7</v>
      </c>
      <c r="T9" s="13">
        <f>SUMIFS(Data!I:I,Data!A:A,Vitezistii!B9)/COUNTIF(Data!A:A,Vitezistii!B9)</f>
        <v>3.632873213968912E-3</v>
      </c>
    </row>
    <row r="10" spans="1:20" ht="13.8" x14ac:dyDescent="0.3">
      <c r="A10" s="103">
        <v>9</v>
      </c>
      <c r="B10" s="36" t="s">
        <v>48</v>
      </c>
      <c r="C10" s="37">
        <f>IFERROR(IF(SUMIFS(Data!$K:$K,Data!$A:$A,Vitezistii!$B10,Data!$C:$C,Vitezistii!C$1)=0," ",SUMIFS(Data!$K:$K,Data!$A:$A,Vitezistii!$B10,Data!$C:$C,Vitezistii!C$1))+SUMIFS(Data!$S:$S,Data!$A:$A,Vitezistii!$B10,Data!$C:$C,Vitezistii!C$1),0)</f>
        <v>0</v>
      </c>
      <c r="D10" s="37">
        <f>IFERROR(IF(SUMIFS(Data!$K:$K,Data!$A:$A,Vitezistii!$B10,Data!$C:$C,Vitezistii!D$1)=0," ",SUMIFS(Data!$K:$K,Data!$A:$A,Vitezistii!$B10,Data!$C:$C,Vitezistii!D$1))+SUMIFS(Data!$S:$S,Data!$A:$A,Vitezistii!$B10,Data!$C:$C,Vitezistii!D$1),0)</f>
        <v>3</v>
      </c>
      <c r="E10" s="37">
        <f>IFERROR(IF(SUMIFS(Data!$K:$K,Data!$A:$A,Vitezistii!$B10,Data!$C:$C,Vitezistii!E$1)=0," ",SUMIFS(Data!$K:$K,Data!$A:$A,Vitezistii!$B10,Data!$C:$C,Vitezistii!E$1))+SUMIFS(Data!$S:$S,Data!$A:$A,Vitezistii!$B10,Data!$C:$C,Vitezistii!E$1),0)</f>
        <v>0</v>
      </c>
      <c r="F10" s="37">
        <f>IFERROR(IF(SUMIFS(Data!$K:$K,Data!$A:$A,Vitezistii!$B10,Data!$C:$C,Vitezistii!F$1)=0," ",SUMIFS(Data!$K:$K,Data!$A:$A,Vitezistii!$B10,Data!$C:$C,Vitezistii!F$1))+SUMIFS(Data!$S:$S,Data!$A:$A,Vitezistii!$B10,Data!$C:$C,Vitezistii!F$1),0)</f>
        <v>2</v>
      </c>
      <c r="G10" s="37">
        <f>IFERROR(IF(SUMIFS(Data!$K:$K,Data!$A:$A,Vitezistii!$B10,Data!$C:$C,Vitezistii!G$1)=0," ",SUMIFS(Data!$K:$K,Data!$A:$A,Vitezistii!$B10,Data!$C:$C,Vitezistii!G$1))+SUMIFS(Data!$S:$S,Data!$A:$A,Vitezistii!$B10,Data!$C:$C,Vitezistii!G$1),0)</f>
        <v>3</v>
      </c>
      <c r="H10" s="37">
        <f>IFERROR(IF(SUMIFS(Data!$K:$K,Data!$A:$A,Vitezistii!$B10,Data!$C:$C,Vitezistii!H$1)=0," ",SUMIFS(Data!$K:$K,Data!$A:$A,Vitezistii!$B10,Data!$C:$C,Vitezistii!H$1))+SUMIFS(Data!$S:$S,Data!$A:$A,Vitezistii!$B10,Data!$C:$C,Vitezistii!H$1),0)</f>
        <v>1.5</v>
      </c>
      <c r="I10" s="37">
        <f>IFERROR(IF(SUMIFS(Data!$K:$K,Data!$A:$A,Vitezistii!$B10,Data!$C:$C,Vitezistii!I$1)=0," ",SUMIFS(Data!$K:$K,Data!$A:$A,Vitezistii!$B10,Data!$C:$C,Vitezistii!I$1))+SUMIFS(Data!$S:$S,Data!$A:$A,Vitezistii!$B10,Data!$C:$C,Vitezistii!I$1),0)</f>
        <v>3</v>
      </c>
      <c r="J10" s="37">
        <f>IFERROR(IF(SUMIFS(Data!$K:$K,Data!$A:$A,Vitezistii!$B10,Data!$C:$C,Vitezistii!J$1)=0," ",SUMIFS(Data!$K:$K,Data!$A:$A,Vitezistii!$B10,Data!$C:$C,Vitezistii!J$1))+SUMIFS(Data!$S:$S,Data!$A:$A,Vitezistii!$B10,Data!$C:$C,Vitezistii!J$1),0)</f>
        <v>3</v>
      </c>
      <c r="K10" s="37">
        <f>IFERROR(IF(SUMIFS(Data!$K:$K,Data!$A:$A,Vitezistii!$B10,Data!$C:$C,Vitezistii!K$1)=0," ",SUMIFS(Data!$K:$K,Data!$A:$A,Vitezistii!$B10,Data!$C:$C,Vitezistii!K$1))+SUMIFS(Data!$S:$S,Data!$A:$A,Vitezistii!$B10,Data!$C:$C,Vitezistii!K$1),0)</f>
        <v>4</v>
      </c>
      <c r="L10" s="37">
        <f>IFERROR(IF(SUMIFS(Data!$K:$K,Data!$A:$A,Vitezistii!$B10,Data!$C:$C,Vitezistii!L$1)=0," ",SUMIFS(Data!$K:$K,Data!$A:$A,Vitezistii!$B10,Data!$C:$C,Vitezistii!L$1))+SUMIFS(Data!$S:$S,Data!$A:$A,Vitezistii!$B10,Data!$C:$C,Vitezistii!L$1),0)</f>
        <v>1.5</v>
      </c>
      <c r="M10" s="37">
        <f>IFERROR(IF(SUMIFS(Data!$K:$K,Data!$A:$A,Vitezistii!$B10,Data!$C:$C,Vitezistii!M$1)=0," ",SUMIFS(Data!$K:$K,Data!$A:$A,Vitezistii!$B10,Data!$C:$C,Vitezistii!M$1))+SUMIFS(Data!$S:$S,Data!$A:$A,Vitezistii!$B10,Data!$C:$C,Vitezistii!M$1),0)</f>
        <v>0</v>
      </c>
      <c r="N10" s="37">
        <f>IFERROR(IF(SUMIFS(Data!$K:$K,Data!$A:$A,Vitezistii!$B10,Data!$C:$C,Vitezistii!N$1)=0," ",SUMIFS(Data!$K:$K,Data!$A:$A,Vitezistii!$B10,Data!$C:$C,Vitezistii!N$1))+SUMIFS(Data!$S:$S,Data!$A:$A,Vitezistii!$B10,Data!$C:$C,Vitezistii!N$1),0)</f>
        <v>1.5</v>
      </c>
      <c r="O10" s="37">
        <f>IFERROR(IF(SUMIFS(Data!$K:$K,Data!$A:$A,Vitezistii!$B10,Data!$C:$C,Vitezistii!O$1)=0," ",SUMIFS(Data!$K:$K,Data!$A:$A,Vitezistii!$B10,Data!$C:$C,Vitezistii!O$1))+SUMIFS(Data!$S:$S,Data!$A:$A,Vitezistii!$B10,Data!$C:$C,Vitezistii!O$1),0)</f>
        <v>1.5</v>
      </c>
      <c r="P10" s="37">
        <f>IFERROR(IF(SUMIFS(Data!$K:$K,Data!$A:$A,Vitezistii!$B10,Data!$C:$C,Vitezistii!P$1)=0," ",SUMIFS(Data!$K:$K,Data!$A:$A,Vitezistii!$B10,Data!$C:$C,Vitezistii!P$1))+SUMIFS(Data!$S:$S,Data!$A:$A,Vitezistii!$B10,Data!$C:$C,Vitezistii!P$1),0)</f>
        <v>2.5</v>
      </c>
      <c r="Q10" s="37">
        <f>IFERROR(IF(SUMIFS(Data!$K:$K,Data!$A:$A,Vitezistii!$B10,Data!$C:$C,Vitezistii!Q$1)=0," ",SUMIFS(Data!$K:$K,Data!$A:$A,Vitezistii!$B10,Data!$C:$C,Vitezistii!Q$1))+SUMIFS(Data!$S:$S,Data!$A:$A,Vitezistii!$B10,Data!$C:$C,Vitezistii!Q$1),0)</f>
        <v>3</v>
      </c>
      <c r="R10" s="37">
        <f t="shared" si="0"/>
        <v>29.5</v>
      </c>
      <c r="S10" s="37">
        <f>SUMIFS(Data!D:D,Data!A:A,Vitezistii!B10)</f>
        <v>142.16000000000003</v>
      </c>
      <c r="T10" s="13">
        <f>SUMIFS(Data!I:I,Data!A:A,Vitezistii!B10)/COUNTIF(Data!A:A,Vitezistii!B10)</f>
        <v>3.3311125269671824E-3</v>
      </c>
    </row>
    <row r="11" spans="1:20" ht="13.8" x14ac:dyDescent="0.3">
      <c r="A11" s="103">
        <v>10</v>
      </c>
      <c r="B11" s="36" t="s">
        <v>143</v>
      </c>
      <c r="C11" s="37">
        <f>IFERROR(IF(SUMIFS(Data!$K:$K,Data!$A:$A,Vitezistii!$B11,Data!$C:$C,Vitezistii!C$1)=0," ",SUMIFS(Data!$K:$K,Data!$A:$A,Vitezistii!$B11,Data!$C:$C,Vitezistii!C$1))+SUMIFS(Data!$S:$S,Data!$A:$A,Vitezistii!$B11,Data!$C:$C,Vitezistii!C$1),0)</f>
        <v>1.5</v>
      </c>
      <c r="D11" s="37">
        <f>IFERROR(IF(SUMIFS(Data!$K:$K,Data!$A:$A,Vitezistii!$B11,Data!$C:$C,Vitezistii!D$1)=0," ",SUMIFS(Data!$K:$K,Data!$A:$A,Vitezistii!$B11,Data!$C:$C,Vitezistii!D$1))+SUMIFS(Data!$S:$S,Data!$A:$A,Vitezistii!$B11,Data!$C:$C,Vitezistii!D$1),0)</f>
        <v>3</v>
      </c>
      <c r="E11" s="37">
        <f>IFERROR(IF(SUMIFS(Data!$K:$K,Data!$A:$A,Vitezistii!$B11,Data!$C:$C,Vitezistii!E$1)=0," ",SUMIFS(Data!$K:$K,Data!$A:$A,Vitezistii!$B11,Data!$C:$C,Vitezistii!E$1))+SUMIFS(Data!$S:$S,Data!$A:$A,Vitezistii!$B11,Data!$C:$C,Vitezistii!E$1),0)</f>
        <v>1</v>
      </c>
      <c r="F11" s="37">
        <f>IFERROR(IF(SUMIFS(Data!$K:$K,Data!$A:$A,Vitezistii!$B11,Data!$C:$C,Vitezistii!F$1)=0," ",SUMIFS(Data!$K:$K,Data!$A:$A,Vitezistii!$B11,Data!$C:$C,Vitezistii!F$1))+SUMIFS(Data!$S:$S,Data!$A:$A,Vitezistii!$B11,Data!$C:$C,Vitezistii!F$1),0)</f>
        <v>1</v>
      </c>
      <c r="G11" s="37">
        <f>IFERROR(IF(SUMIFS(Data!$K:$K,Data!$A:$A,Vitezistii!$B11,Data!$C:$C,Vitezistii!G$1)=0," ",SUMIFS(Data!$K:$K,Data!$A:$A,Vitezistii!$B11,Data!$C:$C,Vitezistii!G$1))+SUMIFS(Data!$S:$S,Data!$A:$A,Vitezistii!$B11,Data!$C:$C,Vitezistii!G$1),0)</f>
        <v>2.5</v>
      </c>
      <c r="H11" s="37">
        <f>IFERROR(IF(SUMIFS(Data!$K:$K,Data!$A:$A,Vitezistii!$B11,Data!$C:$C,Vitezistii!H$1)=0," ",SUMIFS(Data!$K:$K,Data!$A:$A,Vitezistii!$B11,Data!$C:$C,Vitezistii!H$1))+SUMIFS(Data!$S:$S,Data!$A:$A,Vitezistii!$B11,Data!$C:$C,Vitezistii!H$1),0)</f>
        <v>2</v>
      </c>
      <c r="I11" s="37">
        <f>IFERROR(IF(SUMIFS(Data!$K:$K,Data!$A:$A,Vitezistii!$B11,Data!$C:$C,Vitezistii!I$1)=0," ",SUMIFS(Data!$K:$K,Data!$A:$A,Vitezistii!$B11,Data!$C:$C,Vitezistii!I$1))+SUMIFS(Data!$S:$S,Data!$A:$A,Vitezistii!$B11,Data!$C:$C,Vitezistii!I$1),0)</f>
        <v>2</v>
      </c>
      <c r="J11" s="37">
        <f>IFERROR(IF(SUMIFS(Data!$K:$K,Data!$A:$A,Vitezistii!$B11,Data!$C:$C,Vitezistii!J$1)=0," ",SUMIFS(Data!$K:$K,Data!$A:$A,Vitezistii!$B11,Data!$C:$C,Vitezistii!J$1))+SUMIFS(Data!$S:$S,Data!$A:$A,Vitezistii!$B11,Data!$C:$C,Vitezistii!J$1),0)</f>
        <v>2</v>
      </c>
      <c r="K11" s="37">
        <f>IFERROR(IF(SUMIFS(Data!$K:$K,Data!$A:$A,Vitezistii!$B11,Data!$C:$C,Vitezistii!K$1)=0," ",SUMIFS(Data!$K:$K,Data!$A:$A,Vitezistii!$B11,Data!$C:$C,Vitezistii!K$1))+SUMIFS(Data!$S:$S,Data!$A:$A,Vitezistii!$B11,Data!$C:$C,Vitezistii!K$1),0)</f>
        <v>2</v>
      </c>
      <c r="L11" s="37">
        <f>IFERROR(IF(SUMIFS(Data!$K:$K,Data!$A:$A,Vitezistii!$B11,Data!$C:$C,Vitezistii!L$1)=0," ",SUMIFS(Data!$K:$K,Data!$A:$A,Vitezistii!$B11,Data!$C:$C,Vitezistii!L$1))+SUMIFS(Data!$S:$S,Data!$A:$A,Vitezistii!$B11,Data!$C:$C,Vitezistii!L$1),0)</f>
        <v>1.5</v>
      </c>
      <c r="M11" s="37">
        <f>IFERROR(IF(SUMIFS(Data!$K:$K,Data!$A:$A,Vitezistii!$B11,Data!$C:$C,Vitezistii!M$1)=0," ",SUMIFS(Data!$K:$K,Data!$A:$A,Vitezistii!$B11,Data!$C:$C,Vitezistii!M$1))+SUMIFS(Data!$S:$S,Data!$A:$A,Vitezistii!$B11,Data!$C:$C,Vitezistii!M$1),0)</f>
        <v>3</v>
      </c>
      <c r="N11" s="37">
        <f>IFERROR(IF(SUMIFS(Data!$K:$K,Data!$A:$A,Vitezistii!$B11,Data!$C:$C,Vitezistii!N$1)=0," ",SUMIFS(Data!$K:$K,Data!$A:$A,Vitezistii!$B11,Data!$C:$C,Vitezistii!N$1))+SUMIFS(Data!$S:$S,Data!$A:$A,Vitezistii!$B11,Data!$C:$C,Vitezistii!N$1),0)</f>
        <v>2.5</v>
      </c>
      <c r="O11" s="37">
        <f>IFERROR(IF(SUMIFS(Data!$K:$K,Data!$A:$A,Vitezistii!$B11,Data!$C:$C,Vitezistii!O$1)=0," ",SUMIFS(Data!$K:$K,Data!$A:$A,Vitezistii!$B11,Data!$C:$C,Vitezistii!O$1))+SUMIFS(Data!$S:$S,Data!$A:$A,Vitezistii!$B11,Data!$C:$C,Vitezistii!O$1),0)</f>
        <v>1.5</v>
      </c>
      <c r="P11" s="37">
        <f>IFERROR(IF(SUMIFS(Data!$K:$K,Data!$A:$A,Vitezistii!$B11,Data!$C:$C,Vitezistii!P$1)=0," ",SUMIFS(Data!$K:$K,Data!$A:$A,Vitezistii!$B11,Data!$C:$C,Vitezistii!P$1))+SUMIFS(Data!$S:$S,Data!$A:$A,Vitezistii!$B11,Data!$C:$C,Vitezistii!P$1),0)</f>
        <v>1.5</v>
      </c>
      <c r="Q11" s="37">
        <f>IFERROR(IF(SUMIFS(Data!$K:$K,Data!$A:$A,Vitezistii!$B11,Data!$C:$C,Vitezistii!Q$1)=0," ",SUMIFS(Data!$K:$K,Data!$A:$A,Vitezistii!$B11,Data!$C:$C,Vitezistii!Q$1))+SUMIFS(Data!$S:$S,Data!$A:$A,Vitezistii!$B11,Data!$C:$C,Vitezistii!Q$1),0)</f>
        <v>1.5</v>
      </c>
      <c r="R11" s="37">
        <f t="shared" si="0"/>
        <v>28.5</v>
      </c>
      <c r="S11" s="37">
        <f>SUMIFS(Data!D:D,Data!A:A,Vitezistii!B11)</f>
        <v>272.68999999999994</v>
      </c>
      <c r="T11" s="13">
        <f>SUMIFS(Data!I:I,Data!A:A,Vitezistii!B11)/COUNTIF(Data!A:A,Vitezistii!B11)</f>
        <v>3.8308282007623036E-3</v>
      </c>
    </row>
    <row r="12" spans="1:20" ht="13.8" x14ac:dyDescent="0.3">
      <c r="A12" s="103">
        <v>11</v>
      </c>
      <c r="B12" s="36" t="s">
        <v>255</v>
      </c>
      <c r="C12" s="37">
        <f>IFERROR(IF(SUMIFS(Data!$K:$K,Data!$A:$A,Vitezistii!$B12,Data!$C:$C,Vitezistii!C$1)=0," ",SUMIFS(Data!$K:$K,Data!$A:$A,Vitezistii!$B12,Data!$C:$C,Vitezistii!C$1))+SUMIFS(Data!$S:$S,Data!$A:$A,Vitezistii!$B12,Data!$C:$C,Vitezistii!C$1),0)</f>
        <v>3</v>
      </c>
      <c r="D12" s="37">
        <f>IFERROR(IF(SUMIFS(Data!$K:$K,Data!$A:$A,Vitezistii!$B12,Data!$C:$C,Vitezistii!D$1)=0," ",SUMIFS(Data!$K:$K,Data!$A:$A,Vitezistii!$B12,Data!$C:$C,Vitezistii!D$1))+SUMIFS(Data!$S:$S,Data!$A:$A,Vitezistii!$B12,Data!$C:$C,Vitezistii!D$1),0)</f>
        <v>1</v>
      </c>
      <c r="E12" s="37">
        <f>IFERROR(IF(SUMIFS(Data!$K:$K,Data!$A:$A,Vitezistii!$B12,Data!$C:$C,Vitezistii!E$1)=0," ",SUMIFS(Data!$K:$K,Data!$A:$A,Vitezistii!$B12,Data!$C:$C,Vitezistii!E$1))+SUMIFS(Data!$S:$S,Data!$A:$A,Vitezistii!$B12,Data!$C:$C,Vitezistii!E$1),0)</f>
        <v>0</v>
      </c>
      <c r="F12" s="37">
        <f>IFERROR(IF(SUMIFS(Data!$K:$K,Data!$A:$A,Vitezistii!$B12,Data!$C:$C,Vitezistii!F$1)=0," ",SUMIFS(Data!$K:$K,Data!$A:$A,Vitezistii!$B12,Data!$C:$C,Vitezistii!F$1))+SUMIFS(Data!$S:$S,Data!$A:$A,Vitezistii!$B12,Data!$C:$C,Vitezistii!F$1),0)</f>
        <v>2.5</v>
      </c>
      <c r="G12" s="37">
        <f>IFERROR(IF(SUMIFS(Data!$K:$K,Data!$A:$A,Vitezistii!$B12,Data!$C:$C,Vitezistii!G$1)=0," ",SUMIFS(Data!$K:$K,Data!$A:$A,Vitezistii!$B12,Data!$C:$C,Vitezistii!G$1))+SUMIFS(Data!$S:$S,Data!$A:$A,Vitezistii!$B12,Data!$C:$C,Vitezistii!G$1),0)</f>
        <v>3</v>
      </c>
      <c r="H12" s="37">
        <f>IFERROR(IF(SUMIFS(Data!$K:$K,Data!$A:$A,Vitezistii!$B12,Data!$C:$C,Vitezistii!H$1)=0," ",SUMIFS(Data!$K:$K,Data!$A:$A,Vitezistii!$B12,Data!$C:$C,Vitezistii!H$1))+SUMIFS(Data!$S:$S,Data!$A:$A,Vitezistii!$B12,Data!$C:$C,Vitezistii!H$1),0)</f>
        <v>1</v>
      </c>
      <c r="I12" s="37">
        <f>IFERROR(IF(SUMIFS(Data!$K:$K,Data!$A:$A,Vitezistii!$B12,Data!$C:$C,Vitezistii!I$1)=0," ",SUMIFS(Data!$K:$K,Data!$A:$A,Vitezistii!$B12,Data!$C:$C,Vitezistii!I$1))+SUMIFS(Data!$S:$S,Data!$A:$A,Vitezistii!$B12,Data!$C:$C,Vitezistii!I$1),0)</f>
        <v>3</v>
      </c>
      <c r="J12" s="37">
        <f>IFERROR(IF(SUMIFS(Data!$K:$K,Data!$A:$A,Vitezistii!$B12,Data!$C:$C,Vitezistii!J$1)=0," ",SUMIFS(Data!$K:$K,Data!$A:$A,Vitezistii!$B12,Data!$C:$C,Vitezistii!J$1))+SUMIFS(Data!$S:$S,Data!$A:$A,Vitezistii!$B12,Data!$C:$C,Vitezistii!J$1),0)</f>
        <v>1</v>
      </c>
      <c r="K12" s="37">
        <f>IFERROR(IF(SUMIFS(Data!$K:$K,Data!$A:$A,Vitezistii!$B12,Data!$C:$C,Vitezistii!K$1)=0," ",SUMIFS(Data!$K:$K,Data!$A:$A,Vitezistii!$B12,Data!$C:$C,Vitezistii!K$1))+SUMIFS(Data!$S:$S,Data!$A:$A,Vitezistii!$B12,Data!$C:$C,Vitezistii!K$1),0)</f>
        <v>1</v>
      </c>
      <c r="L12" s="37">
        <f>IFERROR(IF(SUMIFS(Data!$K:$K,Data!$A:$A,Vitezistii!$B12,Data!$C:$C,Vitezistii!L$1)=0," ",SUMIFS(Data!$K:$K,Data!$A:$A,Vitezistii!$B12,Data!$C:$C,Vitezistii!L$1))+SUMIFS(Data!$S:$S,Data!$A:$A,Vitezistii!$B12,Data!$C:$C,Vitezistii!L$1),0)</f>
        <v>3.5</v>
      </c>
      <c r="M12" s="37">
        <f>IFERROR(IF(SUMIFS(Data!$K:$K,Data!$A:$A,Vitezistii!$B12,Data!$C:$C,Vitezistii!M$1)=0," ",SUMIFS(Data!$K:$K,Data!$A:$A,Vitezistii!$B12,Data!$C:$C,Vitezistii!M$1))+SUMIFS(Data!$S:$S,Data!$A:$A,Vitezistii!$B12,Data!$C:$C,Vitezistii!M$1),0)</f>
        <v>1</v>
      </c>
      <c r="N12" s="37">
        <f>IFERROR(IF(SUMIFS(Data!$K:$K,Data!$A:$A,Vitezistii!$B12,Data!$C:$C,Vitezistii!N$1)=0," ",SUMIFS(Data!$K:$K,Data!$A:$A,Vitezistii!$B12,Data!$C:$C,Vitezistii!N$1))+SUMIFS(Data!$S:$S,Data!$A:$A,Vitezistii!$B12,Data!$C:$C,Vitezistii!N$1),0)</f>
        <v>1</v>
      </c>
      <c r="O12" s="37">
        <f>IFERROR(IF(SUMIFS(Data!$K:$K,Data!$A:$A,Vitezistii!$B12,Data!$C:$C,Vitezistii!O$1)=0," ",SUMIFS(Data!$K:$K,Data!$A:$A,Vitezistii!$B12,Data!$C:$C,Vitezistii!O$1))+SUMIFS(Data!$S:$S,Data!$A:$A,Vitezistii!$B12,Data!$C:$C,Vitezistii!O$1),0)</f>
        <v>1.5</v>
      </c>
      <c r="P12" s="37">
        <f>IFERROR(IF(SUMIFS(Data!$K:$K,Data!$A:$A,Vitezistii!$B12,Data!$C:$C,Vitezistii!P$1)=0," ",SUMIFS(Data!$K:$K,Data!$A:$A,Vitezistii!$B12,Data!$C:$C,Vitezistii!P$1))+SUMIFS(Data!$S:$S,Data!$A:$A,Vitezistii!$B12,Data!$C:$C,Vitezistii!P$1),0)</f>
        <v>3</v>
      </c>
      <c r="Q12" s="37">
        <f>IFERROR(IF(SUMIFS(Data!$K:$K,Data!$A:$A,Vitezistii!$B12,Data!$C:$C,Vitezistii!Q$1)=0," ",SUMIFS(Data!$K:$K,Data!$A:$A,Vitezistii!$B12,Data!$C:$C,Vitezistii!Q$1))+SUMIFS(Data!$S:$S,Data!$A:$A,Vitezistii!$B12,Data!$C:$C,Vitezistii!Q$1),0)</f>
        <v>3</v>
      </c>
      <c r="R12" s="37">
        <f t="shared" si="0"/>
        <v>28.5</v>
      </c>
      <c r="S12" s="37">
        <f>SUMIFS(Data!D:D,Data!A:A,Vitezistii!B12)</f>
        <v>224.82</v>
      </c>
      <c r="T12" s="13">
        <f>SUMIFS(Data!I:I,Data!A:A,Vitezistii!B12)/COUNTIF(Data!A:A,Vitezistii!B12)</f>
        <v>4.5578497045950907E-3</v>
      </c>
    </row>
    <row r="13" spans="1:20" ht="13.8" x14ac:dyDescent="0.3">
      <c r="A13" s="103">
        <v>12</v>
      </c>
      <c r="B13" s="36" t="s">
        <v>52</v>
      </c>
      <c r="C13" s="37">
        <f>IFERROR(IF(SUMIFS(Data!$K:$K,Data!$A:$A,Vitezistii!$B13,Data!$C:$C,Vitezistii!C$1)=0," ",SUMIFS(Data!$K:$K,Data!$A:$A,Vitezistii!$B13,Data!$C:$C,Vitezistii!C$1))+SUMIFS(Data!$S:$S,Data!$A:$A,Vitezistii!$B13,Data!$C:$C,Vitezistii!C$1),0)</f>
        <v>2.5</v>
      </c>
      <c r="D13" s="37">
        <f>IFERROR(IF(SUMIFS(Data!$K:$K,Data!$A:$A,Vitezistii!$B13,Data!$C:$C,Vitezistii!D$1)=0," ",SUMIFS(Data!$K:$K,Data!$A:$A,Vitezistii!$B13,Data!$C:$C,Vitezistii!D$1))+SUMIFS(Data!$S:$S,Data!$A:$A,Vitezistii!$B13,Data!$C:$C,Vitezistii!D$1),0)</f>
        <v>1.5</v>
      </c>
      <c r="E13" s="37">
        <f>IFERROR(IF(SUMIFS(Data!$K:$K,Data!$A:$A,Vitezistii!$B13,Data!$C:$C,Vitezistii!E$1)=0," ",SUMIFS(Data!$K:$K,Data!$A:$A,Vitezistii!$B13,Data!$C:$C,Vitezistii!E$1))+SUMIFS(Data!$S:$S,Data!$A:$A,Vitezistii!$B13,Data!$C:$C,Vitezistii!E$1),0)</f>
        <v>4.5</v>
      </c>
      <c r="F13" s="37">
        <f>IFERROR(IF(SUMIFS(Data!$K:$K,Data!$A:$A,Vitezistii!$B13,Data!$C:$C,Vitezistii!F$1)=0," ",SUMIFS(Data!$K:$K,Data!$A:$A,Vitezistii!$B13,Data!$C:$C,Vitezistii!F$1))+SUMIFS(Data!$S:$S,Data!$A:$A,Vitezistii!$B13,Data!$C:$C,Vitezistii!F$1),0)</f>
        <v>3</v>
      </c>
      <c r="G13" s="37">
        <f>IFERROR(IF(SUMIFS(Data!$K:$K,Data!$A:$A,Vitezistii!$B13,Data!$C:$C,Vitezistii!G$1)=0," ",SUMIFS(Data!$K:$K,Data!$A:$A,Vitezistii!$B13,Data!$C:$C,Vitezistii!G$1))+SUMIFS(Data!$S:$S,Data!$A:$A,Vitezistii!$B13,Data!$C:$C,Vitezistii!G$1),0)</f>
        <v>5.45</v>
      </c>
      <c r="H13" s="37">
        <f>IFERROR(IF(SUMIFS(Data!$K:$K,Data!$A:$A,Vitezistii!$B13,Data!$C:$C,Vitezistii!H$1)=0," ",SUMIFS(Data!$K:$K,Data!$A:$A,Vitezistii!$B13,Data!$C:$C,Vitezistii!H$1))+SUMIFS(Data!$S:$S,Data!$A:$A,Vitezistii!$B13,Data!$C:$C,Vitezistii!H$1),0)</f>
        <v>1.5</v>
      </c>
      <c r="I13" s="37">
        <f>IFERROR(IF(SUMIFS(Data!$K:$K,Data!$A:$A,Vitezistii!$B13,Data!$C:$C,Vitezistii!I$1)=0," ",SUMIFS(Data!$K:$K,Data!$A:$A,Vitezistii!$B13,Data!$C:$C,Vitezistii!I$1))+SUMIFS(Data!$S:$S,Data!$A:$A,Vitezistii!$B13,Data!$C:$C,Vitezistii!I$1),0)</f>
        <v>1.5</v>
      </c>
      <c r="J13" s="37">
        <f>IFERROR(IF(SUMIFS(Data!$K:$K,Data!$A:$A,Vitezistii!$B13,Data!$C:$C,Vitezistii!J$1)=0," ",SUMIFS(Data!$K:$K,Data!$A:$A,Vitezistii!$B13,Data!$C:$C,Vitezistii!J$1))+SUMIFS(Data!$S:$S,Data!$A:$A,Vitezistii!$B13,Data!$C:$C,Vitezistii!J$1),0)</f>
        <v>2</v>
      </c>
      <c r="K13" s="37">
        <f>IFERROR(IF(SUMIFS(Data!$K:$K,Data!$A:$A,Vitezistii!$B13,Data!$C:$C,Vitezistii!K$1)=0," ",SUMIFS(Data!$K:$K,Data!$A:$A,Vitezistii!$B13,Data!$C:$C,Vitezistii!K$1))+SUMIFS(Data!$S:$S,Data!$A:$A,Vitezistii!$B13,Data!$C:$C,Vitezistii!K$1),0)</f>
        <v>1</v>
      </c>
      <c r="L13" s="37">
        <f>IFERROR(IF(SUMIFS(Data!$K:$K,Data!$A:$A,Vitezistii!$B13,Data!$C:$C,Vitezistii!L$1)=0," ",SUMIFS(Data!$K:$K,Data!$A:$A,Vitezistii!$B13,Data!$C:$C,Vitezistii!L$1))+SUMIFS(Data!$S:$S,Data!$A:$A,Vitezistii!$B13,Data!$C:$C,Vitezistii!L$1),0)</f>
        <v>3.5</v>
      </c>
      <c r="M13" s="37">
        <f>IFERROR(IF(SUMIFS(Data!$K:$K,Data!$A:$A,Vitezistii!$B13,Data!$C:$C,Vitezistii!M$1)=0," ",SUMIFS(Data!$K:$K,Data!$A:$A,Vitezistii!$B13,Data!$C:$C,Vitezistii!M$1))+SUMIFS(Data!$S:$S,Data!$A:$A,Vitezistii!$B13,Data!$C:$C,Vitezistii!M$1),0)</f>
        <v>0</v>
      </c>
      <c r="N13" s="37">
        <f>IFERROR(IF(SUMIFS(Data!$K:$K,Data!$A:$A,Vitezistii!$B13,Data!$C:$C,Vitezistii!N$1)=0," ",SUMIFS(Data!$K:$K,Data!$A:$A,Vitezistii!$B13,Data!$C:$C,Vitezistii!N$1))+SUMIFS(Data!$S:$S,Data!$A:$A,Vitezistii!$B13,Data!$C:$C,Vitezistii!N$1),0)</f>
        <v>0</v>
      </c>
      <c r="O13" s="37">
        <f>IFERROR(IF(SUMIFS(Data!$K:$K,Data!$A:$A,Vitezistii!$B13,Data!$C:$C,Vitezistii!O$1)=0," ",SUMIFS(Data!$K:$K,Data!$A:$A,Vitezistii!$B13,Data!$C:$C,Vitezistii!O$1))+SUMIFS(Data!$S:$S,Data!$A:$A,Vitezistii!$B13,Data!$C:$C,Vitezistii!O$1),0)</f>
        <v>0</v>
      </c>
      <c r="P13" s="37">
        <f>IFERROR(IF(SUMIFS(Data!$K:$K,Data!$A:$A,Vitezistii!$B13,Data!$C:$C,Vitezistii!P$1)=0," ",SUMIFS(Data!$K:$K,Data!$A:$A,Vitezistii!$B13,Data!$C:$C,Vitezistii!P$1))+SUMIFS(Data!$S:$S,Data!$A:$A,Vitezistii!$B13,Data!$C:$C,Vitezistii!P$1),0)</f>
        <v>0</v>
      </c>
      <c r="Q13" s="37">
        <f>IFERROR(IF(SUMIFS(Data!$K:$K,Data!$A:$A,Vitezistii!$B13,Data!$C:$C,Vitezistii!Q$1)=0," ",SUMIFS(Data!$K:$K,Data!$A:$A,Vitezistii!$B13,Data!$C:$C,Vitezistii!Q$1))+SUMIFS(Data!$S:$S,Data!$A:$A,Vitezistii!$B13,Data!$C:$C,Vitezistii!Q$1),0)</f>
        <v>0</v>
      </c>
      <c r="R13" s="37">
        <f t="shared" si="0"/>
        <v>26.45</v>
      </c>
      <c r="S13" s="37">
        <f>SUMIFS(Data!D:D,Data!A:A,Vitezistii!B13)</f>
        <v>236.47</v>
      </c>
      <c r="T13" s="13">
        <f>SUMIFS(Data!I:I,Data!A:A,Vitezistii!B13)/COUNTIF(Data!A:A,Vitezistii!B13)</f>
        <v>3.6248197492381577E-3</v>
      </c>
    </row>
    <row r="14" spans="1:20" ht="13.8" x14ac:dyDescent="0.3">
      <c r="A14" s="103">
        <v>13</v>
      </c>
      <c r="B14" s="36" t="s">
        <v>254</v>
      </c>
      <c r="C14" s="37">
        <f>IFERROR(IF(SUMIFS(Data!$K:$K,Data!$A:$A,Vitezistii!$B14,Data!$C:$C,Vitezistii!C$1)=0," ",SUMIFS(Data!$K:$K,Data!$A:$A,Vitezistii!$B14,Data!$C:$C,Vitezistii!C$1))+SUMIFS(Data!$S:$S,Data!$A:$A,Vitezistii!$B14,Data!$C:$C,Vitezistii!C$1),0)</f>
        <v>2.5</v>
      </c>
      <c r="D14" s="37">
        <f>IFERROR(IF(SUMIFS(Data!$K:$K,Data!$A:$A,Vitezistii!$B14,Data!$C:$C,Vitezistii!D$1)=0," ",SUMIFS(Data!$K:$K,Data!$A:$A,Vitezistii!$B14,Data!$C:$C,Vitezistii!D$1))+SUMIFS(Data!$S:$S,Data!$A:$A,Vitezistii!$B14,Data!$C:$C,Vitezistii!D$1),0)</f>
        <v>1.5</v>
      </c>
      <c r="E14" s="37">
        <f>IFERROR(IF(SUMIFS(Data!$K:$K,Data!$A:$A,Vitezistii!$B14,Data!$C:$C,Vitezistii!E$1)=0," ",SUMIFS(Data!$K:$K,Data!$A:$A,Vitezistii!$B14,Data!$C:$C,Vitezistii!E$1))+SUMIFS(Data!$S:$S,Data!$A:$A,Vitezistii!$B14,Data!$C:$C,Vitezistii!E$1),0)</f>
        <v>3.5</v>
      </c>
      <c r="F14" s="37">
        <f>IFERROR(IF(SUMIFS(Data!$K:$K,Data!$A:$A,Vitezistii!$B14,Data!$C:$C,Vitezistii!F$1)=0," ",SUMIFS(Data!$K:$K,Data!$A:$A,Vitezistii!$B14,Data!$C:$C,Vitezistii!F$1))+SUMIFS(Data!$S:$S,Data!$A:$A,Vitezistii!$B14,Data!$C:$C,Vitezistii!F$1),0)</f>
        <v>1</v>
      </c>
      <c r="G14" s="37">
        <f>IFERROR(IF(SUMIFS(Data!$K:$K,Data!$A:$A,Vitezistii!$B14,Data!$C:$C,Vitezistii!G$1)=0," ",SUMIFS(Data!$K:$K,Data!$A:$A,Vitezistii!$B14,Data!$C:$C,Vitezistii!G$1))+SUMIFS(Data!$S:$S,Data!$A:$A,Vitezistii!$B14,Data!$C:$C,Vitezistii!G$1),0)</f>
        <v>0</v>
      </c>
      <c r="H14" s="37">
        <f>IFERROR(IF(SUMIFS(Data!$K:$K,Data!$A:$A,Vitezistii!$B14,Data!$C:$C,Vitezistii!H$1)=0," ",SUMIFS(Data!$K:$K,Data!$A:$A,Vitezistii!$B14,Data!$C:$C,Vitezistii!H$1))+SUMIFS(Data!$S:$S,Data!$A:$A,Vitezistii!$B14,Data!$C:$C,Vitezistii!H$1),0)</f>
        <v>2.5</v>
      </c>
      <c r="I14" s="37">
        <f>IFERROR(IF(SUMIFS(Data!$K:$K,Data!$A:$A,Vitezistii!$B14,Data!$C:$C,Vitezistii!I$1)=0," ",SUMIFS(Data!$K:$K,Data!$A:$A,Vitezistii!$B14,Data!$C:$C,Vitezistii!I$1))+SUMIFS(Data!$S:$S,Data!$A:$A,Vitezistii!$B14,Data!$C:$C,Vitezistii!I$1),0)</f>
        <v>1.5</v>
      </c>
      <c r="J14" s="37">
        <f>IFERROR(IF(SUMIFS(Data!$K:$K,Data!$A:$A,Vitezistii!$B14,Data!$C:$C,Vitezistii!J$1)=0," ",SUMIFS(Data!$K:$K,Data!$A:$A,Vitezistii!$B14,Data!$C:$C,Vitezistii!J$1))+SUMIFS(Data!$S:$S,Data!$A:$A,Vitezistii!$B14,Data!$C:$C,Vitezistii!J$1),0)</f>
        <v>0</v>
      </c>
      <c r="K14" s="37">
        <f>IFERROR(IF(SUMIFS(Data!$K:$K,Data!$A:$A,Vitezistii!$B14,Data!$C:$C,Vitezistii!K$1)=0," ",SUMIFS(Data!$K:$K,Data!$A:$A,Vitezistii!$B14,Data!$C:$C,Vitezistii!K$1))+SUMIFS(Data!$S:$S,Data!$A:$A,Vitezistii!$B14,Data!$C:$C,Vitezistii!K$1),0)</f>
        <v>1</v>
      </c>
      <c r="L14" s="37">
        <f>IFERROR(IF(SUMIFS(Data!$K:$K,Data!$A:$A,Vitezistii!$B14,Data!$C:$C,Vitezistii!L$1)=0," ",SUMIFS(Data!$K:$K,Data!$A:$A,Vitezistii!$B14,Data!$C:$C,Vitezistii!L$1))+SUMIFS(Data!$S:$S,Data!$A:$A,Vitezistii!$B14,Data!$C:$C,Vitezistii!L$1),0)</f>
        <v>2.5</v>
      </c>
      <c r="M14" s="37">
        <f>IFERROR(IF(SUMIFS(Data!$K:$K,Data!$A:$A,Vitezistii!$B14,Data!$C:$C,Vitezistii!M$1)=0," ",SUMIFS(Data!$K:$K,Data!$A:$A,Vitezistii!$B14,Data!$C:$C,Vitezistii!M$1))+SUMIFS(Data!$S:$S,Data!$A:$A,Vitezistii!$B14,Data!$C:$C,Vitezistii!M$1),0)</f>
        <v>1</v>
      </c>
      <c r="N14" s="37">
        <f>IFERROR(IF(SUMIFS(Data!$K:$K,Data!$A:$A,Vitezistii!$B14,Data!$C:$C,Vitezistii!N$1)=0," ",SUMIFS(Data!$K:$K,Data!$A:$A,Vitezistii!$B14,Data!$C:$C,Vitezistii!N$1))+SUMIFS(Data!$S:$S,Data!$A:$A,Vitezistii!$B14,Data!$C:$C,Vitezistii!N$1),0)</f>
        <v>2</v>
      </c>
      <c r="O14" s="37">
        <f>IFERROR(IF(SUMIFS(Data!$K:$K,Data!$A:$A,Vitezistii!$B14,Data!$C:$C,Vitezistii!O$1)=0," ",SUMIFS(Data!$K:$K,Data!$A:$A,Vitezistii!$B14,Data!$C:$C,Vitezistii!O$1))+SUMIFS(Data!$S:$S,Data!$A:$A,Vitezistii!$B14,Data!$C:$C,Vitezistii!O$1),0)</f>
        <v>1</v>
      </c>
      <c r="P14" s="37">
        <f>IFERROR(IF(SUMIFS(Data!$K:$K,Data!$A:$A,Vitezistii!$B14,Data!$C:$C,Vitezistii!P$1)=0," ",SUMIFS(Data!$K:$K,Data!$A:$A,Vitezistii!$B14,Data!$C:$C,Vitezistii!P$1))+SUMIFS(Data!$S:$S,Data!$A:$A,Vitezistii!$B14,Data!$C:$C,Vitezistii!P$1),0)</f>
        <v>3.5</v>
      </c>
      <c r="Q14" s="37">
        <f>IFERROR(IF(SUMIFS(Data!$K:$K,Data!$A:$A,Vitezistii!$B14,Data!$C:$C,Vitezistii!Q$1)=0," ",SUMIFS(Data!$K:$K,Data!$A:$A,Vitezistii!$B14,Data!$C:$C,Vitezistii!Q$1))+SUMIFS(Data!$S:$S,Data!$A:$A,Vitezistii!$B14,Data!$C:$C,Vitezistii!Q$1),0)</f>
        <v>1</v>
      </c>
      <c r="R14" s="37">
        <f t="shared" si="0"/>
        <v>24.5</v>
      </c>
      <c r="S14" s="37">
        <f>SUMIFS(Data!D:D,Data!A:A,Vitezistii!B14)</f>
        <v>307.17999999999995</v>
      </c>
      <c r="T14" s="13">
        <f>SUMIFS(Data!I:I,Data!A:A,Vitezistii!B14)/COUNTIF(Data!A:A,Vitezistii!B14)</f>
        <v>4.6025068711063825E-3</v>
      </c>
    </row>
    <row r="15" spans="1:20" ht="13.8" x14ac:dyDescent="0.3">
      <c r="A15" s="103">
        <v>14</v>
      </c>
      <c r="B15" s="36" t="s">
        <v>119</v>
      </c>
      <c r="C15" s="37">
        <f>IFERROR(IF(SUMIFS(Data!$K:$K,Data!$A:$A,Vitezistii!$B15,Data!$C:$C,Vitezistii!C$1)=0," ",SUMIFS(Data!$K:$K,Data!$A:$A,Vitezistii!$B15,Data!$C:$C,Vitezistii!C$1))+SUMIFS(Data!$S:$S,Data!$A:$A,Vitezistii!$B15,Data!$C:$C,Vitezistii!C$1),0)</f>
        <v>3</v>
      </c>
      <c r="D15" s="37">
        <f>IFERROR(IF(SUMIFS(Data!$K:$K,Data!$A:$A,Vitezistii!$B15,Data!$C:$C,Vitezistii!D$1)=0," ",SUMIFS(Data!$K:$K,Data!$A:$A,Vitezistii!$B15,Data!$C:$C,Vitezistii!D$1))+SUMIFS(Data!$S:$S,Data!$A:$A,Vitezistii!$B15,Data!$C:$C,Vitezistii!D$1),0)</f>
        <v>2</v>
      </c>
      <c r="E15" s="37">
        <f>IFERROR(IF(SUMIFS(Data!$K:$K,Data!$A:$A,Vitezistii!$B15,Data!$C:$C,Vitezistii!E$1)=0," ",SUMIFS(Data!$K:$K,Data!$A:$A,Vitezistii!$B15,Data!$C:$C,Vitezistii!E$1))+SUMIFS(Data!$S:$S,Data!$A:$A,Vitezistii!$B15,Data!$C:$C,Vitezistii!E$1),0)</f>
        <v>1</v>
      </c>
      <c r="F15" s="37">
        <f>IFERROR(IF(SUMIFS(Data!$K:$K,Data!$A:$A,Vitezistii!$B15,Data!$C:$C,Vitezistii!F$1)=0," ",SUMIFS(Data!$K:$K,Data!$A:$A,Vitezistii!$B15,Data!$C:$C,Vitezistii!F$1))+SUMIFS(Data!$S:$S,Data!$A:$A,Vitezistii!$B15,Data!$C:$C,Vitezistii!F$1),0)</f>
        <v>2.5</v>
      </c>
      <c r="G15" s="37">
        <f>IFERROR(IF(SUMIFS(Data!$K:$K,Data!$A:$A,Vitezistii!$B15,Data!$C:$C,Vitezistii!G$1)=0," ",SUMIFS(Data!$K:$K,Data!$A:$A,Vitezistii!$B15,Data!$C:$C,Vitezistii!G$1))+SUMIFS(Data!$S:$S,Data!$A:$A,Vitezistii!$B15,Data!$C:$C,Vitezistii!G$1),0)</f>
        <v>1</v>
      </c>
      <c r="H15" s="37">
        <f>IFERROR(IF(SUMIFS(Data!$K:$K,Data!$A:$A,Vitezistii!$B15,Data!$C:$C,Vitezistii!H$1)=0," ",SUMIFS(Data!$K:$K,Data!$A:$A,Vitezistii!$B15,Data!$C:$C,Vitezistii!H$1))+SUMIFS(Data!$S:$S,Data!$A:$A,Vitezistii!$B15,Data!$C:$C,Vitezistii!H$1),0)</f>
        <v>3</v>
      </c>
      <c r="I15" s="37">
        <f>IFERROR(IF(SUMIFS(Data!$K:$K,Data!$A:$A,Vitezistii!$B15,Data!$C:$C,Vitezistii!I$1)=0," ",SUMIFS(Data!$K:$K,Data!$A:$A,Vitezistii!$B15,Data!$C:$C,Vitezistii!I$1))+SUMIFS(Data!$S:$S,Data!$A:$A,Vitezistii!$B15,Data!$C:$C,Vitezistii!I$1),0)</f>
        <v>1.5</v>
      </c>
      <c r="J15" s="37">
        <f>IFERROR(IF(SUMIFS(Data!$K:$K,Data!$A:$A,Vitezistii!$B15,Data!$C:$C,Vitezistii!J$1)=0," ",SUMIFS(Data!$K:$K,Data!$A:$A,Vitezistii!$B15,Data!$C:$C,Vitezistii!J$1))+SUMIFS(Data!$S:$S,Data!$A:$A,Vitezistii!$B15,Data!$C:$C,Vitezistii!J$1),0)</f>
        <v>1.5</v>
      </c>
      <c r="K15" s="37">
        <f>IFERROR(IF(SUMIFS(Data!$K:$K,Data!$A:$A,Vitezistii!$B15,Data!$C:$C,Vitezistii!K$1)=0," ",SUMIFS(Data!$K:$K,Data!$A:$A,Vitezistii!$B15,Data!$C:$C,Vitezistii!K$1))+SUMIFS(Data!$S:$S,Data!$A:$A,Vitezistii!$B15,Data!$C:$C,Vitezistii!K$1),0)</f>
        <v>3</v>
      </c>
      <c r="L15" s="37">
        <f>IFERROR(IF(SUMIFS(Data!$K:$K,Data!$A:$A,Vitezistii!$B15,Data!$C:$C,Vitezistii!L$1)=0," ",SUMIFS(Data!$K:$K,Data!$A:$A,Vitezistii!$B15,Data!$C:$C,Vitezistii!L$1))+SUMIFS(Data!$S:$S,Data!$A:$A,Vitezistii!$B15,Data!$C:$C,Vitezistii!L$1),0)</f>
        <v>2.5</v>
      </c>
      <c r="M15" s="37">
        <f>IFERROR(IF(SUMIFS(Data!$K:$K,Data!$A:$A,Vitezistii!$B15,Data!$C:$C,Vitezistii!M$1)=0," ",SUMIFS(Data!$K:$K,Data!$A:$A,Vitezistii!$B15,Data!$C:$C,Vitezistii!M$1))+SUMIFS(Data!$S:$S,Data!$A:$A,Vitezistii!$B15,Data!$C:$C,Vitezistii!M$1),0)</f>
        <v>1.5</v>
      </c>
      <c r="N15" s="37">
        <f>IFERROR(IF(SUMIFS(Data!$K:$K,Data!$A:$A,Vitezistii!$B15,Data!$C:$C,Vitezistii!N$1)=0," ",SUMIFS(Data!$K:$K,Data!$A:$A,Vitezistii!$B15,Data!$C:$C,Vitezistii!N$1))+SUMIFS(Data!$S:$S,Data!$A:$A,Vitezistii!$B15,Data!$C:$C,Vitezistii!N$1),0)</f>
        <v>0</v>
      </c>
      <c r="O15" s="37">
        <f>IFERROR(IF(SUMIFS(Data!$K:$K,Data!$A:$A,Vitezistii!$B15,Data!$C:$C,Vitezistii!O$1)=0," ",SUMIFS(Data!$K:$K,Data!$A:$A,Vitezistii!$B15,Data!$C:$C,Vitezistii!O$1))+SUMIFS(Data!$S:$S,Data!$A:$A,Vitezistii!$B15,Data!$C:$C,Vitezistii!O$1),0)</f>
        <v>1</v>
      </c>
      <c r="P15" s="37">
        <f>IFERROR(IF(SUMIFS(Data!$K:$K,Data!$A:$A,Vitezistii!$B15,Data!$C:$C,Vitezistii!P$1)=0," ",SUMIFS(Data!$K:$K,Data!$A:$A,Vitezistii!$B15,Data!$C:$C,Vitezistii!P$1))+SUMIFS(Data!$S:$S,Data!$A:$A,Vitezistii!$B15,Data!$C:$C,Vitezistii!P$1),0)</f>
        <v>1</v>
      </c>
      <c r="Q15" s="37">
        <f>IFERROR(IF(SUMIFS(Data!$K:$K,Data!$A:$A,Vitezistii!$B15,Data!$C:$C,Vitezistii!Q$1)=0," ",SUMIFS(Data!$K:$K,Data!$A:$A,Vitezistii!$B15,Data!$C:$C,Vitezistii!Q$1))+SUMIFS(Data!$S:$S,Data!$A:$A,Vitezistii!$B15,Data!$C:$C,Vitezistii!Q$1),0)</f>
        <v>0</v>
      </c>
      <c r="R15" s="37">
        <f t="shared" si="0"/>
        <v>24.5</v>
      </c>
      <c r="S15" s="37">
        <f>SUMIFS(Data!D:D,Data!A:A,Vitezistii!B15)</f>
        <v>98.32</v>
      </c>
      <c r="T15" s="13">
        <f>SUMIFS(Data!I:I,Data!A:A,Vitezistii!B15)/COUNTIF(Data!A:A,Vitezistii!B15)</f>
        <v>3.9964490356658756E-3</v>
      </c>
    </row>
    <row r="16" spans="1:20" ht="13.8" x14ac:dyDescent="0.3">
      <c r="A16" s="103">
        <v>15</v>
      </c>
      <c r="B16" s="36" t="s">
        <v>142</v>
      </c>
      <c r="C16" s="37">
        <f>IFERROR(IF(SUMIFS(Data!$K:$K,Data!$A:$A,Vitezistii!$B16,Data!$C:$C,Vitezistii!C$1)=0," ",SUMIFS(Data!$K:$K,Data!$A:$A,Vitezistii!$B16,Data!$C:$C,Vitezistii!C$1))+SUMIFS(Data!$S:$S,Data!$A:$A,Vitezistii!$B16,Data!$C:$C,Vitezistii!C$1),0)</f>
        <v>3</v>
      </c>
      <c r="D16" s="37">
        <f>IFERROR(IF(SUMIFS(Data!$K:$K,Data!$A:$A,Vitezistii!$B16,Data!$C:$C,Vitezistii!D$1)=0," ",SUMIFS(Data!$K:$K,Data!$A:$A,Vitezistii!$B16,Data!$C:$C,Vitezistii!D$1))+SUMIFS(Data!$S:$S,Data!$A:$A,Vitezistii!$B16,Data!$C:$C,Vitezistii!D$1),0)</f>
        <v>2</v>
      </c>
      <c r="E16" s="37">
        <f>IFERROR(IF(SUMIFS(Data!$K:$K,Data!$A:$A,Vitezistii!$B16,Data!$C:$C,Vitezistii!E$1)=0," ",SUMIFS(Data!$K:$K,Data!$A:$A,Vitezistii!$B16,Data!$C:$C,Vitezistii!E$1))+SUMIFS(Data!$S:$S,Data!$A:$A,Vitezistii!$B16,Data!$C:$C,Vitezistii!E$1),0)</f>
        <v>1</v>
      </c>
      <c r="F16" s="37">
        <f>IFERROR(IF(SUMIFS(Data!$K:$K,Data!$A:$A,Vitezistii!$B16,Data!$C:$C,Vitezistii!F$1)=0," ",SUMIFS(Data!$K:$K,Data!$A:$A,Vitezistii!$B16,Data!$C:$C,Vitezistii!F$1))+SUMIFS(Data!$S:$S,Data!$A:$A,Vitezistii!$B16,Data!$C:$C,Vitezistii!F$1),0)</f>
        <v>0</v>
      </c>
      <c r="G16" s="37">
        <f>IFERROR(IF(SUMIFS(Data!$K:$K,Data!$A:$A,Vitezistii!$B16,Data!$C:$C,Vitezistii!G$1)=0," ",SUMIFS(Data!$K:$K,Data!$A:$A,Vitezistii!$B16,Data!$C:$C,Vitezistii!G$1))+SUMIFS(Data!$S:$S,Data!$A:$A,Vitezistii!$B16,Data!$C:$C,Vitezistii!G$1),0)</f>
        <v>3.5</v>
      </c>
      <c r="H16" s="37">
        <f>IFERROR(IF(SUMIFS(Data!$K:$K,Data!$A:$A,Vitezistii!$B16,Data!$C:$C,Vitezistii!H$1)=0," ",SUMIFS(Data!$K:$K,Data!$A:$A,Vitezistii!$B16,Data!$C:$C,Vitezistii!H$1))+SUMIFS(Data!$S:$S,Data!$A:$A,Vitezistii!$B16,Data!$C:$C,Vitezistii!H$1),0)</f>
        <v>3</v>
      </c>
      <c r="I16" s="37">
        <f>IFERROR(IF(SUMIFS(Data!$K:$K,Data!$A:$A,Vitezistii!$B16,Data!$C:$C,Vitezistii!I$1)=0," ",SUMIFS(Data!$K:$K,Data!$A:$A,Vitezistii!$B16,Data!$C:$C,Vitezistii!I$1))+SUMIFS(Data!$S:$S,Data!$A:$A,Vitezistii!$B16,Data!$C:$C,Vitezistii!I$1),0)</f>
        <v>1.5</v>
      </c>
      <c r="J16" s="37">
        <f>IFERROR(IF(SUMIFS(Data!$K:$K,Data!$A:$A,Vitezistii!$B16,Data!$C:$C,Vitezistii!J$1)=0," ",SUMIFS(Data!$K:$K,Data!$A:$A,Vitezistii!$B16,Data!$C:$C,Vitezistii!J$1))+SUMIFS(Data!$S:$S,Data!$A:$A,Vitezistii!$B16,Data!$C:$C,Vitezistii!J$1),0)</f>
        <v>1</v>
      </c>
      <c r="K16" s="37">
        <f>IFERROR(IF(SUMIFS(Data!$K:$K,Data!$A:$A,Vitezistii!$B16,Data!$C:$C,Vitezistii!K$1)=0," ",SUMIFS(Data!$K:$K,Data!$A:$A,Vitezistii!$B16,Data!$C:$C,Vitezistii!K$1))+SUMIFS(Data!$S:$S,Data!$A:$A,Vitezistii!$B16,Data!$C:$C,Vitezistii!K$1),0)</f>
        <v>3</v>
      </c>
      <c r="L16" s="37">
        <f>IFERROR(IF(SUMIFS(Data!$K:$K,Data!$A:$A,Vitezistii!$B16,Data!$C:$C,Vitezistii!L$1)=0," ",SUMIFS(Data!$K:$K,Data!$A:$A,Vitezistii!$B16,Data!$C:$C,Vitezistii!L$1))+SUMIFS(Data!$S:$S,Data!$A:$A,Vitezistii!$B16,Data!$C:$C,Vitezistii!L$1),0)</f>
        <v>1</v>
      </c>
      <c r="M16" s="37">
        <f>IFERROR(IF(SUMIFS(Data!$K:$K,Data!$A:$A,Vitezistii!$B16,Data!$C:$C,Vitezistii!M$1)=0," ",SUMIFS(Data!$K:$K,Data!$A:$A,Vitezistii!$B16,Data!$C:$C,Vitezistii!M$1))+SUMIFS(Data!$S:$S,Data!$A:$A,Vitezistii!$B16,Data!$C:$C,Vitezistii!M$1),0)</f>
        <v>3.5</v>
      </c>
      <c r="N16" s="37">
        <f>IFERROR(IF(SUMIFS(Data!$K:$K,Data!$A:$A,Vitezistii!$B16,Data!$C:$C,Vitezistii!N$1)=0," ",SUMIFS(Data!$K:$K,Data!$A:$A,Vitezistii!$B16,Data!$C:$C,Vitezistii!N$1))+SUMIFS(Data!$S:$S,Data!$A:$A,Vitezistii!$B16,Data!$C:$C,Vitezistii!N$1),0)</f>
        <v>0</v>
      </c>
      <c r="O16" s="37">
        <f>IFERROR(IF(SUMIFS(Data!$K:$K,Data!$A:$A,Vitezistii!$B16,Data!$C:$C,Vitezistii!O$1)=0," ",SUMIFS(Data!$K:$K,Data!$A:$A,Vitezistii!$B16,Data!$C:$C,Vitezistii!O$1))+SUMIFS(Data!$S:$S,Data!$A:$A,Vitezistii!$B16,Data!$C:$C,Vitezistii!O$1),0)</f>
        <v>0</v>
      </c>
      <c r="P16" s="37">
        <f>IFERROR(IF(SUMIFS(Data!$K:$K,Data!$A:$A,Vitezistii!$B16,Data!$C:$C,Vitezistii!P$1)=0," ",SUMIFS(Data!$K:$K,Data!$A:$A,Vitezistii!$B16,Data!$C:$C,Vitezistii!P$1))+SUMIFS(Data!$S:$S,Data!$A:$A,Vitezistii!$B16,Data!$C:$C,Vitezistii!P$1),0)</f>
        <v>1</v>
      </c>
      <c r="Q16" s="37">
        <f>IFERROR(IF(SUMIFS(Data!$K:$K,Data!$A:$A,Vitezistii!$B16,Data!$C:$C,Vitezistii!Q$1)=0," ",SUMIFS(Data!$K:$K,Data!$A:$A,Vitezistii!$B16,Data!$C:$C,Vitezistii!Q$1))+SUMIFS(Data!$S:$S,Data!$A:$A,Vitezistii!$B16,Data!$C:$C,Vitezistii!Q$1),0)</f>
        <v>0</v>
      </c>
      <c r="R16" s="37">
        <f t="shared" si="0"/>
        <v>23.5</v>
      </c>
      <c r="S16" s="37">
        <f>SUMIFS(Data!D:D,Data!A:A,Vitezistii!B16)</f>
        <v>115.11000000000001</v>
      </c>
      <c r="T16" s="13">
        <f>SUMIFS(Data!I:I,Data!A:A,Vitezistii!B16)/COUNTIF(Data!A:A,Vitezistii!B16)</f>
        <v>4.5408924433147551E-3</v>
      </c>
    </row>
    <row r="17" spans="1:20" ht="13.8" x14ac:dyDescent="0.3">
      <c r="A17" s="103">
        <v>16</v>
      </c>
      <c r="B17" s="36" t="s">
        <v>50</v>
      </c>
      <c r="C17" s="37">
        <f>IFERROR(IF(SUMIFS(Data!$K:$K,Data!$A:$A,Vitezistii!$B17,Data!$C:$C,Vitezistii!C$1)=0," ",SUMIFS(Data!$K:$K,Data!$A:$A,Vitezistii!$B17,Data!$C:$C,Vitezistii!C$1))+SUMIFS(Data!$S:$S,Data!$A:$A,Vitezistii!$B17,Data!$C:$C,Vitezistii!C$1),0)</f>
        <v>0</v>
      </c>
      <c r="D17" s="37">
        <f>IFERROR(IF(SUMIFS(Data!$K:$K,Data!$A:$A,Vitezistii!$B17,Data!$C:$C,Vitezistii!D$1)=0," ",SUMIFS(Data!$K:$K,Data!$A:$A,Vitezistii!$B17,Data!$C:$C,Vitezistii!D$1))+SUMIFS(Data!$S:$S,Data!$A:$A,Vitezistii!$B17,Data!$C:$C,Vitezistii!D$1),0)</f>
        <v>3</v>
      </c>
      <c r="E17" s="37">
        <f>IFERROR(IF(SUMIFS(Data!$K:$K,Data!$A:$A,Vitezistii!$B17,Data!$C:$C,Vitezistii!E$1)=0," ",SUMIFS(Data!$K:$K,Data!$A:$A,Vitezistii!$B17,Data!$C:$C,Vitezistii!E$1))+SUMIFS(Data!$S:$S,Data!$A:$A,Vitezistii!$B17,Data!$C:$C,Vitezistii!E$1),0)</f>
        <v>1.5</v>
      </c>
      <c r="F17" s="37">
        <f>IFERROR(IF(SUMIFS(Data!$K:$K,Data!$A:$A,Vitezistii!$B17,Data!$C:$C,Vitezistii!F$1)=0," ",SUMIFS(Data!$K:$K,Data!$A:$A,Vitezistii!$B17,Data!$C:$C,Vitezistii!F$1))+SUMIFS(Data!$S:$S,Data!$A:$A,Vitezistii!$B17,Data!$C:$C,Vitezistii!F$1),0)</f>
        <v>0</v>
      </c>
      <c r="G17" s="37">
        <f>IFERROR(IF(SUMIFS(Data!$K:$K,Data!$A:$A,Vitezistii!$B17,Data!$C:$C,Vitezistii!G$1)=0," ",SUMIFS(Data!$K:$K,Data!$A:$A,Vitezistii!$B17,Data!$C:$C,Vitezistii!G$1))+SUMIFS(Data!$S:$S,Data!$A:$A,Vitezistii!$B17,Data!$C:$C,Vitezistii!G$1),0)</f>
        <v>0</v>
      </c>
      <c r="H17" s="37">
        <f>IFERROR(IF(SUMIFS(Data!$K:$K,Data!$A:$A,Vitezistii!$B17,Data!$C:$C,Vitezistii!H$1)=0," ",SUMIFS(Data!$K:$K,Data!$A:$A,Vitezistii!$B17,Data!$C:$C,Vitezistii!H$1))+SUMIFS(Data!$S:$S,Data!$A:$A,Vitezistii!$B17,Data!$C:$C,Vitezistii!H$1),0)</f>
        <v>3.5</v>
      </c>
      <c r="I17" s="37">
        <f>IFERROR(IF(SUMIFS(Data!$K:$K,Data!$A:$A,Vitezistii!$B17,Data!$C:$C,Vitezistii!I$1)=0," ",SUMIFS(Data!$K:$K,Data!$A:$A,Vitezistii!$B17,Data!$C:$C,Vitezistii!I$1))+SUMIFS(Data!$S:$S,Data!$A:$A,Vitezistii!$B17,Data!$C:$C,Vitezistii!I$1),0)</f>
        <v>0</v>
      </c>
      <c r="J17" s="37">
        <f>IFERROR(IF(SUMIFS(Data!$K:$K,Data!$A:$A,Vitezistii!$B17,Data!$C:$C,Vitezistii!J$1)=0," ",SUMIFS(Data!$K:$K,Data!$A:$A,Vitezistii!$B17,Data!$C:$C,Vitezistii!J$1))+SUMIFS(Data!$S:$S,Data!$A:$A,Vitezistii!$B17,Data!$C:$C,Vitezistii!J$1),0)</f>
        <v>0</v>
      </c>
      <c r="K17" s="37">
        <f>IFERROR(IF(SUMIFS(Data!$K:$K,Data!$A:$A,Vitezistii!$B17,Data!$C:$C,Vitezistii!K$1)=0," ",SUMIFS(Data!$K:$K,Data!$A:$A,Vitezistii!$B17,Data!$C:$C,Vitezistii!K$1))+SUMIFS(Data!$S:$S,Data!$A:$A,Vitezistii!$B17,Data!$C:$C,Vitezistii!K$1),0)</f>
        <v>0</v>
      </c>
      <c r="L17" s="37">
        <f>IFERROR(IF(SUMIFS(Data!$K:$K,Data!$A:$A,Vitezistii!$B17,Data!$C:$C,Vitezistii!L$1)=0," ",SUMIFS(Data!$K:$K,Data!$A:$A,Vitezistii!$B17,Data!$C:$C,Vitezistii!L$1))+SUMIFS(Data!$S:$S,Data!$A:$A,Vitezistii!$B17,Data!$C:$C,Vitezistii!L$1),0)</f>
        <v>0</v>
      </c>
      <c r="M17" s="37">
        <f>IFERROR(IF(SUMIFS(Data!$K:$K,Data!$A:$A,Vitezistii!$B17,Data!$C:$C,Vitezistii!M$1)=0," ",SUMIFS(Data!$K:$K,Data!$A:$A,Vitezistii!$B17,Data!$C:$C,Vitezistii!M$1))+SUMIFS(Data!$S:$S,Data!$A:$A,Vitezistii!$B17,Data!$C:$C,Vitezistii!M$1),0)</f>
        <v>0</v>
      </c>
      <c r="N17" s="37">
        <f>IFERROR(IF(SUMIFS(Data!$K:$K,Data!$A:$A,Vitezistii!$B17,Data!$C:$C,Vitezistii!N$1)=0," ",SUMIFS(Data!$K:$K,Data!$A:$A,Vitezistii!$B17,Data!$C:$C,Vitezistii!N$1))+SUMIFS(Data!$S:$S,Data!$A:$A,Vitezistii!$B17,Data!$C:$C,Vitezistii!N$1),0)</f>
        <v>2</v>
      </c>
      <c r="O17" s="37">
        <f>IFERROR(IF(SUMIFS(Data!$K:$K,Data!$A:$A,Vitezistii!$B17,Data!$C:$C,Vitezistii!O$1)=0," ",SUMIFS(Data!$K:$K,Data!$A:$A,Vitezistii!$B17,Data!$C:$C,Vitezistii!O$1))+SUMIFS(Data!$S:$S,Data!$A:$A,Vitezistii!$B17,Data!$C:$C,Vitezistii!O$1),0)</f>
        <v>5.15</v>
      </c>
      <c r="P17" s="37">
        <f>IFERROR(IF(SUMIFS(Data!$K:$K,Data!$A:$A,Vitezistii!$B17,Data!$C:$C,Vitezistii!P$1)=0," ",SUMIFS(Data!$K:$K,Data!$A:$A,Vitezistii!$B17,Data!$C:$C,Vitezistii!P$1))+SUMIFS(Data!$S:$S,Data!$A:$A,Vitezistii!$B17,Data!$C:$C,Vitezistii!P$1),0)</f>
        <v>4.5</v>
      </c>
      <c r="Q17" s="37">
        <f>IFERROR(IF(SUMIFS(Data!$K:$K,Data!$A:$A,Vitezistii!$B17,Data!$C:$C,Vitezistii!Q$1)=0," ",SUMIFS(Data!$K:$K,Data!$A:$A,Vitezistii!$B17,Data!$C:$C,Vitezistii!Q$1))+SUMIFS(Data!$S:$S,Data!$A:$A,Vitezistii!$B17,Data!$C:$C,Vitezistii!Q$1),0)</f>
        <v>3.5</v>
      </c>
      <c r="R17" s="37">
        <f t="shared" si="0"/>
        <v>23.15</v>
      </c>
      <c r="S17" s="37">
        <f>SUMIFS(Data!D:D,Data!A:A,Vitezistii!B17)</f>
        <v>408.70000000000005</v>
      </c>
      <c r="T17" s="13">
        <f>SUMIFS(Data!I:I,Data!A:A,Vitezistii!B17)/COUNTIF(Data!A:A,Vitezistii!B17)</f>
        <v>4.7244082608771526E-3</v>
      </c>
    </row>
    <row r="18" spans="1:20" ht="13.8" x14ac:dyDescent="0.3">
      <c r="A18" s="103">
        <v>17</v>
      </c>
      <c r="B18" s="36" t="s">
        <v>138</v>
      </c>
      <c r="C18" s="37">
        <f>IFERROR(IF(SUMIFS(Data!$K:$K,Data!$A:$A,Vitezistii!$B18,Data!$C:$C,Vitezistii!C$1)=0," ",SUMIFS(Data!$K:$K,Data!$A:$A,Vitezistii!$B18,Data!$C:$C,Vitezistii!C$1))+SUMIFS(Data!$S:$S,Data!$A:$A,Vitezistii!$B18,Data!$C:$C,Vitezistii!C$1),0)</f>
        <v>1.5</v>
      </c>
      <c r="D18" s="37">
        <f>IFERROR(IF(SUMIFS(Data!$K:$K,Data!$A:$A,Vitezistii!$B18,Data!$C:$C,Vitezistii!D$1)=0," ",SUMIFS(Data!$K:$K,Data!$A:$A,Vitezistii!$B18,Data!$C:$C,Vitezistii!D$1))+SUMIFS(Data!$S:$S,Data!$A:$A,Vitezistii!$B18,Data!$C:$C,Vitezistii!D$1),0)</f>
        <v>0</v>
      </c>
      <c r="E18" s="37">
        <f>IFERROR(IF(SUMIFS(Data!$K:$K,Data!$A:$A,Vitezistii!$B18,Data!$C:$C,Vitezistii!E$1)=0," ",SUMIFS(Data!$K:$K,Data!$A:$A,Vitezistii!$B18,Data!$C:$C,Vitezistii!E$1))+SUMIFS(Data!$S:$S,Data!$A:$A,Vitezistii!$B18,Data!$C:$C,Vitezistii!E$1),0)</f>
        <v>2.5</v>
      </c>
      <c r="F18" s="37">
        <f>IFERROR(IF(SUMIFS(Data!$K:$K,Data!$A:$A,Vitezistii!$B18,Data!$C:$C,Vitezistii!F$1)=0," ",SUMIFS(Data!$K:$K,Data!$A:$A,Vitezistii!$B18,Data!$C:$C,Vitezistii!F$1))+SUMIFS(Data!$S:$S,Data!$A:$A,Vitezistii!$B18,Data!$C:$C,Vitezistii!F$1),0)</f>
        <v>1.5</v>
      </c>
      <c r="G18" s="37">
        <f>IFERROR(IF(SUMIFS(Data!$K:$K,Data!$A:$A,Vitezistii!$B18,Data!$C:$C,Vitezistii!G$1)=0," ",SUMIFS(Data!$K:$K,Data!$A:$A,Vitezistii!$B18,Data!$C:$C,Vitezistii!G$1))+SUMIFS(Data!$S:$S,Data!$A:$A,Vitezistii!$B18,Data!$C:$C,Vitezistii!G$1),0)</f>
        <v>0</v>
      </c>
      <c r="H18" s="37">
        <f>IFERROR(IF(SUMIFS(Data!$K:$K,Data!$A:$A,Vitezistii!$B18,Data!$C:$C,Vitezistii!H$1)=0," ",SUMIFS(Data!$K:$K,Data!$A:$A,Vitezistii!$B18,Data!$C:$C,Vitezistii!H$1))+SUMIFS(Data!$S:$S,Data!$A:$A,Vitezistii!$B18,Data!$C:$C,Vitezistii!H$1),0)</f>
        <v>1.5</v>
      </c>
      <c r="I18" s="37">
        <f>IFERROR(IF(SUMIFS(Data!$K:$K,Data!$A:$A,Vitezistii!$B18,Data!$C:$C,Vitezistii!I$1)=0," ",SUMIFS(Data!$K:$K,Data!$A:$A,Vitezistii!$B18,Data!$C:$C,Vitezistii!I$1))+SUMIFS(Data!$S:$S,Data!$A:$A,Vitezistii!$B18,Data!$C:$C,Vitezistii!I$1),0)</f>
        <v>1.5</v>
      </c>
      <c r="J18" s="37">
        <f>IFERROR(IF(SUMIFS(Data!$K:$K,Data!$A:$A,Vitezistii!$B18,Data!$C:$C,Vitezistii!J$1)=0," ",SUMIFS(Data!$K:$K,Data!$A:$A,Vitezistii!$B18,Data!$C:$C,Vitezistii!J$1))+SUMIFS(Data!$S:$S,Data!$A:$A,Vitezistii!$B18,Data!$C:$C,Vitezistii!J$1),0)</f>
        <v>1.5</v>
      </c>
      <c r="K18" s="37">
        <f>IFERROR(IF(SUMIFS(Data!$K:$K,Data!$A:$A,Vitezistii!$B18,Data!$C:$C,Vitezistii!K$1)=0," ",SUMIFS(Data!$K:$K,Data!$A:$A,Vitezistii!$B18,Data!$C:$C,Vitezistii!K$1))+SUMIFS(Data!$S:$S,Data!$A:$A,Vitezistii!$B18,Data!$C:$C,Vitezistii!K$1),0)</f>
        <v>2</v>
      </c>
      <c r="L18" s="37">
        <f>IFERROR(IF(SUMIFS(Data!$K:$K,Data!$A:$A,Vitezistii!$B18,Data!$C:$C,Vitezistii!L$1)=0," ",SUMIFS(Data!$K:$K,Data!$A:$A,Vitezistii!$B18,Data!$C:$C,Vitezistii!L$1))+SUMIFS(Data!$S:$S,Data!$A:$A,Vitezistii!$B18,Data!$C:$C,Vitezistii!L$1),0)</f>
        <v>2.5</v>
      </c>
      <c r="M18" s="37">
        <f>IFERROR(IF(SUMIFS(Data!$K:$K,Data!$A:$A,Vitezistii!$B18,Data!$C:$C,Vitezistii!M$1)=0," ",SUMIFS(Data!$K:$K,Data!$A:$A,Vitezistii!$B18,Data!$C:$C,Vitezistii!M$1))+SUMIFS(Data!$S:$S,Data!$A:$A,Vitezistii!$B18,Data!$C:$C,Vitezistii!M$1),0)</f>
        <v>1.5</v>
      </c>
      <c r="N18" s="37">
        <f>IFERROR(IF(SUMIFS(Data!$K:$K,Data!$A:$A,Vitezistii!$B18,Data!$C:$C,Vitezistii!N$1)=0," ",SUMIFS(Data!$K:$K,Data!$A:$A,Vitezistii!$B18,Data!$C:$C,Vitezistii!N$1))+SUMIFS(Data!$S:$S,Data!$A:$A,Vitezistii!$B18,Data!$C:$C,Vitezistii!N$1),0)</f>
        <v>1.5</v>
      </c>
      <c r="O18" s="37">
        <f>IFERROR(IF(SUMIFS(Data!$K:$K,Data!$A:$A,Vitezistii!$B18,Data!$C:$C,Vitezistii!O$1)=0," ",SUMIFS(Data!$K:$K,Data!$A:$A,Vitezistii!$B18,Data!$C:$C,Vitezistii!O$1))+SUMIFS(Data!$S:$S,Data!$A:$A,Vitezistii!$B18,Data!$C:$C,Vitezistii!O$1),0)</f>
        <v>1</v>
      </c>
      <c r="P18" s="37">
        <f>IFERROR(IF(SUMIFS(Data!$K:$K,Data!$A:$A,Vitezistii!$B18,Data!$C:$C,Vitezistii!P$1)=0," ",SUMIFS(Data!$K:$K,Data!$A:$A,Vitezistii!$B18,Data!$C:$C,Vitezistii!P$1))+SUMIFS(Data!$S:$S,Data!$A:$A,Vitezistii!$B18,Data!$C:$C,Vitezistii!P$1),0)</f>
        <v>2.5</v>
      </c>
      <c r="Q18" s="37">
        <f>IFERROR(IF(SUMIFS(Data!$K:$K,Data!$A:$A,Vitezistii!$B18,Data!$C:$C,Vitezistii!Q$1)=0," ",SUMIFS(Data!$K:$K,Data!$A:$A,Vitezistii!$B18,Data!$C:$C,Vitezistii!Q$1))+SUMIFS(Data!$S:$S,Data!$A:$A,Vitezistii!$B18,Data!$C:$C,Vitezistii!Q$1),0)</f>
        <v>2</v>
      </c>
      <c r="R18" s="37">
        <f t="shared" si="0"/>
        <v>23</v>
      </c>
      <c r="S18" s="37">
        <f>SUMIFS(Data!D:D,Data!A:A,Vitezistii!B18)</f>
        <v>92.42</v>
      </c>
      <c r="T18" s="13">
        <f>SUMIFS(Data!I:I,Data!A:A,Vitezistii!B18)/COUNTIF(Data!A:A,Vitezistii!B18)</f>
        <v>3.9493324088741488E-3</v>
      </c>
    </row>
    <row r="19" spans="1:20" ht="13.8" x14ac:dyDescent="0.3">
      <c r="A19" s="103">
        <v>18</v>
      </c>
      <c r="B19" s="36" t="s">
        <v>185</v>
      </c>
      <c r="C19" s="37">
        <f>IFERROR(IF(SUMIFS(Data!$K:$K,Data!$A:$A,Vitezistii!$B19,Data!$C:$C,Vitezistii!C$1)=0," ",SUMIFS(Data!$K:$K,Data!$A:$A,Vitezistii!$B19,Data!$C:$C,Vitezistii!C$1))+SUMIFS(Data!$S:$S,Data!$A:$A,Vitezistii!$B19,Data!$C:$C,Vitezistii!C$1),0)</f>
        <v>1.5</v>
      </c>
      <c r="D19" s="37">
        <f>IFERROR(IF(SUMIFS(Data!$K:$K,Data!$A:$A,Vitezistii!$B19,Data!$C:$C,Vitezistii!D$1)=0," ",SUMIFS(Data!$K:$K,Data!$A:$A,Vitezistii!$B19,Data!$C:$C,Vitezistii!D$1))+SUMIFS(Data!$S:$S,Data!$A:$A,Vitezistii!$B19,Data!$C:$C,Vitezistii!D$1),0)</f>
        <v>1</v>
      </c>
      <c r="E19" s="37">
        <f>IFERROR(IF(SUMIFS(Data!$K:$K,Data!$A:$A,Vitezistii!$B19,Data!$C:$C,Vitezistii!E$1)=0," ",SUMIFS(Data!$K:$K,Data!$A:$A,Vitezistii!$B19,Data!$C:$C,Vitezistii!E$1))+SUMIFS(Data!$S:$S,Data!$A:$A,Vitezistii!$B19,Data!$C:$C,Vitezistii!E$1),0)</f>
        <v>1</v>
      </c>
      <c r="F19" s="37">
        <f>IFERROR(IF(SUMIFS(Data!$K:$K,Data!$A:$A,Vitezistii!$B19,Data!$C:$C,Vitezistii!F$1)=0," ",SUMIFS(Data!$K:$K,Data!$A:$A,Vitezistii!$B19,Data!$C:$C,Vitezistii!F$1))+SUMIFS(Data!$S:$S,Data!$A:$A,Vitezistii!$B19,Data!$C:$C,Vitezistii!F$1),0)</f>
        <v>2.5</v>
      </c>
      <c r="G19" s="37">
        <f>IFERROR(IF(SUMIFS(Data!$K:$K,Data!$A:$A,Vitezistii!$B19,Data!$C:$C,Vitezistii!G$1)=0," ",SUMIFS(Data!$K:$K,Data!$A:$A,Vitezistii!$B19,Data!$C:$C,Vitezistii!G$1))+SUMIFS(Data!$S:$S,Data!$A:$A,Vitezistii!$B19,Data!$C:$C,Vitezistii!G$1),0)</f>
        <v>1</v>
      </c>
      <c r="H19" s="37">
        <f>IFERROR(IF(SUMIFS(Data!$K:$K,Data!$A:$A,Vitezistii!$B19,Data!$C:$C,Vitezistii!H$1)=0," ",SUMIFS(Data!$K:$K,Data!$A:$A,Vitezistii!$B19,Data!$C:$C,Vitezistii!H$1))+SUMIFS(Data!$S:$S,Data!$A:$A,Vitezistii!$B19,Data!$C:$C,Vitezistii!H$1),0)</f>
        <v>1.5</v>
      </c>
      <c r="I19" s="37">
        <f>IFERROR(IF(SUMIFS(Data!$K:$K,Data!$A:$A,Vitezistii!$B19,Data!$C:$C,Vitezistii!I$1)=0," ",SUMIFS(Data!$K:$K,Data!$A:$A,Vitezistii!$B19,Data!$C:$C,Vitezistii!I$1))+SUMIFS(Data!$S:$S,Data!$A:$A,Vitezistii!$B19,Data!$C:$C,Vitezistii!I$1),0)</f>
        <v>2</v>
      </c>
      <c r="J19" s="37">
        <f>IFERROR(IF(SUMIFS(Data!$K:$K,Data!$A:$A,Vitezistii!$B19,Data!$C:$C,Vitezistii!J$1)=0," ",SUMIFS(Data!$K:$K,Data!$A:$A,Vitezistii!$B19,Data!$C:$C,Vitezistii!J$1))+SUMIFS(Data!$S:$S,Data!$A:$A,Vitezistii!$B19,Data!$C:$C,Vitezistii!J$1),0)</f>
        <v>1</v>
      </c>
      <c r="K19" s="37">
        <f>IFERROR(IF(SUMIFS(Data!$K:$K,Data!$A:$A,Vitezistii!$B19,Data!$C:$C,Vitezistii!K$1)=0," ",SUMIFS(Data!$K:$K,Data!$A:$A,Vitezistii!$B19,Data!$C:$C,Vitezistii!K$1))+SUMIFS(Data!$S:$S,Data!$A:$A,Vitezistii!$B19,Data!$C:$C,Vitezistii!K$1),0)</f>
        <v>1</v>
      </c>
      <c r="L19" s="37">
        <f>IFERROR(IF(SUMIFS(Data!$K:$K,Data!$A:$A,Vitezistii!$B19,Data!$C:$C,Vitezistii!L$1)=0," ",SUMIFS(Data!$K:$K,Data!$A:$A,Vitezistii!$B19,Data!$C:$C,Vitezistii!L$1))+SUMIFS(Data!$S:$S,Data!$A:$A,Vitezistii!$B19,Data!$C:$C,Vitezistii!L$1),0)</f>
        <v>3</v>
      </c>
      <c r="M19" s="37">
        <f>IFERROR(IF(SUMIFS(Data!$K:$K,Data!$A:$A,Vitezistii!$B19,Data!$C:$C,Vitezistii!M$1)=0," ",SUMIFS(Data!$K:$K,Data!$A:$A,Vitezistii!$B19,Data!$C:$C,Vitezistii!M$1))+SUMIFS(Data!$S:$S,Data!$A:$A,Vitezistii!$B19,Data!$C:$C,Vitezistii!M$1),0)</f>
        <v>1.5</v>
      </c>
      <c r="N19" s="37">
        <f>IFERROR(IF(SUMIFS(Data!$K:$K,Data!$A:$A,Vitezistii!$B19,Data!$C:$C,Vitezistii!N$1)=0," ",SUMIFS(Data!$K:$K,Data!$A:$A,Vitezistii!$B19,Data!$C:$C,Vitezistii!N$1))+SUMIFS(Data!$S:$S,Data!$A:$A,Vitezistii!$B19,Data!$C:$C,Vitezistii!N$1),0)</f>
        <v>1.5</v>
      </c>
      <c r="O19" s="37">
        <f>IFERROR(IF(SUMIFS(Data!$K:$K,Data!$A:$A,Vitezistii!$B19,Data!$C:$C,Vitezistii!O$1)=0," ",SUMIFS(Data!$K:$K,Data!$A:$A,Vitezistii!$B19,Data!$C:$C,Vitezistii!O$1))+SUMIFS(Data!$S:$S,Data!$A:$A,Vitezistii!$B19,Data!$C:$C,Vitezistii!O$1),0)</f>
        <v>1.5</v>
      </c>
      <c r="P19" s="37">
        <f>IFERROR(IF(SUMIFS(Data!$K:$K,Data!$A:$A,Vitezistii!$B19,Data!$C:$C,Vitezistii!P$1)=0," ",SUMIFS(Data!$K:$K,Data!$A:$A,Vitezistii!$B19,Data!$C:$C,Vitezistii!P$1))+SUMIFS(Data!$S:$S,Data!$A:$A,Vitezistii!$B19,Data!$C:$C,Vitezistii!P$1),0)</f>
        <v>1</v>
      </c>
      <c r="Q19" s="37">
        <f>IFERROR(IF(SUMIFS(Data!$K:$K,Data!$A:$A,Vitezistii!$B19,Data!$C:$C,Vitezistii!Q$1)=0," ",SUMIFS(Data!$K:$K,Data!$A:$A,Vitezistii!$B19,Data!$C:$C,Vitezistii!Q$1))+SUMIFS(Data!$S:$S,Data!$A:$A,Vitezistii!$B19,Data!$C:$C,Vitezistii!Q$1),0)</f>
        <v>1.5</v>
      </c>
      <c r="R19" s="37">
        <f t="shared" si="0"/>
        <v>22.5</v>
      </c>
      <c r="S19" s="37">
        <f>SUMIFS(Data!D:D,Data!A:A,Vitezistii!B19)</f>
        <v>136.88</v>
      </c>
      <c r="T19" s="13">
        <f>SUMIFS(Data!I:I,Data!A:A,Vitezistii!B19)/COUNTIF(Data!A:A,Vitezistii!B19)</f>
        <v>4.4879083194778171E-3</v>
      </c>
    </row>
    <row r="20" spans="1:20" ht="13.8" x14ac:dyDescent="0.3">
      <c r="A20" s="103">
        <v>19</v>
      </c>
      <c r="B20" s="36" t="s">
        <v>110</v>
      </c>
      <c r="C20" s="37">
        <f>IFERROR(IF(SUMIFS(Data!$K:$K,Data!$A:$A,Vitezistii!$B20,Data!$C:$C,Vitezistii!C$1)=0," ",SUMIFS(Data!$K:$K,Data!$A:$A,Vitezistii!$B20,Data!$C:$C,Vitezistii!C$1))+SUMIFS(Data!$S:$S,Data!$A:$A,Vitezistii!$B20,Data!$C:$C,Vitezistii!C$1),0)</f>
        <v>3</v>
      </c>
      <c r="D20" s="37">
        <f>IFERROR(IF(SUMIFS(Data!$K:$K,Data!$A:$A,Vitezistii!$B20,Data!$C:$C,Vitezistii!D$1)=0," ",SUMIFS(Data!$K:$K,Data!$A:$A,Vitezistii!$B20,Data!$C:$C,Vitezistii!D$1))+SUMIFS(Data!$S:$S,Data!$A:$A,Vitezistii!$B20,Data!$C:$C,Vitezistii!D$1),0)</f>
        <v>1</v>
      </c>
      <c r="E20" s="37">
        <f>IFERROR(IF(SUMIFS(Data!$K:$K,Data!$A:$A,Vitezistii!$B20,Data!$C:$C,Vitezistii!E$1)=0," ",SUMIFS(Data!$K:$K,Data!$A:$A,Vitezistii!$B20,Data!$C:$C,Vitezistii!E$1))+SUMIFS(Data!$S:$S,Data!$A:$A,Vitezistii!$B20,Data!$C:$C,Vitezistii!E$1),0)</f>
        <v>0</v>
      </c>
      <c r="F20" s="37">
        <f>IFERROR(IF(SUMIFS(Data!$K:$K,Data!$A:$A,Vitezistii!$B20,Data!$C:$C,Vitezistii!F$1)=0," ",SUMIFS(Data!$K:$K,Data!$A:$A,Vitezistii!$B20,Data!$C:$C,Vitezistii!F$1))+SUMIFS(Data!$S:$S,Data!$A:$A,Vitezistii!$B20,Data!$C:$C,Vitezistii!F$1),0)</f>
        <v>0</v>
      </c>
      <c r="G20" s="37">
        <f>IFERROR(IF(SUMIFS(Data!$K:$K,Data!$A:$A,Vitezistii!$B20,Data!$C:$C,Vitezistii!G$1)=0," ",SUMIFS(Data!$K:$K,Data!$A:$A,Vitezistii!$B20,Data!$C:$C,Vitezistii!G$1))+SUMIFS(Data!$S:$S,Data!$A:$A,Vitezistii!$B20,Data!$C:$C,Vitezistii!G$1),0)</f>
        <v>0</v>
      </c>
      <c r="H20" s="37">
        <f>IFERROR(IF(SUMIFS(Data!$K:$K,Data!$A:$A,Vitezistii!$B20,Data!$C:$C,Vitezistii!H$1)=0," ",SUMIFS(Data!$K:$K,Data!$A:$A,Vitezistii!$B20,Data!$C:$C,Vitezistii!H$1))+SUMIFS(Data!$S:$S,Data!$A:$A,Vitezistii!$B20,Data!$C:$C,Vitezistii!H$1),0)</f>
        <v>0</v>
      </c>
      <c r="I20" s="37">
        <f>IFERROR(IF(SUMIFS(Data!$K:$K,Data!$A:$A,Vitezistii!$B20,Data!$C:$C,Vitezistii!I$1)=0," ",SUMIFS(Data!$K:$K,Data!$A:$A,Vitezistii!$B20,Data!$C:$C,Vitezistii!I$1))+SUMIFS(Data!$S:$S,Data!$A:$A,Vitezistii!$B20,Data!$C:$C,Vitezistii!I$1),0)</f>
        <v>3.5</v>
      </c>
      <c r="J20" s="37">
        <f>IFERROR(IF(SUMIFS(Data!$K:$K,Data!$A:$A,Vitezistii!$B20,Data!$C:$C,Vitezistii!J$1)=0," ",SUMIFS(Data!$K:$K,Data!$A:$A,Vitezistii!$B20,Data!$C:$C,Vitezistii!J$1))+SUMIFS(Data!$S:$S,Data!$A:$A,Vitezistii!$B20,Data!$C:$C,Vitezistii!J$1),0)</f>
        <v>0</v>
      </c>
      <c r="K20" s="37">
        <f>IFERROR(IF(SUMIFS(Data!$K:$K,Data!$A:$A,Vitezistii!$B20,Data!$C:$C,Vitezistii!K$1)=0," ",SUMIFS(Data!$K:$K,Data!$A:$A,Vitezistii!$B20,Data!$C:$C,Vitezistii!K$1))+SUMIFS(Data!$S:$S,Data!$A:$A,Vitezistii!$B20,Data!$C:$C,Vitezistii!K$1),0)</f>
        <v>1</v>
      </c>
      <c r="L20" s="37">
        <f>IFERROR(IF(SUMIFS(Data!$K:$K,Data!$A:$A,Vitezistii!$B20,Data!$C:$C,Vitezistii!L$1)=0," ",SUMIFS(Data!$K:$K,Data!$A:$A,Vitezistii!$B20,Data!$C:$C,Vitezistii!L$1))+SUMIFS(Data!$S:$S,Data!$A:$A,Vitezistii!$B20,Data!$C:$C,Vitezistii!L$1),0)</f>
        <v>4</v>
      </c>
      <c r="M20" s="37">
        <f>IFERROR(IF(SUMIFS(Data!$K:$K,Data!$A:$A,Vitezistii!$B20,Data!$C:$C,Vitezistii!M$1)=0," ",SUMIFS(Data!$K:$K,Data!$A:$A,Vitezistii!$B20,Data!$C:$C,Vitezistii!M$1))+SUMIFS(Data!$S:$S,Data!$A:$A,Vitezistii!$B20,Data!$C:$C,Vitezistii!M$1),0)</f>
        <v>1</v>
      </c>
      <c r="N20" s="37">
        <f>IFERROR(IF(SUMIFS(Data!$K:$K,Data!$A:$A,Vitezistii!$B20,Data!$C:$C,Vitezistii!N$1)=0," ",SUMIFS(Data!$K:$K,Data!$A:$A,Vitezistii!$B20,Data!$C:$C,Vitezistii!N$1))+SUMIFS(Data!$S:$S,Data!$A:$A,Vitezistii!$B20,Data!$C:$C,Vitezistii!N$1),0)</f>
        <v>3.5</v>
      </c>
      <c r="O20" s="37">
        <f>IFERROR(IF(SUMIFS(Data!$K:$K,Data!$A:$A,Vitezistii!$B20,Data!$C:$C,Vitezistii!O$1)=0," ",SUMIFS(Data!$K:$K,Data!$A:$A,Vitezistii!$B20,Data!$C:$C,Vitezistii!O$1))+SUMIFS(Data!$S:$S,Data!$A:$A,Vitezistii!$B20,Data!$C:$C,Vitezistii!O$1),0)</f>
        <v>1</v>
      </c>
      <c r="P20" s="37">
        <f>IFERROR(IF(SUMIFS(Data!$K:$K,Data!$A:$A,Vitezistii!$B20,Data!$C:$C,Vitezistii!P$1)=0," ",SUMIFS(Data!$K:$K,Data!$A:$A,Vitezistii!$B20,Data!$C:$C,Vitezistii!P$1))+SUMIFS(Data!$S:$S,Data!$A:$A,Vitezistii!$B20,Data!$C:$C,Vitezistii!P$1),0)</f>
        <v>1</v>
      </c>
      <c r="Q20" s="37">
        <f>IFERROR(IF(SUMIFS(Data!$K:$K,Data!$A:$A,Vitezistii!$B20,Data!$C:$C,Vitezistii!Q$1)=0," ",SUMIFS(Data!$K:$K,Data!$A:$A,Vitezistii!$B20,Data!$C:$C,Vitezistii!Q$1))+SUMIFS(Data!$S:$S,Data!$A:$A,Vitezistii!$B20,Data!$C:$C,Vitezistii!Q$1),0)</f>
        <v>3</v>
      </c>
      <c r="R20" s="37">
        <f t="shared" si="0"/>
        <v>22</v>
      </c>
      <c r="S20" s="37">
        <f>SUMIFS(Data!D:D,Data!A:A,Vitezistii!B20)</f>
        <v>468.2700000000001</v>
      </c>
      <c r="T20" s="13">
        <f>SUMIFS(Data!I:I,Data!A:A,Vitezistii!B20)/COUNTIF(Data!A:A,Vitezistii!B20)</f>
        <v>4.7423859229453798E-3</v>
      </c>
    </row>
    <row r="21" spans="1:20" ht="13.8" x14ac:dyDescent="0.3">
      <c r="A21" s="103">
        <v>20</v>
      </c>
      <c r="B21" s="36" t="s">
        <v>256</v>
      </c>
      <c r="C21" s="37">
        <f>IFERROR(IF(SUMIFS(Data!$K:$K,Data!$A:$A,Vitezistii!$B21,Data!$C:$C,Vitezistii!C$1)=0," ",SUMIFS(Data!$K:$K,Data!$A:$A,Vitezistii!$B21,Data!$C:$C,Vitezistii!C$1))+SUMIFS(Data!$S:$S,Data!$A:$A,Vitezistii!$B21,Data!$C:$C,Vitezistii!C$1),0)</f>
        <v>1</v>
      </c>
      <c r="D21" s="37">
        <f>IFERROR(IF(SUMIFS(Data!$K:$K,Data!$A:$A,Vitezistii!$B21,Data!$C:$C,Vitezistii!D$1)=0," ",SUMIFS(Data!$K:$K,Data!$A:$A,Vitezistii!$B21,Data!$C:$C,Vitezistii!D$1))+SUMIFS(Data!$S:$S,Data!$A:$A,Vitezistii!$B21,Data!$C:$C,Vitezistii!D$1),0)</f>
        <v>1</v>
      </c>
      <c r="E21" s="37">
        <f>IFERROR(IF(SUMIFS(Data!$K:$K,Data!$A:$A,Vitezistii!$B21,Data!$C:$C,Vitezistii!E$1)=0," ",SUMIFS(Data!$K:$K,Data!$A:$A,Vitezistii!$B21,Data!$C:$C,Vitezistii!E$1))+SUMIFS(Data!$S:$S,Data!$A:$A,Vitezistii!$B21,Data!$C:$C,Vitezistii!E$1),0)</f>
        <v>1.5</v>
      </c>
      <c r="F21" s="37">
        <f>IFERROR(IF(SUMIFS(Data!$K:$K,Data!$A:$A,Vitezistii!$B21,Data!$C:$C,Vitezistii!F$1)=0," ",SUMIFS(Data!$K:$K,Data!$A:$A,Vitezistii!$B21,Data!$C:$C,Vitezistii!F$1))+SUMIFS(Data!$S:$S,Data!$A:$A,Vitezistii!$B21,Data!$C:$C,Vitezistii!F$1),0)</f>
        <v>1.5</v>
      </c>
      <c r="G21" s="37">
        <f>IFERROR(IF(SUMIFS(Data!$K:$K,Data!$A:$A,Vitezistii!$B21,Data!$C:$C,Vitezistii!G$1)=0," ",SUMIFS(Data!$K:$K,Data!$A:$A,Vitezistii!$B21,Data!$C:$C,Vitezistii!G$1))+SUMIFS(Data!$S:$S,Data!$A:$A,Vitezistii!$B21,Data!$C:$C,Vitezistii!G$1),0)</f>
        <v>2.5</v>
      </c>
      <c r="H21" s="37">
        <f>IFERROR(IF(SUMIFS(Data!$K:$K,Data!$A:$A,Vitezistii!$B21,Data!$C:$C,Vitezistii!H$1)=0," ",SUMIFS(Data!$K:$K,Data!$A:$A,Vitezistii!$B21,Data!$C:$C,Vitezistii!H$1))+SUMIFS(Data!$S:$S,Data!$A:$A,Vitezistii!$B21,Data!$C:$C,Vitezistii!H$1),0)</f>
        <v>2</v>
      </c>
      <c r="I21" s="37">
        <f>IFERROR(IF(SUMIFS(Data!$K:$K,Data!$A:$A,Vitezistii!$B21,Data!$C:$C,Vitezistii!I$1)=0," ",SUMIFS(Data!$K:$K,Data!$A:$A,Vitezistii!$B21,Data!$C:$C,Vitezistii!I$1))+SUMIFS(Data!$S:$S,Data!$A:$A,Vitezistii!$B21,Data!$C:$C,Vitezistii!I$1),0)</f>
        <v>2.5</v>
      </c>
      <c r="J21" s="37">
        <f>IFERROR(IF(SUMIFS(Data!$K:$K,Data!$A:$A,Vitezistii!$B21,Data!$C:$C,Vitezistii!J$1)=0," ",SUMIFS(Data!$K:$K,Data!$A:$A,Vitezistii!$B21,Data!$C:$C,Vitezistii!J$1))+SUMIFS(Data!$S:$S,Data!$A:$A,Vitezistii!$B21,Data!$C:$C,Vitezistii!J$1),0)</f>
        <v>3</v>
      </c>
      <c r="K21" s="37">
        <f>IFERROR(IF(SUMIFS(Data!$K:$K,Data!$A:$A,Vitezistii!$B21,Data!$C:$C,Vitezistii!K$1)=0," ",SUMIFS(Data!$K:$K,Data!$A:$A,Vitezistii!$B21,Data!$C:$C,Vitezistii!K$1))+SUMIFS(Data!$S:$S,Data!$A:$A,Vitezistii!$B21,Data!$C:$C,Vitezistii!K$1),0)</f>
        <v>1</v>
      </c>
      <c r="L21" s="37">
        <f>IFERROR(IF(SUMIFS(Data!$K:$K,Data!$A:$A,Vitezistii!$B21,Data!$C:$C,Vitezistii!L$1)=0," ",SUMIFS(Data!$K:$K,Data!$A:$A,Vitezistii!$B21,Data!$C:$C,Vitezistii!L$1))+SUMIFS(Data!$S:$S,Data!$A:$A,Vitezistii!$B21,Data!$C:$C,Vitezistii!L$1),0)</f>
        <v>1</v>
      </c>
      <c r="M21" s="37">
        <f>IFERROR(IF(SUMIFS(Data!$K:$K,Data!$A:$A,Vitezistii!$B21,Data!$C:$C,Vitezistii!M$1)=0," ",SUMIFS(Data!$K:$K,Data!$A:$A,Vitezistii!$B21,Data!$C:$C,Vitezistii!M$1))+SUMIFS(Data!$S:$S,Data!$A:$A,Vitezistii!$B21,Data!$C:$C,Vitezistii!M$1),0)</f>
        <v>1</v>
      </c>
      <c r="N21" s="37">
        <f>IFERROR(IF(SUMIFS(Data!$K:$K,Data!$A:$A,Vitezistii!$B21,Data!$C:$C,Vitezistii!N$1)=0," ",SUMIFS(Data!$K:$K,Data!$A:$A,Vitezistii!$B21,Data!$C:$C,Vitezistii!N$1))+SUMIFS(Data!$S:$S,Data!$A:$A,Vitezistii!$B21,Data!$C:$C,Vitezistii!N$1),0)</f>
        <v>1.5</v>
      </c>
      <c r="O21" s="37">
        <f>IFERROR(IF(SUMIFS(Data!$K:$K,Data!$A:$A,Vitezistii!$B21,Data!$C:$C,Vitezistii!O$1)=0," ",SUMIFS(Data!$K:$K,Data!$A:$A,Vitezistii!$B21,Data!$C:$C,Vitezistii!O$1))+SUMIFS(Data!$S:$S,Data!$A:$A,Vitezistii!$B21,Data!$C:$C,Vitezistii!O$1),0)</f>
        <v>1</v>
      </c>
      <c r="P21" s="37">
        <f>IFERROR(IF(SUMIFS(Data!$K:$K,Data!$A:$A,Vitezistii!$B21,Data!$C:$C,Vitezistii!P$1)=0," ",SUMIFS(Data!$K:$K,Data!$A:$A,Vitezistii!$B21,Data!$C:$C,Vitezistii!P$1))+SUMIFS(Data!$S:$S,Data!$A:$A,Vitezistii!$B21,Data!$C:$C,Vitezistii!P$1),0)</f>
        <v>0</v>
      </c>
      <c r="Q21" s="37">
        <f>IFERROR(IF(SUMIFS(Data!$K:$K,Data!$A:$A,Vitezistii!$B21,Data!$C:$C,Vitezistii!Q$1)=0," ",SUMIFS(Data!$K:$K,Data!$A:$A,Vitezistii!$B21,Data!$C:$C,Vitezistii!Q$1))+SUMIFS(Data!$S:$S,Data!$A:$A,Vitezistii!$B21,Data!$C:$C,Vitezistii!Q$1),0)</f>
        <v>0</v>
      </c>
      <c r="R21" s="37">
        <f t="shared" si="0"/>
        <v>20.5</v>
      </c>
      <c r="S21" s="37">
        <f>SUMIFS(Data!D:D,Data!A:A,Vitezistii!B21)</f>
        <v>359.37</v>
      </c>
      <c r="T21" s="13">
        <f>SUMIFS(Data!I:I,Data!A:A,Vitezistii!B21)/COUNTIF(Data!A:A,Vitezistii!B21)</f>
        <v>4.0582240840495339E-3</v>
      </c>
    </row>
    <row r="22" spans="1:20" ht="13.8" x14ac:dyDescent="0.3">
      <c r="A22" s="103">
        <v>21</v>
      </c>
      <c r="B22" s="36" t="s">
        <v>57</v>
      </c>
      <c r="C22" s="37">
        <f>IFERROR(IF(SUMIFS(Data!$K:$K,Data!$A:$A,Vitezistii!$B22,Data!$C:$C,Vitezistii!C$1)=0," ",SUMIFS(Data!$K:$K,Data!$A:$A,Vitezistii!$B22,Data!$C:$C,Vitezistii!C$1))+SUMIFS(Data!$S:$S,Data!$A:$A,Vitezistii!$B22,Data!$C:$C,Vitezistii!C$1),0)</f>
        <v>1</v>
      </c>
      <c r="D22" s="37">
        <f>IFERROR(IF(SUMIFS(Data!$K:$K,Data!$A:$A,Vitezistii!$B22,Data!$C:$C,Vitezistii!D$1)=0," ",SUMIFS(Data!$K:$K,Data!$A:$A,Vitezistii!$B22,Data!$C:$C,Vitezistii!D$1))+SUMIFS(Data!$S:$S,Data!$A:$A,Vitezistii!$B22,Data!$C:$C,Vitezistii!D$1),0)</f>
        <v>0</v>
      </c>
      <c r="E22" s="37">
        <f>IFERROR(IF(SUMIFS(Data!$K:$K,Data!$A:$A,Vitezistii!$B22,Data!$C:$C,Vitezistii!E$1)=0," ",SUMIFS(Data!$K:$K,Data!$A:$A,Vitezistii!$B22,Data!$C:$C,Vitezistii!E$1))+SUMIFS(Data!$S:$S,Data!$A:$A,Vitezistii!$B22,Data!$C:$C,Vitezistii!E$1),0)</f>
        <v>3.5</v>
      </c>
      <c r="F22" s="37">
        <f>IFERROR(IF(SUMIFS(Data!$K:$K,Data!$A:$A,Vitezistii!$B22,Data!$C:$C,Vitezistii!F$1)=0," ",SUMIFS(Data!$K:$K,Data!$A:$A,Vitezistii!$B22,Data!$C:$C,Vitezistii!F$1))+SUMIFS(Data!$S:$S,Data!$A:$A,Vitezistii!$B22,Data!$C:$C,Vitezistii!F$1),0)</f>
        <v>0</v>
      </c>
      <c r="G22" s="37">
        <f>IFERROR(IF(SUMIFS(Data!$K:$K,Data!$A:$A,Vitezistii!$B22,Data!$C:$C,Vitezistii!G$1)=0," ",SUMIFS(Data!$K:$K,Data!$A:$A,Vitezistii!$B22,Data!$C:$C,Vitezistii!G$1))+SUMIFS(Data!$S:$S,Data!$A:$A,Vitezistii!$B22,Data!$C:$C,Vitezistii!G$1),0)</f>
        <v>1</v>
      </c>
      <c r="H22" s="37">
        <f>IFERROR(IF(SUMIFS(Data!$K:$K,Data!$A:$A,Vitezistii!$B22,Data!$C:$C,Vitezistii!H$1)=0," ",SUMIFS(Data!$K:$K,Data!$A:$A,Vitezistii!$B22,Data!$C:$C,Vitezistii!H$1))+SUMIFS(Data!$S:$S,Data!$A:$A,Vitezistii!$B22,Data!$C:$C,Vitezistii!H$1),0)</f>
        <v>0</v>
      </c>
      <c r="I22" s="37">
        <f>IFERROR(IF(SUMIFS(Data!$K:$K,Data!$A:$A,Vitezistii!$B22,Data!$C:$C,Vitezistii!I$1)=0," ",SUMIFS(Data!$K:$K,Data!$A:$A,Vitezistii!$B22,Data!$C:$C,Vitezistii!I$1))+SUMIFS(Data!$S:$S,Data!$A:$A,Vitezistii!$B22,Data!$C:$C,Vitezistii!I$1),0)</f>
        <v>4</v>
      </c>
      <c r="J22" s="37">
        <f>IFERROR(IF(SUMIFS(Data!$K:$K,Data!$A:$A,Vitezistii!$B22,Data!$C:$C,Vitezistii!J$1)=0," ",SUMIFS(Data!$K:$K,Data!$A:$A,Vitezistii!$B22,Data!$C:$C,Vitezistii!J$1))+SUMIFS(Data!$S:$S,Data!$A:$A,Vitezistii!$B22,Data!$C:$C,Vitezistii!J$1),0)</f>
        <v>0</v>
      </c>
      <c r="K22" s="37">
        <f>IFERROR(IF(SUMIFS(Data!$K:$K,Data!$A:$A,Vitezistii!$B22,Data!$C:$C,Vitezistii!K$1)=0," ",SUMIFS(Data!$K:$K,Data!$A:$A,Vitezistii!$B22,Data!$C:$C,Vitezistii!K$1))+SUMIFS(Data!$S:$S,Data!$A:$A,Vitezistii!$B22,Data!$C:$C,Vitezistii!K$1),0)</f>
        <v>0</v>
      </c>
      <c r="L22" s="37">
        <f>IFERROR(IF(SUMIFS(Data!$K:$K,Data!$A:$A,Vitezistii!$B22,Data!$C:$C,Vitezistii!L$1)=0," ",SUMIFS(Data!$K:$K,Data!$A:$A,Vitezistii!$B22,Data!$C:$C,Vitezistii!L$1))+SUMIFS(Data!$S:$S,Data!$A:$A,Vitezistii!$B22,Data!$C:$C,Vitezistii!L$1),0)</f>
        <v>3</v>
      </c>
      <c r="M22" s="37">
        <f>IFERROR(IF(SUMIFS(Data!$K:$K,Data!$A:$A,Vitezistii!$B22,Data!$C:$C,Vitezistii!M$1)=0," ",SUMIFS(Data!$K:$K,Data!$A:$A,Vitezistii!$B22,Data!$C:$C,Vitezistii!M$1))+SUMIFS(Data!$S:$S,Data!$A:$A,Vitezistii!$B22,Data!$C:$C,Vitezistii!M$1),0)</f>
        <v>0</v>
      </c>
      <c r="N22" s="37">
        <f>IFERROR(IF(SUMIFS(Data!$K:$K,Data!$A:$A,Vitezistii!$B22,Data!$C:$C,Vitezistii!N$1)=0," ",SUMIFS(Data!$K:$K,Data!$A:$A,Vitezistii!$B22,Data!$C:$C,Vitezistii!N$1))+SUMIFS(Data!$S:$S,Data!$A:$A,Vitezistii!$B22,Data!$C:$C,Vitezistii!N$1),0)</f>
        <v>0</v>
      </c>
      <c r="O22" s="37">
        <f>IFERROR(IF(SUMIFS(Data!$K:$K,Data!$A:$A,Vitezistii!$B22,Data!$C:$C,Vitezistii!O$1)=0," ",SUMIFS(Data!$K:$K,Data!$A:$A,Vitezistii!$B22,Data!$C:$C,Vitezistii!O$1))+SUMIFS(Data!$S:$S,Data!$A:$A,Vitezistii!$B22,Data!$C:$C,Vitezistii!O$1),0)</f>
        <v>4</v>
      </c>
      <c r="P22" s="37">
        <f>IFERROR(IF(SUMIFS(Data!$K:$K,Data!$A:$A,Vitezistii!$B22,Data!$C:$C,Vitezistii!P$1)=0," ",SUMIFS(Data!$K:$K,Data!$A:$A,Vitezistii!$B22,Data!$C:$C,Vitezistii!P$1))+SUMIFS(Data!$S:$S,Data!$A:$A,Vitezistii!$B22,Data!$C:$C,Vitezistii!P$1),0)</f>
        <v>3</v>
      </c>
      <c r="Q22" s="37">
        <f>IFERROR(IF(SUMIFS(Data!$K:$K,Data!$A:$A,Vitezistii!$B22,Data!$C:$C,Vitezistii!Q$1)=0," ",SUMIFS(Data!$K:$K,Data!$A:$A,Vitezistii!$B22,Data!$C:$C,Vitezistii!Q$1))+SUMIFS(Data!$S:$S,Data!$A:$A,Vitezistii!$B22,Data!$C:$C,Vitezistii!Q$1),0)</f>
        <v>1</v>
      </c>
      <c r="R22" s="37">
        <f t="shared" si="0"/>
        <v>20.5</v>
      </c>
      <c r="S22" s="37">
        <f>SUMIFS(Data!D:D,Data!A:A,Vitezistii!B22)</f>
        <v>158.71</v>
      </c>
      <c r="T22" s="13">
        <f>SUMIFS(Data!I:I,Data!A:A,Vitezistii!B22)/COUNTIF(Data!A:A,Vitezistii!B22)</f>
        <v>4.8402466481196563E-3</v>
      </c>
    </row>
    <row r="23" spans="1:20" ht="13.8" x14ac:dyDescent="0.3">
      <c r="A23" s="103">
        <v>22</v>
      </c>
      <c r="B23" s="36" t="s">
        <v>66</v>
      </c>
      <c r="C23" s="37">
        <f>IFERROR(IF(SUMIFS(Data!$K:$K,Data!$A:$A,Vitezistii!$B23,Data!$C:$C,Vitezistii!C$1)=0," ",SUMIFS(Data!$K:$K,Data!$A:$A,Vitezistii!$B23,Data!$C:$C,Vitezistii!C$1))+SUMIFS(Data!$S:$S,Data!$A:$A,Vitezistii!$B23,Data!$C:$C,Vitezistii!C$1),0)</f>
        <v>1.5</v>
      </c>
      <c r="D23" s="37">
        <f>IFERROR(IF(SUMIFS(Data!$K:$K,Data!$A:$A,Vitezistii!$B23,Data!$C:$C,Vitezistii!D$1)=0," ",SUMIFS(Data!$K:$K,Data!$A:$A,Vitezistii!$B23,Data!$C:$C,Vitezistii!D$1))+SUMIFS(Data!$S:$S,Data!$A:$A,Vitezistii!$B23,Data!$C:$C,Vitezistii!D$1),0)</f>
        <v>0</v>
      </c>
      <c r="E23" s="37">
        <f>IFERROR(IF(SUMIFS(Data!$K:$K,Data!$A:$A,Vitezistii!$B23,Data!$C:$C,Vitezistii!E$1)=0," ",SUMIFS(Data!$K:$K,Data!$A:$A,Vitezistii!$B23,Data!$C:$C,Vitezistii!E$1))+SUMIFS(Data!$S:$S,Data!$A:$A,Vitezistii!$B23,Data!$C:$C,Vitezistii!E$1),0)</f>
        <v>2</v>
      </c>
      <c r="F23" s="37">
        <f>IFERROR(IF(SUMIFS(Data!$K:$K,Data!$A:$A,Vitezistii!$B23,Data!$C:$C,Vitezistii!F$1)=0," ",SUMIFS(Data!$K:$K,Data!$A:$A,Vitezistii!$B23,Data!$C:$C,Vitezistii!F$1))+SUMIFS(Data!$S:$S,Data!$A:$A,Vitezistii!$B23,Data!$C:$C,Vitezistii!F$1),0)</f>
        <v>3.5</v>
      </c>
      <c r="G23" s="37">
        <f>IFERROR(IF(SUMIFS(Data!$K:$K,Data!$A:$A,Vitezistii!$B23,Data!$C:$C,Vitezistii!G$1)=0," ",SUMIFS(Data!$K:$K,Data!$A:$A,Vitezistii!$B23,Data!$C:$C,Vitezistii!G$1))+SUMIFS(Data!$S:$S,Data!$A:$A,Vitezistii!$B23,Data!$C:$C,Vitezistii!G$1),0)</f>
        <v>1</v>
      </c>
      <c r="H23" s="37">
        <f>IFERROR(IF(SUMIFS(Data!$K:$K,Data!$A:$A,Vitezistii!$B23,Data!$C:$C,Vitezistii!H$1)=0," ",SUMIFS(Data!$K:$K,Data!$A:$A,Vitezistii!$B23,Data!$C:$C,Vitezistii!H$1))+SUMIFS(Data!$S:$S,Data!$A:$A,Vitezistii!$B23,Data!$C:$C,Vitezistii!H$1),0)</f>
        <v>2.5</v>
      </c>
      <c r="I23" s="37">
        <f>IFERROR(IF(SUMIFS(Data!$K:$K,Data!$A:$A,Vitezistii!$B23,Data!$C:$C,Vitezistii!I$1)=0," ",SUMIFS(Data!$K:$K,Data!$A:$A,Vitezistii!$B23,Data!$C:$C,Vitezistii!I$1))+SUMIFS(Data!$S:$S,Data!$A:$A,Vitezistii!$B23,Data!$C:$C,Vitezistii!I$1),0)</f>
        <v>0</v>
      </c>
      <c r="J23" s="37">
        <f>IFERROR(IF(SUMIFS(Data!$K:$K,Data!$A:$A,Vitezistii!$B23,Data!$C:$C,Vitezistii!J$1)=0," ",SUMIFS(Data!$K:$K,Data!$A:$A,Vitezistii!$B23,Data!$C:$C,Vitezistii!J$1))+SUMIFS(Data!$S:$S,Data!$A:$A,Vitezistii!$B23,Data!$C:$C,Vitezistii!J$1),0)</f>
        <v>3</v>
      </c>
      <c r="K23" s="37">
        <f>IFERROR(IF(SUMIFS(Data!$K:$K,Data!$A:$A,Vitezistii!$B23,Data!$C:$C,Vitezistii!K$1)=0," ",SUMIFS(Data!$K:$K,Data!$A:$A,Vitezistii!$B23,Data!$C:$C,Vitezistii!K$1))+SUMIFS(Data!$S:$S,Data!$A:$A,Vitezistii!$B23,Data!$C:$C,Vitezistii!K$1),0)</f>
        <v>0</v>
      </c>
      <c r="L23" s="37">
        <f>IFERROR(IF(SUMIFS(Data!$K:$K,Data!$A:$A,Vitezistii!$B23,Data!$C:$C,Vitezistii!L$1)=0," ",SUMIFS(Data!$K:$K,Data!$A:$A,Vitezistii!$B23,Data!$C:$C,Vitezistii!L$1))+SUMIFS(Data!$S:$S,Data!$A:$A,Vitezistii!$B23,Data!$C:$C,Vitezistii!L$1),0)</f>
        <v>0</v>
      </c>
      <c r="M23" s="37">
        <f>IFERROR(IF(SUMIFS(Data!$K:$K,Data!$A:$A,Vitezistii!$B23,Data!$C:$C,Vitezistii!M$1)=0," ",SUMIFS(Data!$K:$K,Data!$A:$A,Vitezistii!$B23,Data!$C:$C,Vitezistii!M$1))+SUMIFS(Data!$S:$S,Data!$A:$A,Vitezistii!$B23,Data!$C:$C,Vitezistii!M$1),0)</f>
        <v>2</v>
      </c>
      <c r="N23" s="37">
        <f>IFERROR(IF(SUMIFS(Data!$K:$K,Data!$A:$A,Vitezistii!$B23,Data!$C:$C,Vitezistii!N$1)=0," ",SUMIFS(Data!$K:$K,Data!$A:$A,Vitezistii!$B23,Data!$C:$C,Vitezistii!N$1))+SUMIFS(Data!$S:$S,Data!$A:$A,Vitezistii!$B23,Data!$C:$C,Vitezistii!N$1),0)</f>
        <v>1.5</v>
      </c>
      <c r="O23" s="37">
        <f>IFERROR(IF(SUMIFS(Data!$K:$K,Data!$A:$A,Vitezistii!$B23,Data!$C:$C,Vitezistii!O$1)=0," ",SUMIFS(Data!$K:$K,Data!$A:$A,Vitezistii!$B23,Data!$C:$C,Vitezistii!O$1))+SUMIFS(Data!$S:$S,Data!$A:$A,Vitezistii!$B23,Data!$C:$C,Vitezistii!O$1),0)</f>
        <v>0</v>
      </c>
      <c r="P23" s="37">
        <f>IFERROR(IF(SUMIFS(Data!$K:$K,Data!$A:$A,Vitezistii!$B23,Data!$C:$C,Vitezistii!P$1)=0," ",SUMIFS(Data!$K:$K,Data!$A:$A,Vitezistii!$B23,Data!$C:$C,Vitezistii!P$1))+SUMIFS(Data!$S:$S,Data!$A:$A,Vitezistii!$B23,Data!$C:$C,Vitezistii!P$1),0)</f>
        <v>0</v>
      </c>
      <c r="Q23" s="37">
        <f>IFERROR(IF(SUMIFS(Data!$K:$K,Data!$A:$A,Vitezistii!$B23,Data!$C:$C,Vitezistii!Q$1)=0," ",SUMIFS(Data!$K:$K,Data!$A:$A,Vitezistii!$B23,Data!$C:$C,Vitezistii!Q$1))+SUMIFS(Data!$S:$S,Data!$A:$A,Vitezistii!$B23,Data!$C:$C,Vitezistii!Q$1),0)</f>
        <v>0</v>
      </c>
      <c r="R23" s="37">
        <f t="shared" si="0"/>
        <v>17</v>
      </c>
      <c r="S23" s="37">
        <f>SUMIFS(Data!D:D,Data!A:A,Vitezistii!B23)</f>
        <v>125.99000000000001</v>
      </c>
      <c r="T23" s="13">
        <f>SUMIFS(Data!I:I,Data!A:A,Vitezistii!B23)/COUNTIF(Data!A:A,Vitezistii!B23)</f>
        <v>3.7672026393949696E-3</v>
      </c>
    </row>
    <row r="24" spans="1:20" ht="13.8" x14ac:dyDescent="0.3">
      <c r="A24" s="103">
        <v>23</v>
      </c>
      <c r="B24" s="36" t="s">
        <v>179</v>
      </c>
      <c r="C24" s="37">
        <f>IFERROR(IF(SUMIFS(Data!$K:$K,Data!$A:$A,Vitezistii!$B24,Data!$C:$C,Vitezistii!C$1)=0," ",SUMIFS(Data!$K:$K,Data!$A:$A,Vitezistii!$B24,Data!$C:$C,Vitezistii!C$1))+SUMIFS(Data!$S:$S,Data!$A:$A,Vitezistii!$B24,Data!$C:$C,Vitezistii!C$1),0)</f>
        <v>0</v>
      </c>
      <c r="D24" s="37">
        <f>IFERROR(IF(SUMIFS(Data!$K:$K,Data!$A:$A,Vitezistii!$B24,Data!$C:$C,Vitezistii!D$1)=0," ",SUMIFS(Data!$K:$K,Data!$A:$A,Vitezistii!$B24,Data!$C:$C,Vitezistii!D$1))+SUMIFS(Data!$S:$S,Data!$A:$A,Vitezistii!$B24,Data!$C:$C,Vitezistii!D$1),0)</f>
        <v>1.5</v>
      </c>
      <c r="E24" s="37">
        <f>IFERROR(IF(SUMIFS(Data!$K:$K,Data!$A:$A,Vitezistii!$B24,Data!$C:$C,Vitezistii!E$1)=0," ",SUMIFS(Data!$K:$K,Data!$A:$A,Vitezistii!$B24,Data!$C:$C,Vitezistii!E$1))+SUMIFS(Data!$S:$S,Data!$A:$A,Vitezistii!$B24,Data!$C:$C,Vitezistii!E$1),0)</f>
        <v>1</v>
      </c>
      <c r="F24" s="37">
        <f>IFERROR(IF(SUMIFS(Data!$K:$K,Data!$A:$A,Vitezistii!$B24,Data!$C:$C,Vitezistii!F$1)=0," ",SUMIFS(Data!$K:$K,Data!$A:$A,Vitezistii!$B24,Data!$C:$C,Vitezistii!F$1))+SUMIFS(Data!$S:$S,Data!$A:$A,Vitezistii!$B24,Data!$C:$C,Vitezistii!F$1),0)</f>
        <v>1</v>
      </c>
      <c r="G24" s="37">
        <f>IFERROR(IF(SUMIFS(Data!$K:$K,Data!$A:$A,Vitezistii!$B24,Data!$C:$C,Vitezistii!G$1)=0," ",SUMIFS(Data!$K:$K,Data!$A:$A,Vitezistii!$B24,Data!$C:$C,Vitezistii!G$1))+SUMIFS(Data!$S:$S,Data!$A:$A,Vitezistii!$B24,Data!$C:$C,Vitezistii!G$1),0)</f>
        <v>1</v>
      </c>
      <c r="H24" s="37">
        <f>IFERROR(IF(SUMIFS(Data!$K:$K,Data!$A:$A,Vitezistii!$B24,Data!$C:$C,Vitezistii!H$1)=0," ",SUMIFS(Data!$K:$K,Data!$A:$A,Vitezistii!$B24,Data!$C:$C,Vitezistii!H$1))+SUMIFS(Data!$S:$S,Data!$A:$A,Vitezistii!$B24,Data!$C:$C,Vitezistii!H$1),0)</f>
        <v>1</v>
      </c>
      <c r="I24" s="37">
        <f>IFERROR(IF(SUMIFS(Data!$K:$K,Data!$A:$A,Vitezistii!$B24,Data!$C:$C,Vitezistii!I$1)=0," ",SUMIFS(Data!$K:$K,Data!$A:$A,Vitezistii!$B24,Data!$C:$C,Vitezistii!I$1))+SUMIFS(Data!$S:$S,Data!$A:$A,Vitezistii!$B24,Data!$C:$C,Vitezistii!I$1),0)</f>
        <v>1.5</v>
      </c>
      <c r="J24" s="37">
        <f>IFERROR(IF(SUMIFS(Data!$K:$K,Data!$A:$A,Vitezistii!$B24,Data!$C:$C,Vitezistii!J$1)=0," ",SUMIFS(Data!$K:$K,Data!$A:$A,Vitezistii!$B24,Data!$C:$C,Vitezistii!J$1))+SUMIFS(Data!$S:$S,Data!$A:$A,Vitezistii!$B24,Data!$C:$C,Vitezistii!J$1),0)</f>
        <v>1.5</v>
      </c>
      <c r="K24" s="37">
        <f>IFERROR(IF(SUMIFS(Data!$K:$K,Data!$A:$A,Vitezistii!$B24,Data!$C:$C,Vitezistii!K$1)=0," ",SUMIFS(Data!$K:$K,Data!$A:$A,Vitezistii!$B24,Data!$C:$C,Vitezistii!K$1))+SUMIFS(Data!$S:$S,Data!$A:$A,Vitezistii!$B24,Data!$C:$C,Vitezistii!K$1),0)</f>
        <v>1</v>
      </c>
      <c r="L24" s="37">
        <f>IFERROR(IF(SUMIFS(Data!$K:$K,Data!$A:$A,Vitezistii!$B24,Data!$C:$C,Vitezistii!L$1)=0," ",SUMIFS(Data!$K:$K,Data!$A:$A,Vitezistii!$B24,Data!$C:$C,Vitezistii!L$1))+SUMIFS(Data!$S:$S,Data!$A:$A,Vitezistii!$B24,Data!$C:$C,Vitezistii!L$1),0)</f>
        <v>1</v>
      </c>
      <c r="M24" s="37">
        <f>IFERROR(IF(SUMIFS(Data!$K:$K,Data!$A:$A,Vitezistii!$B24,Data!$C:$C,Vitezistii!M$1)=0," ",SUMIFS(Data!$K:$K,Data!$A:$A,Vitezistii!$B24,Data!$C:$C,Vitezistii!M$1))+SUMIFS(Data!$S:$S,Data!$A:$A,Vitezistii!$B24,Data!$C:$C,Vitezistii!M$1),0)</f>
        <v>0</v>
      </c>
      <c r="N24" s="37">
        <f>IFERROR(IF(SUMIFS(Data!$K:$K,Data!$A:$A,Vitezistii!$B24,Data!$C:$C,Vitezistii!N$1)=0," ",SUMIFS(Data!$K:$K,Data!$A:$A,Vitezistii!$B24,Data!$C:$C,Vitezistii!N$1))+SUMIFS(Data!$S:$S,Data!$A:$A,Vitezistii!$B24,Data!$C:$C,Vitezistii!N$1),0)</f>
        <v>2.5</v>
      </c>
      <c r="O24" s="37">
        <f>IFERROR(IF(SUMIFS(Data!$K:$K,Data!$A:$A,Vitezistii!$B24,Data!$C:$C,Vitezistii!O$1)=0," ",SUMIFS(Data!$K:$K,Data!$A:$A,Vitezistii!$B24,Data!$C:$C,Vitezistii!O$1))+SUMIFS(Data!$S:$S,Data!$A:$A,Vitezistii!$B24,Data!$C:$C,Vitezistii!O$1),0)</f>
        <v>1</v>
      </c>
      <c r="P24" s="37">
        <f>IFERROR(IF(SUMIFS(Data!$K:$K,Data!$A:$A,Vitezistii!$B24,Data!$C:$C,Vitezistii!P$1)=0," ",SUMIFS(Data!$K:$K,Data!$A:$A,Vitezistii!$B24,Data!$C:$C,Vitezistii!P$1))+SUMIFS(Data!$S:$S,Data!$A:$A,Vitezistii!$B24,Data!$C:$C,Vitezistii!P$1),0)</f>
        <v>1.5</v>
      </c>
      <c r="Q24" s="37">
        <f>IFERROR(IF(SUMIFS(Data!$K:$K,Data!$A:$A,Vitezistii!$B24,Data!$C:$C,Vitezistii!Q$1)=0," ",SUMIFS(Data!$K:$K,Data!$A:$A,Vitezistii!$B24,Data!$C:$C,Vitezistii!Q$1))+SUMIFS(Data!$S:$S,Data!$A:$A,Vitezistii!$B24,Data!$C:$C,Vitezistii!Q$1),0)</f>
        <v>1</v>
      </c>
      <c r="R24" s="37">
        <f t="shared" si="0"/>
        <v>16.5</v>
      </c>
      <c r="S24" s="37">
        <f>SUMIFS(Data!D:D,Data!A:A,Vitezistii!B24)</f>
        <v>214.36000000000004</v>
      </c>
      <c r="T24" s="13">
        <f>SUMIFS(Data!I:I,Data!A:A,Vitezistii!B24)/COUNTIF(Data!A:A,Vitezistii!B24)</f>
        <v>4.924182498651038E-3</v>
      </c>
    </row>
    <row r="25" spans="1:20" ht="13.8" x14ac:dyDescent="0.3">
      <c r="A25" s="103">
        <v>24</v>
      </c>
      <c r="B25" s="36" t="s">
        <v>257</v>
      </c>
      <c r="C25" s="37">
        <f>IFERROR(IF(SUMIFS(Data!$K:$K,Data!$A:$A,Vitezistii!$B25,Data!$C:$C,Vitezistii!C$1)=0," ",SUMIFS(Data!$K:$K,Data!$A:$A,Vitezistii!$B25,Data!$C:$C,Vitezistii!C$1))+SUMIFS(Data!$S:$S,Data!$A:$A,Vitezistii!$B25,Data!$C:$C,Vitezistii!C$1),0)</f>
        <v>1</v>
      </c>
      <c r="D25" s="37">
        <f>IFERROR(IF(SUMIFS(Data!$K:$K,Data!$A:$A,Vitezistii!$B25,Data!$C:$C,Vitezistii!D$1)=0," ",SUMIFS(Data!$K:$K,Data!$A:$A,Vitezistii!$B25,Data!$C:$C,Vitezistii!D$1))+SUMIFS(Data!$S:$S,Data!$A:$A,Vitezistii!$B25,Data!$C:$C,Vitezistii!D$1),0)</f>
        <v>1.5</v>
      </c>
      <c r="E25" s="37">
        <f>IFERROR(IF(SUMIFS(Data!$K:$K,Data!$A:$A,Vitezistii!$B25,Data!$C:$C,Vitezistii!E$1)=0," ",SUMIFS(Data!$K:$K,Data!$A:$A,Vitezistii!$B25,Data!$C:$C,Vitezistii!E$1))+SUMIFS(Data!$S:$S,Data!$A:$A,Vitezistii!$B25,Data!$C:$C,Vitezistii!E$1),0)</f>
        <v>0</v>
      </c>
      <c r="F25" s="37">
        <f>IFERROR(IF(SUMIFS(Data!$K:$K,Data!$A:$A,Vitezistii!$B25,Data!$C:$C,Vitezistii!F$1)=0," ",SUMIFS(Data!$K:$K,Data!$A:$A,Vitezistii!$B25,Data!$C:$C,Vitezistii!F$1))+SUMIFS(Data!$S:$S,Data!$A:$A,Vitezistii!$B25,Data!$C:$C,Vitezistii!F$1),0)</f>
        <v>2</v>
      </c>
      <c r="G25" s="37">
        <f>IFERROR(IF(SUMIFS(Data!$K:$K,Data!$A:$A,Vitezistii!$B25,Data!$C:$C,Vitezistii!G$1)=0," ",SUMIFS(Data!$K:$K,Data!$A:$A,Vitezistii!$B25,Data!$C:$C,Vitezistii!G$1))+SUMIFS(Data!$S:$S,Data!$A:$A,Vitezistii!$B25,Data!$C:$C,Vitezistii!G$1),0)</f>
        <v>0</v>
      </c>
      <c r="H25" s="37">
        <f>IFERROR(IF(SUMIFS(Data!$K:$K,Data!$A:$A,Vitezistii!$B25,Data!$C:$C,Vitezistii!H$1)=0," ",SUMIFS(Data!$K:$K,Data!$A:$A,Vitezistii!$B25,Data!$C:$C,Vitezistii!H$1))+SUMIFS(Data!$S:$S,Data!$A:$A,Vitezistii!$B25,Data!$C:$C,Vitezistii!H$1),0)</f>
        <v>1</v>
      </c>
      <c r="I25" s="37">
        <f>IFERROR(IF(SUMIFS(Data!$K:$K,Data!$A:$A,Vitezistii!$B25,Data!$C:$C,Vitezistii!I$1)=0," ",SUMIFS(Data!$K:$K,Data!$A:$A,Vitezistii!$B25,Data!$C:$C,Vitezistii!I$1))+SUMIFS(Data!$S:$S,Data!$A:$A,Vitezistii!$B25,Data!$C:$C,Vitezistii!I$1),0)</f>
        <v>1</v>
      </c>
      <c r="J25" s="37">
        <f>IFERROR(IF(SUMIFS(Data!$K:$K,Data!$A:$A,Vitezistii!$B25,Data!$C:$C,Vitezistii!J$1)=0," ",SUMIFS(Data!$K:$K,Data!$A:$A,Vitezistii!$B25,Data!$C:$C,Vitezistii!J$1))+SUMIFS(Data!$S:$S,Data!$A:$A,Vitezistii!$B25,Data!$C:$C,Vitezistii!J$1),0)</f>
        <v>1.5</v>
      </c>
      <c r="K25" s="37">
        <f>IFERROR(IF(SUMIFS(Data!$K:$K,Data!$A:$A,Vitezistii!$B25,Data!$C:$C,Vitezistii!K$1)=0," ",SUMIFS(Data!$K:$K,Data!$A:$A,Vitezistii!$B25,Data!$C:$C,Vitezistii!K$1))+SUMIFS(Data!$S:$S,Data!$A:$A,Vitezistii!$B25,Data!$C:$C,Vitezistii!K$1),0)</f>
        <v>1.5</v>
      </c>
      <c r="L25" s="37">
        <f>IFERROR(IF(SUMIFS(Data!$K:$K,Data!$A:$A,Vitezistii!$B25,Data!$C:$C,Vitezistii!L$1)=0," ",SUMIFS(Data!$K:$K,Data!$A:$A,Vitezistii!$B25,Data!$C:$C,Vitezistii!L$1))+SUMIFS(Data!$S:$S,Data!$A:$A,Vitezistii!$B25,Data!$C:$C,Vitezistii!L$1),0)</f>
        <v>0</v>
      </c>
      <c r="M25" s="37">
        <f>IFERROR(IF(SUMIFS(Data!$K:$K,Data!$A:$A,Vitezistii!$B25,Data!$C:$C,Vitezistii!M$1)=0," ",SUMIFS(Data!$K:$K,Data!$A:$A,Vitezistii!$B25,Data!$C:$C,Vitezistii!M$1))+SUMIFS(Data!$S:$S,Data!$A:$A,Vitezistii!$B25,Data!$C:$C,Vitezistii!M$1),0)</f>
        <v>0</v>
      </c>
      <c r="N25" s="37">
        <f>IFERROR(IF(SUMIFS(Data!$K:$K,Data!$A:$A,Vitezistii!$B25,Data!$C:$C,Vitezistii!N$1)=0," ",SUMIFS(Data!$K:$K,Data!$A:$A,Vitezistii!$B25,Data!$C:$C,Vitezistii!N$1))+SUMIFS(Data!$S:$S,Data!$A:$A,Vitezistii!$B25,Data!$C:$C,Vitezistii!N$1),0)</f>
        <v>2</v>
      </c>
      <c r="O25" s="37">
        <f>IFERROR(IF(SUMIFS(Data!$K:$K,Data!$A:$A,Vitezistii!$B25,Data!$C:$C,Vitezistii!O$1)=0," ",SUMIFS(Data!$K:$K,Data!$A:$A,Vitezistii!$B25,Data!$C:$C,Vitezistii!O$1))+SUMIFS(Data!$S:$S,Data!$A:$A,Vitezistii!$B25,Data!$C:$C,Vitezistii!O$1),0)</f>
        <v>1.5</v>
      </c>
      <c r="P25" s="37">
        <f>IFERROR(IF(SUMIFS(Data!$K:$K,Data!$A:$A,Vitezistii!$B25,Data!$C:$C,Vitezistii!P$1)=0," ",SUMIFS(Data!$K:$K,Data!$A:$A,Vitezistii!$B25,Data!$C:$C,Vitezistii!P$1))+SUMIFS(Data!$S:$S,Data!$A:$A,Vitezistii!$B25,Data!$C:$C,Vitezistii!P$1),0)</f>
        <v>0</v>
      </c>
      <c r="Q25" s="37">
        <f>IFERROR(IF(SUMIFS(Data!$K:$K,Data!$A:$A,Vitezistii!$B25,Data!$C:$C,Vitezistii!Q$1)=0," ",SUMIFS(Data!$K:$K,Data!$A:$A,Vitezistii!$B25,Data!$C:$C,Vitezistii!Q$1))+SUMIFS(Data!$S:$S,Data!$A:$A,Vitezistii!$B25,Data!$C:$C,Vitezistii!Q$1),0)</f>
        <v>1</v>
      </c>
      <c r="R25" s="37">
        <f t="shared" si="0"/>
        <v>14</v>
      </c>
      <c r="S25" s="37">
        <f>SUMIFS(Data!D:D,Data!A:A,Vitezistii!B25)</f>
        <v>285.64999999999998</v>
      </c>
      <c r="T25" s="13">
        <f>SUMIFS(Data!I:I,Data!A:A,Vitezistii!B25)/COUNTIF(Data!A:A,Vitezistii!B25)</f>
        <v>4.5350704942185346E-3</v>
      </c>
    </row>
    <row r="26" spans="1:20" ht="13.8" x14ac:dyDescent="0.3">
      <c r="A26" s="103">
        <v>25</v>
      </c>
      <c r="B26" s="36" t="s">
        <v>116</v>
      </c>
      <c r="C26" s="37">
        <f>IFERROR(IF(SUMIFS(Data!$K:$K,Data!$A:$A,Vitezistii!$B26,Data!$C:$C,Vitezistii!C$1)=0," ",SUMIFS(Data!$K:$K,Data!$A:$A,Vitezistii!$B26,Data!$C:$C,Vitezistii!C$1))+SUMIFS(Data!$S:$S,Data!$A:$A,Vitezistii!$B26,Data!$C:$C,Vitezistii!C$1),0)</f>
        <v>1.5</v>
      </c>
      <c r="D26" s="37">
        <f>IFERROR(IF(SUMIFS(Data!$K:$K,Data!$A:$A,Vitezistii!$B26,Data!$C:$C,Vitezistii!D$1)=0," ",SUMIFS(Data!$K:$K,Data!$A:$A,Vitezistii!$B26,Data!$C:$C,Vitezistii!D$1))+SUMIFS(Data!$S:$S,Data!$A:$A,Vitezistii!$B26,Data!$C:$C,Vitezistii!D$1),0)</f>
        <v>0</v>
      </c>
      <c r="E26" s="37">
        <f>IFERROR(IF(SUMIFS(Data!$K:$K,Data!$A:$A,Vitezistii!$B26,Data!$C:$C,Vitezistii!E$1)=0," ",SUMIFS(Data!$K:$K,Data!$A:$A,Vitezistii!$B26,Data!$C:$C,Vitezistii!E$1))+SUMIFS(Data!$S:$S,Data!$A:$A,Vitezistii!$B26,Data!$C:$C,Vitezistii!E$1),0)</f>
        <v>1</v>
      </c>
      <c r="F26" s="37">
        <f>IFERROR(IF(SUMIFS(Data!$K:$K,Data!$A:$A,Vitezistii!$B26,Data!$C:$C,Vitezistii!F$1)=0," ",SUMIFS(Data!$K:$K,Data!$A:$A,Vitezistii!$B26,Data!$C:$C,Vitezistii!F$1))+SUMIFS(Data!$S:$S,Data!$A:$A,Vitezistii!$B26,Data!$C:$C,Vitezistii!F$1),0)</f>
        <v>1.5</v>
      </c>
      <c r="G26" s="37">
        <f>IFERROR(IF(SUMIFS(Data!$K:$K,Data!$A:$A,Vitezistii!$B26,Data!$C:$C,Vitezistii!G$1)=0," ",SUMIFS(Data!$K:$K,Data!$A:$A,Vitezistii!$B26,Data!$C:$C,Vitezistii!G$1))+SUMIFS(Data!$S:$S,Data!$A:$A,Vitezistii!$B26,Data!$C:$C,Vitezistii!G$1),0)</f>
        <v>1</v>
      </c>
      <c r="H26" s="37">
        <f>IFERROR(IF(SUMIFS(Data!$K:$K,Data!$A:$A,Vitezistii!$B26,Data!$C:$C,Vitezistii!H$1)=0," ",SUMIFS(Data!$K:$K,Data!$A:$A,Vitezistii!$B26,Data!$C:$C,Vitezistii!H$1))+SUMIFS(Data!$S:$S,Data!$A:$A,Vitezistii!$B26,Data!$C:$C,Vitezistii!H$1),0)</f>
        <v>1</v>
      </c>
      <c r="I26" s="37">
        <f>IFERROR(IF(SUMIFS(Data!$K:$K,Data!$A:$A,Vitezistii!$B26,Data!$C:$C,Vitezistii!I$1)=0," ",SUMIFS(Data!$K:$K,Data!$A:$A,Vitezistii!$B26,Data!$C:$C,Vitezistii!I$1))+SUMIFS(Data!$S:$S,Data!$A:$A,Vitezistii!$B26,Data!$C:$C,Vitezistii!I$1),0)</f>
        <v>2</v>
      </c>
      <c r="J26" s="37">
        <f>IFERROR(IF(SUMIFS(Data!$K:$K,Data!$A:$A,Vitezistii!$B26,Data!$C:$C,Vitezistii!J$1)=0," ",SUMIFS(Data!$K:$K,Data!$A:$A,Vitezistii!$B26,Data!$C:$C,Vitezistii!J$1))+SUMIFS(Data!$S:$S,Data!$A:$A,Vitezistii!$B26,Data!$C:$C,Vitezistii!J$1),0)</f>
        <v>1.5</v>
      </c>
      <c r="K26" s="37">
        <f>IFERROR(IF(SUMIFS(Data!$K:$K,Data!$A:$A,Vitezistii!$B26,Data!$C:$C,Vitezistii!K$1)=0," ",SUMIFS(Data!$K:$K,Data!$A:$A,Vitezistii!$B26,Data!$C:$C,Vitezistii!K$1))+SUMIFS(Data!$S:$S,Data!$A:$A,Vitezistii!$B26,Data!$C:$C,Vitezistii!K$1),0)</f>
        <v>1</v>
      </c>
      <c r="L26" s="37">
        <f>IFERROR(IF(SUMIFS(Data!$K:$K,Data!$A:$A,Vitezistii!$B26,Data!$C:$C,Vitezistii!L$1)=0," ",SUMIFS(Data!$K:$K,Data!$A:$A,Vitezistii!$B26,Data!$C:$C,Vitezistii!L$1))+SUMIFS(Data!$S:$S,Data!$A:$A,Vitezistii!$B26,Data!$C:$C,Vitezistii!L$1),0)</f>
        <v>0</v>
      </c>
      <c r="M26" s="37">
        <f>IFERROR(IF(SUMIFS(Data!$K:$K,Data!$A:$A,Vitezistii!$B26,Data!$C:$C,Vitezistii!M$1)=0," ",SUMIFS(Data!$K:$K,Data!$A:$A,Vitezistii!$B26,Data!$C:$C,Vitezistii!M$1))+SUMIFS(Data!$S:$S,Data!$A:$A,Vitezistii!$B26,Data!$C:$C,Vitezistii!M$1),0)</f>
        <v>1</v>
      </c>
      <c r="N26" s="37">
        <f>IFERROR(IF(SUMIFS(Data!$K:$K,Data!$A:$A,Vitezistii!$B26,Data!$C:$C,Vitezistii!N$1)=0," ",SUMIFS(Data!$K:$K,Data!$A:$A,Vitezistii!$B26,Data!$C:$C,Vitezistii!N$1))+SUMIFS(Data!$S:$S,Data!$A:$A,Vitezistii!$B26,Data!$C:$C,Vitezistii!N$1),0)</f>
        <v>0</v>
      </c>
      <c r="O26" s="37">
        <f>IFERROR(IF(SUMIFS(Data!$K:$K,Data!$A:$A,Vitezistii!$B26,Data!$C:$C,Vitezistii!O$1)=0," ",SUMIFS(Data!$K:$K,Data!$A:$A,Vitezistii!$B26,Data!$C:$C,Vitezistii!O$1))+SUMIFS(Data!$S:$S,Data!$A:$A,Vitezistii!$B26,Data!$C:$C,Vitezistii!O$1),0)</f>
        <v>1.5</v>
      </c>
      <c r="P26" s="37">
        <f>IFERROR(IF(SUMIFS(Data!$K:$K,Data!$A:$A,Vitezistii!$B26,Data!$C:$C,Vitezistii!P$1)=0," ",SUMIFS(Data!$K:$K,Data!$A:$A,Vitezistii!$B26,Data!$C:$C,Vitezistii!P$1))+SUMIFS(Data!$S:$S,Data!$A:$A,Vitezistii!$B26,Data!$C:$C,Vitezistii!P$1),0)</f>
        <v>0</v>
      </c>
      <c r="Q26" s="37">
        <f>IFERROR(IF(SUMIFS(Data!$K:$K,Data!$A:$A,Vitezistii!$B26,Data!$C:$C,Vitezistii!Q$1)=0," ",SUMIFS(Data!$K:$K,Data!$A:$A,Vitezistii!$B26,Data!$C:$C,Vitezistii!Q$1))+SUMIFS(Data!$S:$S,Data!$A:$A,Vitezistii!$B26,Data!$C:$C,Vitezistii!Q$1),0)</f>
        <v>1</v>
      </c>
      <c r="R26" s="37">
        <f t="shared" si="0"/>
        <v>14</v>
      </c>
      <c r="S26" s="37">
        <f>SUMIFS(Data!D:D,Data!A:A,Vitezistii!B26)</f>
        <v>107.28000000000002</v>
      </c>
      <c r="T26" s="13">
        <f>SUMIFS(Data!I:I,Data!A:A,Vitezistii!B26)/COUNTIF(Data!A:A,Vitezistii!B26)</f>
        <v>3.9376127731700844E-3</v>
      </c>
    </row>
    <row r="27" spans="1:20" ht="13.8" x14ac:dyDescent="0.3">
      <c r="A27" s="103">
        <v>26</v>
      </c>
      <c r="B27" s="36" t="s">
        <v>49</v>
      </c>
      <c r="C27" s="37">
        <f>IFERROR(IF(SUMIFS(Data!$K:$K,Data!$A:$A,Vitezistii!$B27,Data!$C:$C,Vitezistii!C$1)=0," ",SUMIFS(Data!$K:$K,Data!$A:$A,Vitezistii!$B27,Data!$C:$C,Vitezistii!C$1))+SUMIFS(Data!$S:$S,Data!$A:$A,Vitezistii!$B27,Data!$C:$C,Vitezistii!C$1),0)</f>
        <v>1</v>
      </c>
      <c r="D27" s="37">
        <f>IFERROR(IF(SUMIFS(Data!$K:$K,Data!$A:$A,Vitezistii!$B27,Data!$C:$C,Vitezistii!D$1)=0," ",SUMIFS(Data!$K:$K,Data!$A:$A,Vitezistii!$B27,Data!$C:$C,Vitezistii!D$1))+SUMIFS(Data!$S:$S,Data!$A:$A,Vitezistii!$B27,Data!$C:$C,Vitezistii!D$1),0)</f>
        <v>1</v>
      </c>
      <c r="E27" s="37">
        <f>IFERROR(IF(SUMIFS(Data!$K:$K,Data!$A:$A,Vitezistii!$B27,Data!$C:$C,Vitezistii!E$1)=0," ",SUMIFS(Data!$K:$K,Data!$A:$A,Vitezistii!$B27,Data!$C:$C,Vitezistii!E$1))+SUMIFS(Data!$S:$S,Data!$A:$A,Vitezistii!$B27,Data!$C:$C,Vitezistii!E$1),0)</f>
        <v>1</v>
      </c>
      <c r="F27" s="37">
        <f>IFERROR(IF(SUMIFS(Data!$K:$K,Data!$A:$A,Vitezistii!$B27,Data!$C:$C,Vitezistii!F$1)=0," ",SUMIFS(Data!$K:$K,Data!$A:$A,Vitezistii!$B27,Data!$C:$C,Vitezistii!F$1))+SUMIFS(Data!$S:$S,Data!$A:$A,Vitezistii!$B27,Data!$C:$C,Vitezistii!F$1),0)</f>
        <v>1</v>
      </c>
      <c r="G27" s="37">
        <f>IFERROR(IF(SUMIFS(Data!$K:$K,Data!$A:$A,Vitezistii!$B27,Data!$C:$C,Vitezistii!G$1)=0," ",SUMIFS(Data!$K:$K,Data!$A:$A,Vitezistii!$B27,Data!$C:$C,Vitezistii!G$1))+SUMIFS(Data!$S:$S,Data!$A:$A,Vitezistii!$B27,Data!$C:$C,Vitezistii!G$1),0)</f>
        <v>0</v>
      </c>
      <c r="H27" s="37">
        <f>IFERROR(IF(SUMIFS(Data!$K:$K,Data!$A:$A,Vitezistii!$B27,Data!$C:$C,Vitezistii!H$1)=0," ",SUMIFS(Data!$K:$K,Data!$A:$A,Vitezistii!$B27,Data!$C:$C,Vitezistii!H$1))+SUMIFS(Data!$S:$S,Data!$A:$A,Vitezistii!$B27,Data!$C:$C,Vitezistii!H$1),0)</f>
        <v>1.5</v>
      </c>
      <c r="I27" s="37">
        <f>IFERROR(IF(SUMIFS(Data!$K:$K,Data!$A:$A,Vitezistii!$B27,Data!$C:$C,Vitezistii!I$1)=0," ",SUMIFS(Data!$K:$K,Data!$A:$A,Vitezistii!$B27,Data!$C:$C,Vitezistii!I$1))+SUMIFS(Data!$S:$S,Data!$A:$A,Vitezistii!$B27,Data!$C:$C,Vitezistii!I$1),0)</f>
        <v>1</v>
      </c>
      <c r="J27" s="37">
        <f>IFERROR(IF(SUMIFS(Data!$K:$K,Data!$A:$A,Vitezistii!$B27,Data!$C:$C,Vitezistii!J$1)=0," ",SUMIFS(Data!$K:$K,Data!$A:$A,Vitezistii!$B27,Data!$C:$C,Vitezistii!J$1))+SUMIFS(Data!$S:$S,Data!$A:$A,Vitezistii!$B27,Data!$C:$C,Vitezistii!J$1),0)</f>
        <v>1</v>
      </c>
      <c r="K27" s="37">
        <f>IFERROR(IF(SUMIFS(Data!$K:$K,Data!$A:$A,Vitezistii!$B27,Data!$C:$C,Vitezistii!K$1)=0," ",SUMIFS(Data!$K:$K,Data!$A:$A,Vitezistii!$B27,Data!$C:$C,Vitezistii!K$1))+SUMIFS(Data!$S:$S,Data!$A:$A,Vitezistii!$B27,Data!$C:$C,Vitezistii!K$1),0)</f>
        <v>0</v>
      </c>
      <c r="L27" s="37">
        <f>IFERROR(IF(SUMIFS(Data!$K:$K,Data!$A:$A,Vitezistii!$B27,Data!$C:$C,Vitezistii!L$1)=0," ",SUMIFS(Data!$K:$K,Data!$A:$A,Vitezistii!$B27,Data!$C:$C,Vitezistii!L$1))+SUMIFS(Data!$S:$S,Data!$A:$A,Vitezistii!$B27,Data!$C:$C,Vitezistii!L$1),0)</f>
        <v>1</v>
      </c>
      <c r="M27" s="37">
        <f>IFERROR(IF(SUMIFS(Data!$K:$K,Data!$A:$A,Vitezistii!$B27,Data!$C:$C,Vitezistii!M$1)=0," ",SUMIFS(Data!$K:$K,Data!$A:$A,Vitezistii!$B27,Data!$C:$C,Vitezistii!M$1))+SUMIFS(Data!$S:$S,Data!$A:$A,Vitezistii!$B27,Data!$C:$C,Vitezistii!M$1),0)</f>
        <v>1.5</v>
      </c>
      <c r="N27" s="37">
        <f>IFERROR(IF(SUMIFS(Data!$K:$K,Data!$A:$A,Vitezistii!$B27,Data!$C:$C,Vitezistii!N$1)=0," ",SUMIFS(Data!$K:$K,Data!$A:$A,Vitezistii!$B27,Data!$C:$C,Vitezistii!N$1))+SUMIFS(Data!$S:$S,Data!$A:$A,Vitezistii!$B27,Data!$C:$C,Vitezistii!N$1),0)</f>
        <v>1.5</v>
      </c>
      <c r="O27" s="37">
        <f>IFERROR(IF(SUMIFS(Data!$K:$K,Data!$A:$A,Vitezistii!$B27,Data!$C:$C,Vitezistii!O$1)=0," ",SUMIFS(Data!$K:$K,Data!$A:$A,Vitezistii!$B27,Data!$C:$C,Vitezistii!O$1))+SUMIFS(Data!$S:$S,Data!$A:$A,Vitezistii!$B27,Data!$C:$C,Vitezistii!O$1),0)</f>
        <v>1.5</v>
      </c>
      <c r="P27" s="37">
        <f>IFERROR(IF(SUMIFS(Data!$K:$K,Data!$A:$A,Vitezistii!$B27,Data!$C:$C,Vitezistii!P$1)=0," ",SUMIFS(Data!$K:$K,Data!$A:$A,Vitezistii!$B27,Data!$C:$C,Vitezistii!P$1))+SUMIFS(Data!$S:$S,Data!$A:$A,Vitezistii!$B27,Data!$C:$C,Vitezistii!P$1),0)</f>
        <v>0</v>
      </c>
      <c r="Q27" s="37">
        <f>IFERROR(IF(SUMIFS(Data!$K:$K,Data!$A:$A,Vitezistii!$B27,Data!$C:$C,Vitezistii!Q$1)=0," ",SUMIFS(Data!$K:$K,Data!$A:$A,Vitezistii!$B27,Data!$C:$C,Vitezistii!Q$1))+SUMIFS(Data!$S:$S,Data!$A:$A,Vitezistii!$B27,Data!$C:$C,Vitezistii!Q$1),0)</f>
        <v>0</v>
      </c>
      <c r="R27" s="37">
        <f t="shared" si="0"/>
        <v>13</v>
      </c>
      <c r="S27" s="37">
        <f>SUMIFS(Data!D:D,Data!A:A,Vitezistii!B27)</f>
        <v>167.23000000000002</v>
      </c>
      <c r="T27" s="13">
        <f>SUMIFS(Data!I:I,Data!A:A,Vitezistii!B27)/COUNTIF(Data!A:A,Vitezistii!B27)</f>
        <v>4.6519797828066612E-3</v>
      </c>
    </row>
    <row r="28" spans="1:20" ht="13.8" x14ac:dyDescent="0.3">
      <c r="A28" s="103">
        <v>27</v>
      </c>
      <c r="B28" s="36" t="s">
        <v>64</v>
      </c>
      <c r="C28" s="37">
        <f>IFERROR(IF(SUMIFS(Data!$K:$K,Data!$A:$A,Vitezistii!$B28,Data!$C:$C,Vitezistii!C$1)=0," ",SUMIFS(Data!$K:$K,Data!$A:$A,Vitezistii!$B28,Data!$C:$C,Vitezistii!C$1))+SUMIFS(Data!$S:$S,Data!$A:$A,Vitezistii!$B28,Data!$C:$C,Vitezistii!C$1),0)</f>
        <v>0</v>
      </c>
      <c r="D28" s="37">
        <f>IFERROR(IF(SUMIFS(Data!$K:$K,Data!$A:$A,Vitezistii!$B28,Data!$C:$C,Vitezistii!D$1)=0," ",SUMIFS(Data!$K:$K,Data!$A:$A,Vitezistii!$B28,Data!$C:$C,Vitezistii!D$1))+SUMIFS(Data!$S:$S,Data!$A:$A,Vitezistii!$B28,Data!$C:$C,Vitezistii!D$1),0)</f>
        <v>2</v>
      </c>
      <c r="E28" s="37">
        <f>IFERROR(IF(SUMIFS(Data!$K:$K,Data!$A:$A,Vitezistii!$B28,Data!$C:$C,Vitezistii!E$1)=0," ",SUMIFS(Data!$K:$K,Data!$A:$A,Vitezistii!$B28,Data!$C:$C,Vitezistii!E$1))+SUMIFS(Data!$S:$S,Data!$A:$A,Vitezistii!$B28,Data!$C:$C,Vitezistii!E$1),0)</f>
        <v>0</v>
      </c>
      <c r="F28" s="37">
        <f>IFERROR(IF(SUMIFS(Data!$K:$K,Data!$A:$A,Vitezistii!$B28,Data!$C:$C,Vitezistii!F$1)=0," ",SUMIFS(Data!$K:$K,Data!$A:$A,Vitezistii!$B28,Data!$C:$C,Vitezistii!F$1))+SUMIFS(Data!$S:$S,Data!$A:$A,Vitezistii!$B28,Data!$C:$C,Vitezistii!F$1),0)</f>
        <v>1</v>
      </c>
      <c r="G28" s="37">
        <f>IFERROR(IF(SUMIFS(Data!$K:$K,Data!$A:$A,Vitezistii!$B28,Data!$C:$C,Vitezistii!G$1)=0," ",SUMIFS(Data!$K:$K,Data!$A:$A,Vitezistii!$B28,Data!$C:$C,Vitezistii!G$1))+SUMIFS(Data!$S:$S,Data!$A:$A,Vitezistii!$B28,Data!$C:$C,Vitezistii!G$1),0)</f>
        <v>0</v>
      </c>
      <c r="H28" s="37">
        <f>IFERROR(IF(SUMIFS(Data!$K:$K,Data!$A:$A,Vitezistii!$B28,Data!$C:$C,Vitezistii!H$1)=0," ",SUMIFS(Data!$K:$K,Data!$A:$A,Vitezistii!$B28,Data!$C:$C,Vitezistii!H$1))+SUMIFS(Data!$S:$S,Data!$A:$A,Vitezistii!$B28,Data!$C:$C,Vitezistii!H$1),0)</f>
        <v>3</v>
      </c>
      <c r="I28" s="37">
        <f>IFERROR(IF(SUMIFS(Data!$K:$K,Data!$A:$A,Vitezistii!$B28,Data!$C:$C,Vitezistii!I$1)=0," ",SUMIFS(Data!$K:$K,Data!$A:$A,Vitezistii!$B28,Data!$C:$C,Vitezistii!I$1))+SUMIFS(Data!$S:$S,Data!$A:$A,Vitezistii!$B28,Data!$C:$C,Vitezistii!I$1),0)</f>
        <v>0</v>
      </c>
      <c r="J28" s="37">
        <f>IFERROR(IF(SUMIFS(Data!$K:$K,Data!$A:$A,Vitezistii!$B28,Data!$C:$C,Vitezistii!J$1)=0," ",SUMIFS(Data!$K:$K,Data!$A:$A,Vitezistii!$B28,Data!$C:$C,Vitezistii!J$1))+SUMIFS(Data!$S:$S,Data!$A:$A,Vitezistii!$B28,Data!$C:$C,Vitezistii!J$1),0)</f>
        <v>0</v>
      </c>
      <c r="K28" s="37">
        <f>IFERROR(IF(SUMIFS(Data!$K:$K,Data!$A:$A,Vitezistii!$B28,Data!$C:$C,Vitezistii!K$1)=0," ",SUMIFS(Data!$K:$K,Data!$A:$A,Vitezistii!$B28,Data!$C:$C,Vitezistii!K$1))+SUMIFS(Data!$S:$S,Data!$A:$A,Vitezistii!$B28,Data!$C:$C,Vitezistii!K$1),0)</f>
        <v>1.5</v>
      </c>
      <c r="L28" s="37">
        <f>IFERROR(IF(SUMIFS(Data!$K:$K,Data!$A:$A,Vitezistii!$B28,Data!$C:$C,Vitezistii!L$1)=0," ",SUMIFS(Data!$K:$K,Data!$A:$A,Vitezistii!$B28,Data!$C:$C,Vitezistii!L$1))+SUMIFS(Data!$S:$S,Data!$A:$A,Vitezistii!$B28,Data!$C:$C,Vitezistii!L$1),0)</f>
        <v>2</v>
      </c>
      <c r="M28" s="37">
        <f>IFERROR(IF(SUMIFS(Data!$K:$K,Data!$A:$A,Vitezistii!$B28,Data!$C:$C,Vitezistii!M$1)=0," ",SUMIFS(Data!$K:$K,Data!$A:$A,Vitezistii!$B28,Data!$C:$C,Vitezistii!M$1))+SUMIFS(Data!$S:$S,Data!$A:$A,Vitezistii!$B28,Data!$C:$C,Vitezistii!M$1),0)</f>
        <v>1.5</v>
      </c>
      <c r="N28" s="37">
        <f>IFERROR(IF(SUMIFS(Data!$K:$K,Data!$A:$A,Vitezistii!$B28,Data!$C:$C,Vitezistii!N$1)=0," ",SUMIFS(Data!$K:$K,Data!$A:$A,Vitezistii!$B28,Data!$C:$C,Vitezistii!N$1))+SUMIFS(Data!$S:$S,Data!$A:$A,Vitezistii!$B28,Data!$C:$C,Vitezistii!N$1),0)</f>
        <v>0</v>
      </c>
      <c r="O28" s="37">
        <f>IFERROR(IF(SUMIFS(Data!$K:$K,Data!$A:$A,Vitezistii!$B28,Data!$C:$C,Vitezistii!O$1)=0," ",SUMIFS(Data!$K:$K,Data!$A:$A,Vitezistii!$B28,Data!$C:$C,Vitezistii!O$1))+SUMIFS(Data!$S:$S,Data!$A:$A,Vitezistii!$B28,Data!$C:$C,Vitezistii!O$1),0)</f>
        <v>0</v>
      </c>
      <c r="P28" s="37">
        <f>IFERROR(IF(SUMIFS(Data!$K:$K,Data!$A:$A,Vitezistii!$B28,Data!$C:$C,Vitezistii!P$1)=0," ",SUMIFS(Data!$K:$K,Data!$A:$A,Vitezistii!$B28,Data!$C:$C,Vitezistii!P$1))+SUMIFS(Data!$S:$S,Data!$A:$A,Vitezistii!$B28,Data!$C:$C,Vitezistii!P$1),0)</f>
        <v>0</v>
      </c>
      <c r="Q28" s="37">
        <f>IFERROR(IF(SUMIFS(Data!$K:$K,Data!$A:$A,Vitezistii!$B28,Data!$C:$C,Vitezistii!Q$1)=0," ",SUMIFS(Data!$K:$K,Data!$A:$A,Vitezistii!$B28,Data!$C:$C,Vitezistii!Q$1))+SUMIFS(Data!$S:$S,Data!$A:$A,Vitezistii!$B28,Data!$C:$C,Vitezistii!Q$1),0)</f>
        <v>0</v>
      </c>
      <c r="R28" s="37">
        <f t="shared" si="0"/>
        <v>11</v>
      </c>
      <c r="S28" s="37">
        <f>SUMIFS(Data!D:D,Data!A:A,Vitezistii!B28)</f>
        <v>437.45000000000005</v>
      </c>
      <c r="T28" s="13">
        <f>SUMIFS(Data!I:I,Data!A:A,Vitezistii!B28)/COUNTIF(Data!A:A,Vitezistii!B28)</f>
        <v>5.5704562186600793E-3</v>
      </c>
    </row>
    <row r="29" spans="1:20" ht="13.8" x14ac:dyDescent="0.3">
      <c r="A29" s="103">
        <v>28</v>
      </c>
      <c r="B29" s="36" t="s">
        <v>222</v>
      </c>
      <c r="C29" s="37">
        <f>IFERROR(IF(SUMIFS(Data!$K:$K,Data!$A:$A,Vitezistii!$B29,Data!$C:$C,Vitezistii!C$1)=0," ",SUMIFS(Data!$K:$K,Data!$A:$A,Vitezistii!$B29,Data!$C:$C,Vitezistii!C$1))+SUMIFS(Data!$S:$S,Data!$A:$A,Vitezistii!$B29,Data!$C:$C,Vitezistii!C$1),0)</f>
        <v>2.5</v>
      </c>
      <c r="D29" s="37">
        <f>IFERROR(IF(SUMIFS(Data!$K:$K,Data!$A:$A,Vitezistii!$B29,Data!$C:$C,Vitezistii!D$1)=0," ",SUMIFS(Data!$K:$K,Data!$A:$A,Vitezistii!$B29,Data!$C:$C,Vitezistii!D$1))+SUMIFS(Data!$S:$S,Data!$A:$A,Vitezistii!$B29,Data!$C:$C,Vitezistii!D$1),0)</f>
        <v>0</v>
      </c>
      <c r="E29" s="37">
        <f>IFERROR(IF(SUMIFS(Data!$K:$K,Data!$A:$A,Vitezistii!$B29,Data!$C:$C,Vitezistii!E$1)=0," ",SUMIFS(Data!$K:$K,Data!$A:$A,Vitezistii!$B29,Data!$C:$C,Vitezistii!E$1))+SUMIFS(Data!$S:$S,Data!$A:$A,Vitezistii!$B29,Data!$C:$C,Vitezistii!E$1),0)</f>
        <v>0</v>
      </c>
      <c r="F29" s="37">
        <f>IFERROR(IF(SUMIFS(Data!$K:$K,Data!$A:$A,Vitezistii!$B29,Data!$C:$C,Vitezistii!F$1)=0," ",SUMIFS(Data!$K:$K,Data!$A:$A,Vitezistii!$B29,Data!$C:$C,Vitezistii!F$1))+SUMIFS(Data!$S:$S,Data!$A:$A,Vitezistii!$B29,Data!$C:$C,Vitezistii!F$1),0)</f>
        <v>1</v>
      </c>
      <c r="G29" s="37">
        <f>IFERROR(IF(SUMIFS(Data!$K:$K,Data!$A:$A,Vitezistii!$B29,Data!$C:$C,Vitezistii!G$1)=0," ",SUMIFS(Data!$K:$K,Data!$A:$A,Vitezistii!$B29,Data!$C:$C,Vitezistii!G$1))+SUMIFS(Data!$S:$S,Data!$A:$A,Vitezistii!$B29,Data!$C:$C,Vitezistii!G$1),0)</f>
        <v>2</v>
      </c>
      <c r="H29" s="37">
        <f>IFERROR(IF(SUMIFS(Data!$K:$K,Data!$A:$A,Vitezistii!$B29,Data!$C:$C,Vitezistii!H$1)=0," ",SUMIFS(Data!$K:$K,Data!$A:$A,Vitezistii!$B29,Data!$C:$C,Vitezistii!H$1))+SUMIFS(Data!$S:$S,Data!$A:$A,Vitezistii!$B29,Data!$C:$C,Vitezistii!H$1),0)</f>
        <v>0</v>
      </c>
      <c r="I29" s="37">
        <f>IFERROR(IF(SUMIFS(Data!$K:$K,Data!$A:$A,Vitezistii!$B29,Data!$C:$C,Vitezistii!I$1)=0," ",SUMIFS(Data!$K:$K,Data!$A:$A,Vitezistii!$B29,Data!$C:$C,Vitezistii!I$1))+SUMIFS(Data!$S:$S,Data!$A:$A,Vitezistii!$B29,Data!$C:$C,Vitezistii!I$1),0)</f>
        <v>2</v>
      </c>
      <c r="J29" s="37">
        <f>IFERROR(IF(SUMIFS(Data!$K:$K,Data!$A:$A,Vitezistii!$B29,Data!$C:$C,Vitezistii!J$1)=0," ",SUMIFS(Data!$K:$K,Data!$A:$A,Vitezistii!$B29,Data!$C:$C,Vitezistii!J$1))+SUMIFS(Data!$S:$S,Data!$A:$A,Vitezistii!$B29,Data!$C:$C,Vitezistii!J$1),0)</f>
        <v>1.5</v>
      </c>
      <c r="K29" s="37">
        <f>IFERROR(IF(SUMIFS(Data!$K:$K,Data!$A:$A,Vitezistii!$B29,Data!$C:$C,Vitezistii!K$1)=0," ",SUMIFS(Data!$K:$K,Data!$A:$A,Vitezistii!$B29,Data!$C:$C,Vitezistii!K$1))+SUMIFS(Data!$S:$S,Data!$A:$A,Vitezistii!$B29,Data!$C:$C,Vitezistii!K$1),0)</f>
        <v>0</v>
      </c>
      <c r="L29" s="37">
        <f>IFERROR(IF(SUMIFS(Data!$K:$K,Data!$A:$A,Vitezistii!$B29,Data!$C:$C,Vitezistii!L$1)=0," ",SUMIFS(Data!$K:$K,Data!$A:$A,Vitezistii!$B29,Data!$C:$C,Vitezistii!L$1))+SUMIFS(Data!$S:$S,Data!$A:$A,Vitezistii!$B29,Data!$C:$C,Vitezistii!L$1),0)</f>
        <v>0</v>
      </c>
      <c r="M29" s="37">
        <f>IFERROR(IF(SUMIFS(Data!$K:$K,Data!$A:$A,Vitezistii!$B29,Data!$C:$C,Vitezistii!M$1)=0," ",SUMIFS(Data!$K:$K,Data!$A:$A,Vitezistii!$B29,Data!$C:$C,Vitezistii!M$1))+SUMIFS(Data!$S:$S,Data!$A:$A,Vitezistii!$B29,Data!$C:$C,Vitezistii!M$1),0)</f>
        <v>0</v>
      </c>
      <c r="N29" s="37">
        <f>IFERROR(IF(SUMIFS(Data!$K:$K,Data!$A:$A,Vitezistii!$B29,Data!$C:$C,Vitezistii!N$1)=0," ",SUMIFS(Data!$K:$K,Data!$A:$A,Vitezistii!$B29,Data!$C:$C,Vitezistii!N$1))+SUMIFS(Data!$S:$S,Data!$A:$A,Vitezistii!$B29,Data!$C:$C,Vitezistii!N$1),0)</f>
        <v>0</v>
      </c>
      <c r="O29" s="37">
        <f>IFERROR(IF(SUMIFS(Data!$K:$K,Data!$A:$A,Vitezistii!$B29,Data!$C:$C,Vitezistii!O$1)=0," ",SUMIFS(Data!$K:$K,Data!$A:$A,Vitezistii!$B29,Data!$C:$C,Vitezistii!O$1))+SUMIFS(Data!$S:$S,Data!$A:$A,Vitezistii!$B29,Data!$C:$C,Vitezistii!O$1),0)</f>
        <v>1.5</v>
      </c>
      <c r="P29" s="37">
        <f>IFERROR(IF(SUMIFS(Data!$K:$K,Data!$A:$A,Vitezistii!$B29,Data!$C:$C,Vitezistii!P$1)=0," ",SUMIFS(Data!$K:$K,Data!$A:$A,Vitezistii!$B29,Data!$C:$C,Vitezistii!P$1))+SUMIFS(Data!$S:$S,Data!$A:$A,Vitezistii!$B29,Data!$C:$C,Vitezistii!P$1),0)</f>
        <v>0</v>
      </c>
      <c r="Q29" s="37">
        <f>IFERROR(IF(SUMIFS(Data!$K:$K,Data!$A:$A,Vitezistii!$B29,Data!$C:$C,Vitezistii!Q$1)=0," ",SUMIFS(Data!$K:$K,Data!$A:$A,Vitezistii!$B29,Data!$C:$C,Vitezistii!Q$1))+SUMIFS(Data!$S:$S,Data!$A:$A,Vitezistii!$B29,Data!$C:$C,Vitezistii!Q$1),0)</f>
        <v>0</v>
      </c>
      <c r="R29" s="37">
        <f t="shared" si="0"/>
        <v>10.5</v>
      </c>
      <c r="S29" s="37">
        <f>SUMIFS(Data!D:D,Data!A:A,Vitezistii!B29)</f>
        <v>81.83</v>
      </c>
      <c r="T29" s="13">
        <f>SUMIFS(Data!I:I,Data!A:A,Vitezistii!B29)/COUNTIF(Data!A:A,Vitezistii!B29)</f>
        <v>5.2329508268355047E-3</v>
      </c>
    </row>
    <row r="30" spans="1:20" ht="13.8" x14ac:dyDescent="0.3">
      <c r="A30" s="103">
        <v>29</v>
      </c>
      <c r="B30" s="36" t="s">
        <v>54</v>
      </c>
      <c r="C30" s="37">
        <f>IFERROR(IF(SUMIFS(Data!$K:$K,Data!$A:$A,Vitezistii!$B30,Data!$C:$C,Vitezistii!C$1)=0," ",SUMIFS(Data!$K:$K,Data!$A:$A,Vitezistii!$B30,Data!$C:$C,Vitezistii!C$1))+SUMIFS(Data!$S:$S,Data!$A:$A,Vitezistii!$B30,Data!$C:$C,Vitezistii!C$1),0)</f>
        <v>0</v>
      </c>
      <c r="D30" s="37">
        <f>IFERROR(IF(SUMIFS(Data!$K:$K,Data!$A:$A,Vitezistii!$B30,Data!$C:$C,Vitezistii!D$1)=0," ",SUMIFS(Data!$K:$K,Data!$A:$A,Vitezistii!$B30,Data!$C:$C,Vitezistii!D$1))+SUMIFS(Data!$S:$S,Data!$A:$A,Vitezistii!$B30,Data!$C:$C,Vitezistii!D$1),0)</f>
        <v>0</v>
      </c>
      <c r="E30" s="37">
        <f>IFERROR(IF(SUMIFS(Data!$K:$K,Data!$A:$A,Vitezistii!$B30,Data!$C:$C,Vitezistii!E$1)=0," ",SUMIFS(Data!$K:$K,Data!$A:$A,Vitezistii!$B30,Data!$C:$C,Vitezistii!E$1))+SUMIFS(Data!$S:$S,Data!$A:$A,Vitezistii!$B30,Data!$C:$C,Vitezistii!E$1),0)</f>
        <v>0</v>
      </c>
      <c r="F30" s="37">
        <f>IFERROR(IF(SUMIFS(Data!$K:$K,Data!$A:$A,Vitezistii!$B30,Data!$C:$C,Vitezistii!F$1)=0," ",SUMIFS(Data!$K:$K,Data!$A:$A,Vitezistii!$B30,Data!$C:$C,Vitezistii!F$1))+SUMIFS(Data!$S:$S,Data!$A:$A,Vitezistii!$B30,Data!$C:$C,Vitezistii!F$1),0)</f>
        <v>1</v>
      </c>
      <c r="G30" s="37">
        <f>IFERROR(IF(SUMIFS(Data!$K:$K,Data!$A:$A,Vitezistii!$B30,Data!$C:$C,Vitezistii!G$1)=0," ",SUMIFS(Data!$K:$K,Data!$A:$A,Vitezistii!$B30,Data!$C:$C,Vitezistii!G$1))+SUMIFS(Data!$S:$S,Data!$A:$A,Vitezistii!$B30,Data!$C:$C,Vitezistii!G$1),0)</f>
        <v>1</v>
      </c>
      <c r="H30" s="37">
        <f>IFERROR(IF(SUMIFS(Data!$K:$K,Data!$A:$A,Vitezistii!$B30,Data!$C:$C,Vitezistii!H$1)=0," ",SUMIFS(Data!$K:$K,Data!$A:$A,Vitezistii!$B30,Data!$C:$C,Vitezistii!H$1))+SUMIFS(Data!$S:$S,Data!$A:$A,Vitezistii!$B30,Data!$C:$C,Vitezistii!H$1),0)</f>
        <v>1</v>
      </c>
      <c r="I30" s="37">
        <f>IFERROR(IF(SUMIFS(Data!$K:$K,Data!$A:$A,Vitezistii!$B30,Data!$C:$C,Vitezistii!I$1)=0," ",SUMIFS(Data!$K:$K,Data!$A:$A,Vitezistii!$B30,Data!$C:$C,Vitezistii!I$1))+SUMIFS(Data!$S:$S,Data!$A:$A,Vitezistii!$B30,Data!$C:$C,Vitezistii!I$1),0)</f>
        <v>0</v>
      </c>
      <c r="J30" s="37">
        <f>IFERROR(IF(SUMIFS(Data!$K:$K,Data!$A:$A,Vitezistii!$B30,Data!$C:$C,Vitezistii!J$1)=0," ",SUMIFS(Data!$K:$K,Data!$A:$A,Vitezistii!$B30,Data!$C:$C,Vitezistii!J$1))+SUMIFS(Data!$S:$S,Data!$A:$A,Vitezistii!$B30,Data!$C:$C,Vitezistii!J$1),0)</f>
        <v>0</v>
      </c>
      <c r="K30" s="37">
        <f>IFERROR(IF(SUMIFS(Data!$K:$K,Data!$A:$A,Vitezistii!$B30,Data!$C:$C,Vitezistii!K$1)=0," ",SUMIFS(Data!$K:$K,Data!$A:$A,Vitezistii!$B30,Data!$C:$C,Vitezistii!K$1))+SUMIFS(Data!$S:$S,Data!$A:$A,Vitezistii!$B30,Data!$C:$C,Vitezistii!K$1),0)</f>
        <v>1</v>
      </c>
      <c r="L30" s="37">
        <f>IFERROR(IF(SUMIFS(Data!$K:$K,Data!$A:$A,Vitezistii!$B30,Data!$C:$C,Vitezistii!L$1)=0," ",SUMIFS(Data!$K:$K,Data!$A:$A,Vitezistii!$B30,Data!$C:$C,Vitezistii!L$1))+SUMIFS(Data!$S:$S,Data!$A:$A,Vitezistii!$B30,Data!$C:$C,Vitezistii!L$1),0)</f>
        <v>1</v>
      </c>
      <c r="M30" s="37">
        <f>IFERROR(IF(SUMIFS(Data!$K:$K,Data!$A:$A,Vitezistii!$B30,Data!$C:$C,Vitezistii!M$1)=0," ",SUMIFS(Data!$K:$K,Data!$A:$A,Vitezistii!$B30,Data!$C:$C,Vitezistii!M$1))+SUMIFS(Data!$S:$S,Data!$A:$A,Vitezistii!$B30,Data!$C:$C,Vitezistii!M$1),0)</f>
        <v>1</v>
      </c>
      <c r="N30" s="37">
        <f>IFERROR(IF(SUMIFS(Data!$K:$K,Data!$A:$A,Vitezistii!$B30,Data!$C:$C,Vitezistii!N$1)=0," ",SUMIFS(Data!$K:$K,Data!$A:$A,Vitezistii!$B30,Data!$C:$C,Vitezistii!N$1))+SUMIFS(Data!$S:$S,Data!$A:$A,Vitezistii!$B30,Data!$C:$C,Vitezistii!N$1),0)</f>
        <v>1</v>
      </c>
      <c r="O30" s="37">
        <f>IFERROR(IF(SUMIFS(Data!$K:$K,Data!$A:$A,Vitezistii!$B30,Data!$C:$C,Vitezistii!O$1)=0," ",SUMIFS(Data!$K:$K,Data!$A:$A,Vitezistii!$B30,Data!$C:$C,Vitezistii!O$1))+SUMIFS(Data!$S:$S,Data!$A:$A,Vitezistii!$B30,Data!$C:$C,Vitezistii!O$1),0)</f>
        <v>0</v>
      </c>
      <c r="P30" s="37">
        <f>IFERROR(IF(SUMIFS(Data!$K:$K,Data!$A:$A,Vitezistii!$B30,Data!$C:$C,Vitezistii!P$1)=0," ",SUMIFS(Data!$K:$K,Data!$A:$A,Vitezistii!$B30,Data!$C:$C,Vitezistii!P$1))+SUMIFS(Data!$S:$S,Data!$A:$A,Vitezistii!$B30,Data!$C:$C,Vitezistii!P$1),0)</f>
        <v>0</v>
      </c>
      <c r="Q30" s="37">
        <f>IFERROR(IF(SUMIFS(Data!$K:$K,Data!$A:$A,Vitezistii!$B30,Data!$C:$C,Vitezistii!Q$1)=0," ",SUMIFS(Data!$K:$K,Data!$A:$A,Vitezistii!$B30,Data!$C:$C,Vitezistii!Q$1))+SUMIFS(Data!$S:$S,Data!$A:$A,Vitezistii!$B30,Data!$C:$C,Vitezistii!Q$1),0)</f>
        <v>0</v>
      </c>
      <c r="R30" s="37">
        <f t="shared" si="0"/>
        <v>7</v>
      </c>
      <c r="S30" s="37">
        <f>SUMIFS(Data!D:D,Data!A:A,Vitezistii!B30)</f>
        <v>118.92</v>
      </c>
      <c r="T30" s="13">
        <f>SUMIFS(Data!I:I,Data!A:A,Vitezistii!B30)/COUNTIF(Data!A:A,Vitezistii!B30)</f>
        <v>4.8720042240623001E-3</v>
      </c>
    </row>
    <row r="31" spans="1:20" ht="13.8" x14ac:dyDescent="0.3">
      <c r="A31" s="103">
        <v>30</v>
      </c>
      <c r="B31" s="36" t="s">
        <v>65</v>
      </c>
      <c r="C31" s="37">
        <f>IFERROR(IF(SUMIFS(Data!$K:$K,Data!$A:$A,Vitezistii!$B31,Data!$C:$C,Vitezistii!C$1)=0," ",SUMIFS(Data!$K:$K,Data!$A:$A,Vitezistii!$B31,Data!$C:$C,Vitezistii!C$1))+SUMIFS(Data!$S:$S,Data!$A:$A,Vitezistii!$B31,Data!$C:$C,Vitezistii!C$1),0)</f>
        <v>0</v>
      </c>
      <c r="D31" s="37">
        <f>IFERROR(IF(SUMIFS(Data!$K:$K,Data!$A:$A,Vitezistii!$B31,Data!$C:$C,Vitezistii!D$1)=0," ",SUMIFS(Data!$K:$K,Data!$A:$A,Vitezistii!$B31,Data!$C:$C,Vitezistii!D$1))+SUMIFS(Data!$S:$S,Data!$A:$A,Vitezistii!$B31,Data!$C:$C,Vitezistii!D$1),0)</f>
        <v>0</v>
      </c>
      <c r="E31" s="37">
        <f>IFERROR(IF(SUMIFS(Data!$K:$K,Data!$A:$A,Vitezistii!$B31,Data!$C:$C,Vitezistii!E$1)=0," ",SUMIFS(Data!$K:$K,Data!$A:$A,Vitezistii!$B31,Data!$C:$C,Vitezistii!E$1))+SUMIFS(Data!$S:$S,Data!$A:$A,Vitezistii!$B31,Data!$C:$C,Vitezistii!E$1),0)</f>
        <v>1</v>
      </c>
      <c r="F31" s="37">
        <f>IFERROR(IF(SUMIFS(Data!$K:$K,Data!$A:$A,Vitezistii!$B31,Data!$C:$C,Vitezistii!F$1)=0," ",SUMIFS(Data!$K:$K,Data!$A:$A,Vitezistii!$B31,Data!$C:$C,Vitezistii!F$1))+SUMIFS(Data!$S:$S,Data!$A:$A,Vitezistii!$B31,Data!$C:$C,Vitezistii!F$1),0)</f>
        <v>1</v>
      </c>
      <c r="G31" s="37">
        <f>IFERROR(IF(SUMIFS(Data!$K:$K,Data!$A:$A,Vitezistii!$B31,Data!$C:$C,Vitezistii!G$1)=0," ",SUMIFS(Data!$K:$K,Data!$A:$A,Vitezistii!$B31,Data!$C:$C,Vitezistii!G$1))+SUMIFS(Data!$S:$S,Data!$A:$A,Vitezistii!$B31,Data!$C:$C,Vitezistii!G$1),0)</f>
        <v>1</v>
      </c>
      <c r="H31" s="37">
        <f>IFERROR(IF(SUMIFS(Data!$K:$K,Data!$A:$A,Vitezistii!$B31,Data!$C:$C,Vitezistii!H$1)=0," ",SUMIFS(Data!$K:$K,Data!$A:$A,Vitezistii!$B31,Data!$C:$C,Vitezistii!H$1))+SUMIFS(Data!$S:$S,Data!$A:$A,Vitezistii!$B31,Data!$C:$C,Vitezistii!H$1),0)</f>
        <v>0</v>
      </c>
      <c r="I31" s="37">
        <f>IFERROR(IF(SUMIFS(Data!$K:$K,Data!$A:$A,Vitezistii!$B31,Data!$C:$C,Vitezistii!I$1)=0," ",SUMIFS(Data!$K:$K,Data!$A:$A,Vitezistii!$B31,Data!$C:$C,Vitezistii!I$1))+SUMIFS(Data!$S:$S,Data!$A:$A,Vitezistii!$B31,Data!$C:$C,Vitezistii!I$1),0)</f>
        <v>1</v>
      </c>
      <c r="J31" s="37">
        <f>IFERROR(IF(SUMIFS(Data!$K:$K,Data!$A:$A,Vitezistii!$B31,Data!$C:$C,Vitezistii!J$1)=0," ",SUMIFS(Data!$K:$K,Data!$A:$A,Vitezistii!$B31,Data!$C:$C,Vitezistii!J$1))+SUMIFS(Data!$S:$S,Data!$A:$A,Vitezistii!$B31,Data!$C:$C,Vitezistii!J$1),0)</f>
        <v>1</v>
      </c>
      <c r="K31" s="37">
        <f>IFERROR(IF(SUMIFS(Data!$K:$K,Data!$A:$A,Vitezistii!$B31,Data!$C:$C,Vitezistii!K$1)=0," ",SUMIFS(Data!$K:$K,Data!$A:$A,Vitezistii!$B31,Data!$C:$C,Vitezistii!K$1))+SUMIFS(Data!$S:$S,Data!$A:$A,Vitezistii!$B31,Data!$C:$C,Vitezistii!K$1),0)</f>
        <v>1</v>
      </c>
      <c r="L31" s="37">
        <f>IFERROR(IF(SUMIFS(Data!$K:$K,Data!$A:$A,Vitezistii!$B31,Data!$C:$C,Vitezistii!L$1)=0," ",SUMIFS(Data!$K:$K,Data!$A:$A,Vitezistii!$B31,Data!$C:$C,Vitezistii!L$1))+SUMIFS(Data!$S:$S,Data!$A:$A,Vitezistii!$B31,Data!$C:$C,Vitezistii!L$1),0)</f>
        <v>1</v>
      </c>
      <c r="M31" s="37">
        <f>IFERROR(IF(SUMIFS(Data!$K:$K,Data!$A:$A,Vitezistii!$B31,Data!$C:$C,Vitezistii!M$1)=0," ",SUMIFS(Data!$K:$K,Data!$A:$A,Vitezistii!$B31,Data!$C:$C,Vitezistii!M$1))+SUMIFS(Data!$S:$S,Data!$A:$A,Vitezistii!$B31,Data!$C:$C,Vitezistii!M$1),0)</f>
        <v>0</v>
      </c>
      <c r="N31" s="37">
        <f>IFERROR(IF(SUMIFS(Data!$K:$K,Data!$A:$A,Vitezistii!$B31,Data!$C:$C,Vitezistii!N$1)=0," ",SUMIFS(Data!$K:$K,Data!$A:$A,Vitezistii!$B31,Data!$C:$C,Vitezistii!N$1))+SUMIFS(Data!$S:$S,Data!$A:$A,Vitezistii!$B31,Data!$C:$C,Vitezistii!N$1),0)</f>
        <v>0</v>
      </c>
      <c r="O31" s="37">
        <f>IFERROR(IF(SUMIFS(Data!$K:$K,Data!$A:$A,Vitezistii!$B31,Data!$C:$C,Vitezistii!O$1)=0," ",SUMIFS(Data!$K:$K,Data!$A:$A,Vitezistii!$B31,Data!$C:$C,Vitezistii!O$1))+SUMIFS(Data!$S:$S,Data!$A:$A,Vitezistii!$B31,Data!$C:$C,Vitezistii!O$1),0)</f>
        <v>0</v>
      </c>
      <c r="P31" s="37">
        <f>IFERROR(IF(SUMIFS(Data!$K:$K,Data!$A:$A,Vitezistii!$B31,Data!$C:$C,Vitezistii!P$1)=0," ",SUMIFS(Data!$K:$K,Data!$A:$A,Vitezistii!$B31,Data!$C:$C,Vitezistii!P$1))+SUMIFS(Data!$S:$S,Data!$A:$A,Vitezistii!$B31,Data!$C:$C,Vitezistii!P$1),0)</f>
        <v>0</v>
      </c>
      <c r="Q31" s="37">
        <f>IFERROR(IF(SUMIFS(Data!$K:$K,Data!$A:$A,Vitezistii!$B31,Data!$C:$C,Vitezistii!Q$1)=0," ",SUMIFS(Data!$K:$K,Data!$A:$A,Vitezistii!$B31,Data!$C:$C,Vitezistii!Q$1))+SUMIFS(Data!$S:$S,Data!$A:$A,Vitezistii!$B31,Data!$C:$C,Vitezistii!Q$1),0)</f>
        <v>0</v>
      </c>
      <c r="R31" s="37">
        <f t="shared" si="0"/>
        <v>7</v>
      </c>
      <c r="S31" s="37">
        <f>SUMIFS(Data!D:D,Data!A:A,Vitezistii!B31)</f>
        <v>94.72999999999999</v>
      </c>
      <c r="T31" s="13">
        <f>SUMIFS(Data!I:I,Data!A:A,Vitezistii!B31)/COUNTIF(Data!A:A,Vitezistii!B31)</f>
        <v>6.2544732264105613E-3</v>
      </c>
    </row>
    <row r="32" spans="1:20" ht="13.8" x14ac:dyDescent="0.3">
      <c r="A32" s="103">
        <v>31</v>
      </c>
      <c r="B32" s="36" t="s">
        <v>221</v>
      </c>
      <c r="C32" s="37">
        <f>IFERROR(IF(SUMIFS(Data!$K:$K,Data!$A:$A,Vitezistii!$B32,Data!$C:$C,Vitezistii!C$1)=0," ",SUMIFS(Data!$K:$K,Data!$A:$A,Vitezistii!$B32,Data!$C:$C,Vitezistii!C$1))+SUMIFS(Data!$S:$S,Data!$A:$A,Vitezistii!$B32,Data!$C:$C,Vitezistii!C$1),0)</f>
        <v>0</v>
      </c>
      <c r="D32" s="37">
        <f>IFERROR(IF(SUMIFS(Data!$K:$K,Data!$A:$A,Vitezistii!$B32,Data!$C:$C,Vitezistii!D$1)=0," ",SUMIFS(Data!$K:$K,Data!$A:$A,Vitezistii!$B32,Data!$C:$C,Vitezistii!D$1))+SUMIFS(Data!$S:$S,Data!$A:$A,Vitezistii!$B32,Data!$C:$C,Vitezistii!D$1),0)</f>
        <v>3.5</v>
      </c>
      <c r="E32" s="37">
        <f>IFERROR(IF(SUMIFS(Data!$K:$K,Data!$A:$A,Vitezistii!$B32,Data!$C:$C,Vitezistii!E$1)=0," ",SUMIFS(Data!$K:$K,Data!$A:$A,Vitezistii!$B32,Data!$C:$C,Vitezistii!E$1))+SUMIFS(Data!$S:$S,Data!$A:$A,Vitezistii!$B32,Data!$C:$C,Vitezistii!E$1),0)</f>
        <v>0</v>
      </c>
      <c r="F32" s="37">
        <f>IFERROR(IF(SUMIFS(Data!$K:$K,Data!$A:$A,Vitezistii!$B32,Data!$C:$C,Vitezistii!F$1)=0," ",SUMIFS(Data!$K:$K,Data!$A:$A,Vitezistii!$B32,Data!$C:$C,Vitezistii!F$1))+SUMIFS(Data!$S:$S,Data!$A:$A,Vitezistii!$B32,Data!$C:$C,Vitezistii!F$1),0)</f>
        <v>1</v>
      </c>
      <c r="G32" s="37">
        <f>IFERROR(IF(SUMIFS(Data!$K:$K,Data!$A:$A,Vitezistii!$B32,Data!$C:$C,Vitezistii!G$1)=0," ",SUMIFS(Data!$K:$K,Data!$A:$A,Vitezistii!$B32,Data!$C:$C,Vitezistii!G$1))+SUMIFS(Data!$S:$S,Data!$A:$A,Vitezistii!$B32,Data!$C:$C,Vitezistii!G$1),0)</f>
        <v>0</v>
      </c>
      <c r="H32" s="37">
        <f>IFERROR(IF(SUMIFS(Data!$K:$K,Data!$A:$A,Vitezistii!$B32,Data!$C:$C,Vitezistii!H$1)=0," ",SUMIFS(Data!$K:$K,Data!$A:$A,Vitezistii!$B32,Data!$C:$C,Vitezistii!H$1))+SUMIFS(Data!$S:$S,Data!$A:$A,Vitezistii!$B32,Data!$C:$C,Vitezistii!H$1),0)</f>
        <v>0</v>
      </c>
      <c r="I32" s="37">
        <f>IFERROR(IF(SUMIFS(Data!$K:$K,Data!$A:$A,Vitezistii!$B32,Data!$C:$C,Vitezistii!I$1)=0," ",SUMIFS(Data!$K:$K,Data!$A:$A,Vitezistii!$B32,Data!$C:$C,Vitezistii!I$1))+SUMIFS(Data!$S:$S,Data!$A:$A,Vitezistii!$B32,Data!$C:$C,Vitezistii!I$1),0)</f>
        <v>0</v>
      </c>
      <c r="J32" s="37">
        <f>IFERROR(IF(SUMIFS(Data!$K:$K,Data!$A:$A,Vitezistii!$B32,Data!$C:$C,Vitezistii!J$1)=0," ",SUMIFS(Data!$K:$K,Data!$A:$A,Vitezistii!$B32,Data!$C:$C,Vitezistii!J$1))+SUMIFS(Data!$S:$S,Data!$A:$A,Vitezistii!$B32,Data!$C:$C,Vitezistii!J$1),0)</f>
        <v>0</v>
      </c>
      <c r="K32" s="37">
        <f>IFERROR(IF(SUMIFS(Data!$K:$K,Data!$A:$A,Vitezistii!$B32,Data!$C:$C,Vitezistii!K$1)=0," ",SUMIFS(Data!$K:$K,Data!$A:$A,Vitezistii!$B32,Data!$C:$C,Vitezistii!K$1))+SUMIFS(Data!$S:$S,Data!$A:$A,Vitezistii!$B32,Data!$C:$C,Vitezistii!K$1),0)</f>
        <v>0</v>
      </c>
      <c r="L32" s="37">
        <f>IFERROR(IF(SUMIFS(Data!$K:$K,Data!$A:$A,Vitezistii!$B32,Data!$C:$C,Vitezistii!L$1)=0," ",SUMIFS(Data!$K:$K,Data!$A:$A,Vitezistii!$B32,Data!$C:$C,Vitezistii!L$1))+SUMIFS(Data!$S:$S,Data!$A:$A,Vitezistii!$B32,Data!$C:$C,Vitezistii!L$1),0)</f>
        <v>0</v>
      </c>
      <c r="M32" s="37">
        <f>IFERROR(IF(SUMIFS(Data!$K:$K,Data!$A:$A,Vitezistii!$B32,Data!$C:$C,Vitezistii!M$1)=0," ",SUMIFS(Data!$K:$K,Data!$A:$A,Vitezistii!$B32,Data!$C:$C,Vitezistii!M$1))+SUMIFS(Data!$S:$S,Data!$A:$A,Vitezistii!$B32,Data!$C:$C,Vitezistii!M$1),0)</f>
        <v>0</v>
      </c>
      <c r="N32" s="37">
        <f>IFERROR(IF(SUMIFS(Data!$K:$K,Data!$A:$A,Vitezistii!$B32,Data!$C:$C,Vitezistii!N$1)=0," ",SUMIFS(Data!$K:$K,Data!$A:$A,Vitezistii!$B32,Data!$C:$C,Vitezistii!N$1))+SUMIFS(Data!$S:$S,Data!$A:$A,Vitezistii!$B32,Data!$C:$C,Vitezistii!N$1),0)</f>
        <v>0</v>
      </c>
      <c r="O32" s="37">
        <f>IFERROR(IF(SUMIFS(Data!$K:$K,Data!$A:$A,Vitezistii!$B32,Data!$C:$C,Vitezistii!O$1)=0," ",SUMIFS(Data!$K:$K,Data!$A:$A,Vitezistii!$B32,Data!$C:$C,Vitezistii!O$1))+SUMIFS(Data!$S:$S,Data!$A:$A,Vitezistii!$B32,Data!$C:$C,Vitezistii!O$1),0)</f>
        <v>0</v>
      </c>
      <c r="P32" s="37">
        <f>IFERROR(IF(SUMIFS(Data!$K:$K,Data!$A:$A,Vitezistii!$B32,Data!$C:$C,Vitezistii!P$1)=0," ",SUMIFS(Data!$K:$K,Data!$A:$A,Vitezistii!$B32,Data!$C:$C,Vitezistii!P$1))+SUMIFS(Data!$S:$S,Data!$A:$A,Vitezistii!$B32,Data!$C:$C,Vitezistii!P$1),0)</f>
        <v>0</v>
      </c>
      <c r="Q32" s="37">
        <f>IFERROR(IF(SUMIFS(Data!$K:$K,Data!$A:$A,Vitezistii!$B32,Data!$C:$C,Vitezistii!Q$1)=0," ",SUMIFS(Data!$K:$K,Data!$A:$A,Vitezistii!$B32,Data!$C:$C,Vitezistii!Q$1))+SUMIFS(Data!$S:$S,Data!$A:$A,Vitezistii!$B32,Data!$C:$C,Vitezistii!Q$1),0)</f>
        <v>0</v>
      </c>
      <c r="R32" s="37">
        <f t="shared" si="0"/>
        <v>4.5</v>
      </c>
      <c r="S32" s="37">
        <f>SUMIFS(Data!D:D,Data!A:A,Vitezistii!B32)</f>
        <v>85.6</v>
      </c>
      <c r="T32" s="13">
        <f>SUMIFS(Data!I:I,Data!A:A,Vitezistii!B32)/COUNTIF(Data!A:A,Vitezistii!B32)</f>
        <v>4.8655132143840402E-3</v>
      </c>
    </row>
    <row r="33" spans="1:20" ht="13.8" x14ac:dyDescent="0.3">
      <c r="A33" s="103">
        <v>32</v>
      </c>
      <c r="B33" s="36" t="s">
        <v>273</v>
      </c>
      <c r="C33" s="37">
        <f>IFERROR(IF(SUMIFS(Data!$K:$K,Data!$A:$A,Vitezistii!$B33,Data!$C:$C,Vitezistii!C$1)=0," ",SUMIFS(Data!$K:$K,Data!$A:$A,Vitezistii!$B33,Data!$C:$C,Vitezistii!C$1))+SUMIFS(Data!$S:$S,Data!$A:$A,Vitezistii!$B33,Data!$C:$C,Vitezistii!C$1),0)</f>
        <v>0</v>
      </c>
      <c r="D33" s="37">
        <f>IFERROR(IF(SUMIFS(Data!$K:$K,Data!$A:$A,Vitezistii!$B33,Data!$C:$C,Vitezistii!D$1)=0," ",SUMIFS(Data!$K:$K,Data!$A:$A,Vitezistii!$B33,Data!$C:$C,Vitezistii!D$1))+SUMIFS(Data!$S:$S,Data!$A:$A,Vitezistii!$B33,Data!$C:$C,Vitezistii!D$1),0)</f>
        <v>0</v>
      </c>
      <c r="E33" s="37">
        <f>IFERROR(IF(SUMIFS(Data!$K:$K,Data!$A:$A,Vitezistii!$B33,Data!$C:$C,Vitezistii!E$1)=0," ",SUMIFS(Data!$K:$K,Data!$A:$A,Vitezistii!$B33,Data!$C:$C,Vitezistii!E$1))+SUMIFS(Data!$S:$S,Data!$A:$A,Vitezistii!$B33,Data!$C:$C,Vitezistii!E$1),0)</f>
        <v>0</v>
      </c>
      <c r="F33" s="37">
        <f>IFERROR(IF(SUMIFS(Data!$K:$K,Data!$A:$A,Vitezistii!$B33,Data!$C:$C,Vitezistii!F$1)=0," ",SUMIFS(Data!$K:$K,Data!$A:$A,Vitezistii!$B33,Data!$C:$C,Vitezistii!F$1))+SUMIFS(Data!$S:$S,Data!$A:$A,Vitezistii!$B33,Data!$C:$C,Vitezistii!F$1),0)</f>
        <v>0</v>
      </c>
      <c r="G33" s="37">
        <f>IFERROR(IF(SUMIFS(Data!$K:$K,Data!$A:$A,Vitezistii!$B33,Data!$C:$C,Vitezistii!G$1)=0," ",SUMIFS(Data!$K:$K,Data!$A:$A,Vitezistii!$B33,Data!$C:$C,Vitezistii!G$1))+SUMIFS(Data!$S:$S,Data!$A:$A,Vitezistii!$B33,Data!$C:$C,Vitezistii!G$1),0)</f>
        <v>0</v>
      </c>
      <c r="H33" s="37">
        <f>IFERROR(IF(SUMIFS(Data!$K:$K,Data!$A:$A,Vitezistii!$B33,Data!$C:$C,Vitezistii!H$1)=0," ",SUMIFS(Data!$K:$K,Data!$A:$A,Vitezistii!$B33,Data!$C:$C,Vitezistii!H$1))+SUMIFS(Data!$S:$S,Data!$A:$A,Vitezistii!$B33,Data!$C:$C,Vitezistii!H$1),0)</f>
        <v>1.5</v>
      </c>
      <c r="I33" s="37">
        <f>IFERROR(IF(SUMIFS(Data!$K:$K,Data!$A:$A,Vitezistii!$B33,Data!$C:$C,Vitezistii!I$1)=0," ",SUMIFS(Data!$K:$K,Data!$A:$A,Vitezistii!$B33,Data!$C:$C,Vitezistii!I$1))+SUMIFS(Data!$S:$S,Data!$A:$A,Vitezistii!$B33,Data!$C:$C,Vitezistii!I$1),0)</f>
        <v>2</v>
      </c>
      <c r="J33" s="37">
        <f>IFERROR(IF(SUMIFS(Data!$K:$K,Data!$A:$A,Vitezistii!$B33,Data!$C:$C,Vitezistii!J$1)=0," ",SUMIFS(Data!$K:$K,Data!$A:$A,Vitezistii!$B33,Data!$C:$C,Vitezistii!J$1))+SUMIFS(Data!$S:$S,Data!$A:$A,Vitezistii!$B33,Data!$C:$C,Vitezistii!J$1),0)</f>
        <v>0</v>
      </c>
      <c r="K33" s="37">
        <f>IFERROR(IF(SUMIFS(Data!$K:$K,Data!$A:$A,Vitezistii!$B33,Data!$C:$C,Vitezistii!K$1)=0," ",SUMIFS(Data!$K:$K,Data!$A:$A,Vitezistii!$B33,Data!$C:$C,Vitezistii!K$1))+SUMIFS(Data!$S:$S,Data!$A:$A,Vitezistii!$B33,Data!$C:$C,Vitezistii!K$1),0)</f>
        <v>0</v>
      </c>
      <c r="L33" s="37">
        <f>IFERROR(IF(SUMIFS(Data!$K:$K,Data!$A:$A,Vitezistii!$B33,Data!$C:$C,Vitezistii!L$1)=0," ",SUMIFS(Data!$K:$K,Data!$A:$A,Vitezistii!$B33,Data!$C:$C,Vitezistii!L$1))+SUMIFS(Data!$S:$S,Data!$A:$A,Vitezistii!$B33,Data!$C:$C,Vitezistii!L$1),0)</f>
        <v>0</v>
      </c>
      <c r="M33" s="37">
        <f>IFERROR(IF(SUMIFS(Data!$K:$K,Data!$A:$A,Vitezistii!$B33,Data!$C:$C,Vitezistii!M$1)=0," ",SUMIFS(Data!$K:$K,Data!$A:$A,Vitezistii!$B33,Data!$C:$C,Vitezistii!M$1))+SUMIFS(Data!$S:$S,Data!$A:$A,Vitezistii!$B33,Data!$C:$C,Vitezistii!M$1),0)</f>
        <v>0</v>
      </c>
      <c r="N33" s="37">
        <f>IFERROR(IF(SUMIFS(Data!$K:$K,Data!$A:$A,Vitezistii!$B33,Data!$C:$C,Vitezistii!N$1)=0," ",SUMIFS(Data!$K:$K,Data!$A:$A,Vitezistii!$B33,Data!$C:$C,Vitezistii!N$1))+SUMIFS(Data!$S:$S,Data!$A:$A,Vitezistii!$B33,Data!$C:$C,Vitezistii!N$1),0)</f>
        <v>0</v>
      </c>
      <c r="O33" s="37">
        <f>IFERROR(IF(SUMIFS(Data!$K:$K,Data!$A:$A,Vitezistii!$B33,Data!$C:$C,Vitezistii!O$1)=0," ",SUMIFS(Data!$K:$K,Data!$A:$A,Vitezistii!$B33,Data!$C:$C,Vitezistii!O$1))+SUMIFS(Data!$S:$S,Data!$A:$A,Vitezistii!$B33,Data!$C:$C,Vitezistii!O$1),0)</f>
        <v>0</v>
      </c>
      <c r="P33" s="37">
        <f>IFERROR(IF(SUMIFS(Data!$K:$K,Data!$A:$A,Vitezistii!$B33,Data!$C:$C,Vitezistii!P$1)=0," ",SUMIFS(Data!$K:$K,Data!$A:$A,Vitezistii!$B33,Data!$C:$C,Vitezistii!P$1))+SUMIFS(Data!$S:$S,Data!$A:$A,Vitezistii!$B33,Data!$C:$C,Vitezistii!P$1),0)</f>
        <v>0</v>
      </c>
      <c r="Q33" s="37">
        <f>IFERROR(IF(SUMIFS(Data!$K:$K,Data!$A:$A,Vitezistii!$B33,Data!$C:$C,Vitezistii!Q$1)=0," ",SUMIFS(Data!$K:$K,Data!$A:$A,Vitezistii!$B33,Data!$C:$C,Vitezistii!Q$1))+SUMIFS(Data!$S:$S,Data!$A:$A,Vitezistii!$B33,Data!$C:$C,Vitezistii!Q$1),0)</f>
        <v>0</v>
      </c>
      <c r="R33" s="37">
        <f t="shared" si="0"/>
        <v>3.5</v>
      </c>
      <c r="S33" s="37">
        <f>SUMIFS(Data!D:D,Data!A:A,Vitezistii!B33)</f>
        <v>10.52</v>
      </c>
      <c r="T33" s="13">
        <f>SUMIFS(Data!I:I,Data!A:A,Vitezistii!B33)/COUNTIF(Data!A:A,Vitezistii!B33)</f>
        <v>4.2393161736589101E-3</v>
      </c>
    </row>
    <row r="34" spans="1:20" ht="13.8" x14ac:dyDescent="0.3">
      <c r="A34" s="103">
        <v>33</v>
      </c>
      <c r="B34" s="36" t="s">
        <v>59</v>
      </c>
      <c r="C34" s="37">
        <f>IFERROR(IF(SUMIFS(Data!$K:$K,Data!$A:$A,Vitezistii!$B34,Data!$C:$C,Vitezistii!C$1)=0," ",SUMIFS(Data!$K:$K,Data!$A:$A,Vitezistii!$B34,Data!$C:$C,Vitezistii!C$1))+SUMIFS(Data!$S:$S,Data!$A:$A,Vitezistii!$B34,Data!$C:$C,Vitezistii!C$1),0)</f>
        <v>1</v>
      </c>
      <c r="D34" s="37">
        <f>IFERROR(IF(SUMIFS(Data!$K:$K,Data!$A:$A,Vitezistii!$B34,Data!$C:$C,Vitezistii!D$1)=0," ",SUMIFS(Data!$K:$K,Data!$A:$A,Vitezistii!$B34,Data!$C:$C,Vitezistii!D$1))+SUMIFS(Data!$S:$S,Data!$A:$A,Vitezistii!$B34,Data!$C:$C,Vitezistii!D$1),0)</f>
        <v>0</v>
      </c>
      <c r="E34" s="37">
        <f>IFERROR(IF(SUMIFS(Data!$K:$K,Data!$A:$A,Vitezistii!$B34,Data!$C:$C,Vitezistii!E$1)=0," ",SUMIFS(Data!$K:$K,Data!$A:$A,Vitezistii!$B34,Data!$C:$C,Vitezistii!E$1))+SUMIFS(Data!$S:$S,Data!$A:$A,Vitezistii!$B34,Data!$C:$C,Vitezistii!E$1),0)</f>
        <v>0</v>
      </c>
      <c r="F34" s="37">
        <f>IFERROR(IF(SUMIFS(Data!$K:$K,Data!$A:$A,Vitezistii!$B34,Data!$C:$C,Vitezistii!F$1)=0," ",SUMIFS(Data!$K:$K,Data!$A:$A,Vitezistii!$B34,Data!$C:$C,Vitezistii!F$1))+SUMIFS(Data!$S:$S,Data!$A:$A,Vitezistii!$B34,Data!$C:$C,Vitezistii!F$1),0)</f>
        <v>0</v>
      </c>
      <c r="G34" s="37">
        <f>IFERROR(IF(SUMIFS(Data!$K:$K,Data!$A:$A,Vitezistii!$B34,Data!$C:$C,Vitezistii!G$1)=0," ",SUMIFS(Data!$K:$K,Data!$A:$A,Vitezistii!$B34,Data!$C:$C,Vitezistii!G$1))+SUMIFS(Data!$S:$S,Data!$A:$A,Vitezistii!$B34,Data!$C:$C,Vitezistii!G$1),0)</f>
        <v>1</v>
      </c>
      <c r="H34" s="37">
        <f>IFERROR(IF(SUMIFS(Data!$K:$K,Data!$A:$A,Vitezistii!$B34,Data!$C:$C,Vitezistii!H$1)=0," ",SUMIFS(Data!$K:$K,Data!$A:$A,Vitezistii!$B34,Data!$C:$C,Vitezistii!H$1))+SUMIFS(Data!$S:$S,Data!$A:$A,Vitezistii!$B34,Data!$C:$C,Vitezistii!H$1),0)</f>
        <v>1</v>
      </c>
      <c r="I34" s="37">
        <f>IFERROR(IF(SUMIFS(Data!$K:$K,Data!$A:$A,Vitezistii!$B34,Data!$C:$C,Vitezistii!I$1)=0," ",SUMIFS(Data!$K:$K,Data!$A:$A,Vitezistii!$B34,Data!$C:$C,Vitezistii!I$1))+SUMIFS(Data!$S:$S,Data!$A:$A,Vitezistii!$B34,Data!$C:$C,Vitezistii!I$1),0)</f>
        <v>0</v>
      </c>
      <c r="J34" s="37">
        <f>IFERROR(IF(SUMIFS(Data!$K:$K,Data!$A:$A,Vitezistii!$B34,Data!$C:$C,Vitezistii!J$1)=0," ",SUMIFS(Data!$K:$K,Data!$A:$A,Vitezistii!$B34,Data!$C:$C,Vitezistii!J$1))+SUMIFS(Data!$S:$S,Data!$A:$A,Vitezistii!$B34,Data!$C:$C,Vitezistii!J$1),0)</f>
        <v>0</v>
      </c>
      <c r="K34" s="37">
        <f>IFERROR(IF(SUMIFS(Data!$K:$K,Data!$A:$A,Vitezistii!$B34,Data!$C:$C,Vitezistii!K$1)=0," ",SUMIFS(Data!$K:$K,Data!$A:$A,Vitezistii!$B34,Data!$C:$C,Vitezistii!K$1))+SUMIFS(Data!$S:$S,Data!$A:$A,Vitezistii!$B34,Data!$C:$C,Vitezistii!K$1),0)</f>
        <v>0</v>
      </c>
      <c r="L34" s="37">
        <f>IFERROR(IF(SUMIFS(Data!$K:$K,Data!$A:$A,Vitezistii!$B34,Data!$C:$C,Vitezistii!L$1)=0," ",SUMIFS(Data!$K:$K,Data!$A:$A,Vitezistii!$B34,Data!$C:$C,Vitezistii!L$1))+SUMIFS(Data!$S:$S,Data!$A:$A,Vitezistii!$B34,Data!$C:$C,Vitezistii!L$1),0)</f>
        <v>0</v>
      </c>
      <c r="M34" s="37">
        <f>IFERROR(IF(SUMIFS(Data!$K:$K,Data!$A:$A,Vitezistii!$B34,Data!$C:$C,Vitezistii!M$1)=0," ",SUMIFS(Data!$K:$K,Data!$A:$A,Vitezistii!$B34,Data!$C:$C,Vitezistii!M$1))+SUMIFS(Data!$S:$S,Data!$A:$A,Vitezistii!$B34,Data!$C:$C,Vitezistii!M$1),0)</f>
        <v>0</v>
      </c>
      <c r="N34" s="37">
        <f>IFERROR(IF(SUMIFS(Data!$K:$K,Data!$A:$A,Vitezistii!$B34,Data!$C:$C,Vitezistii!N$1)=0," ",SUMIFS(Data!$K:$K,Data!$A:$A,Vitezistii!$B34,Data!$C:$C,Vitezistii!N$1))+SUMIFS(Data!$S:$S,Data!$A:$A,Vitezistii!$B34,Data!$C:$C,Vitezistii!N$1),0)</f>
        <v>0</v>
      </c>
      <c r="O34" s="37">
        <f>IFERROR(IF(SUMIFS(Data!$K:$K,Data!$A:$A,Vitezistii!$B34,Data!$C:$C,Vitezistii!O$1)=0," ",SUMIFS(Data!$K:$K,Data!$A:$A,Vitezistii!$B34,Data!$C:$C,Vitezistii!O$1))+SUMIFS(Data!$S:$S,Data!$A:$A,Vitezistii!$B34,Data!$C:$C,Vitezistii!O$1),0)</f>
        <v>0</v>
      </c>
      <c r="P34" s="37">
        <f>IFERROR(IF(SUMIFS(Data!$K:$K,Data!$A:$A,Vitezistii!$B34,Data!$C:$C,Vitezistii!P$1)=0," ",SUMIFS(Data!$K:$K,Data!$A:$A,Vitezistii!$B34,Data!$C:$C,Vitezistii!P$1))+SUMIFS(Data!$S:$S,Data!$A:$A,Vitezistii!$B34,Data!$C:$C,Vitezistii!P$1),0)</f>
        <v>0</v>
      </c>
      <c r="Q34" s="37">
        <f>IFERROR(IF(SUMIFS(Data!$K:$K,Data!$A:$A,Vitezistii!$B34,Data!$C:$C,Vitezistii!Q$1)=0," ",SUMIFS(Data!$K:$K,Data!$A:$A,Vitezistii!$B34,Data!$C:$C,Vitezistii!Q$1))+SUMIFS(Data!$S:$S,Data!$A:$A,Vitezistii!$B34,Data!$C:$C,Vitezistii!Q$1),0)</f>
        <v>0</v>
      </c>
      <c r="R34" s="37">
        <f t="shared" si="0"/>
        <v>3</v>
      </c>
      <c r="S34" s="37">
        <f>SUMIFS(Data!D:D,Data!A:A,Vitezistii!B34)</f>
        <v>58.480000000000004</v>
      </c>
      <c r="T34" s="13">
        <f>SUMIFS(Data!I:I,Data!A:A,Vitezistii!B34)/COUNTIF(Data!A:A,Vitezistii!B34)</f>
        <v>4.9618011678483464E-3</v>
      </c>
    </row>
    <row r="35" spans="1:20" ht="13.8" x14ac:dyDescent="0.3">
      <c r="A35" s="103">
        <v>34</v>
      </c>
      <c r="B35" s="36" t="s">
        <v>184</v>
      </c>
      <c r="C35" s="37">
        <f>IFERROR(IF(SUMIFS(Data!$K:$K,Data!$A:$A,Vitezistii!$B35,Data!$C:$C,Vitezistii!C$1)=0," ",SUMIFS(Data!$K:$K,Data!$A:$A,Vitezistii!$B35,Data!$C:$C,Vitezistii!C$1))+SUMIFS(Data!$S:$S,Data!$A:$A,Vitezistii!$B35,Data!$C:$C,Vitezistii!C$1),0)</f>
        <v>1</v>
      </c>
      <c r="D35" s="37">
        <f>IFERROR(IF(SUMIFS(Data!$K:$K,Data!$A:$A,Vitezistii!$B35,Data!$C:$C,Vitezistii!D$1)=0," ",SUMIFS(Data!$K:$K,Data!$A:$A,Vitezistii!$B35,Data!$C:$C,Vitezistii!D$1))+SUMIFS(Data!$S:$S,Data!$A:$A,Vitezistii!$B35,Data!$C:$C,Vitezistii!D$1),0)</f>
        <v>1</v>
      </c>
      <c r="E35" s="37">
        <f>IFERROR(IF(SUMIFS(Data!$K:$K,Data!$A:$A,Vitezistii!$B35,Data!$C:$C,Vitezistii!E$1)=0," ",SUMIFS(Data!$K:$K,Data!$A:$A,Vitezistii!$B35,Data!$C:$C,Vitezistii!E$1))+SUMIFS(Data!$S:$S,Data!$A:$A,Vitezistii!$B35,Data!$C:$C,Vitezistii!E$1),0)</f>
        <v>0</v>
      </c>
      <c r="F35" s="37">
        <f>IFERROR(IF(SUMIFS(Data!$K:$K,Data!$A:$A,Vitezistii!$B35,Data!$C:$C,Vitezistii!F$1)=0," ",SUMIFS(Data!$K:$K,Data!$A:$A,Vitezistii!$B35,Data!$C:$C,Vitezistii!F$1))+SUMIFS(Data!$S:$S,Data!$A:$A,Vitezistii!$B35,Data!$C:$C,Vitezistii!F$1),0)</f>
        <v>0</v>
      </c>
      <c r="G35" s="37">
        <f>IFERROR(IF(SUMIFS(Data!$K:$K,Data!$A:$A,Vitezistii!$B35,Data!$C:$C,Vitezistii!G$1)=0," ",SUMIFS(Data!$K:$K,Data!$A:$A,Vitezistii!$B35,Data!$C:$C,Vitezistii!G$1))+SUMIFS(Data!$S:$S,Data!$A:$A,Vitezistii!$B35,Data!$C:$C,Vitezistii!G$1),0)</f>
        <v>0</v>
      </c>
      <c r="H35" s="37">
        <f>IFERROR(IF(SUMIFS(Data!$K:$K,Data!$A:$A,Vitezistii!$B35,Data!$C:$C,Vitezistii!H$1)=0," ",SUMIFS(Data!$K:$K,Data!$A:$A,Vitezistii!$B35,Data!$C:$C,Vitezistii!H$1))+SUMIFS(Data!$S:$S,Data!$A:$A,Vitezistii!$B35,Data!$C:$C,Vitezistii!H$1),0)</f>
        <v>0</v>
      </c>
      <c r="I35" s="37">
        <f>IFERROR(IF(SUMIFS(Data!$K:$K,Data!$A:$A,Vitezistii!$B35,Data!$C:$C,Vitezistii!I$1)=0," ",SUMIFS(Data!$K:$K,Data!$A:$A,Vitezistii!$B35,Data!$C:$C,Vitezistii!I$1))+SUMIFS(Data!$S:$S,Data!$A:$A,Vitezistii!$B35,Data!$C:$C,Vitezistii!I$1),0)</f>
        <v>0</v>
      </c>
      <c r="J35" s="37">
        <f>IFERROR(IF(SUMIFS(Data!$K:$K,Data!$A:$A,Vitezistii!$B35,Data!$C:$C,Vitezistii!J$1)=0," ",SUMIFS(Data!$K:$K,Data!$A:$A,Vitezistii!$B35,Data!$C:$C,Vitezistii!J$1))+SUMIFS(Data!$S:$S,Data!$A:$A,Vitezistii!$B35,Data!$C:$C,Vitezistii!J$1),0)</f>
        <v>0</v>
      </c>
      <c r="K35" s="37">
        <f>IFERROR(IF(SUMIFS(Data!$K:$K,Data!$A:$A,Vitezistii!$B35,Data!$C:$C,Vitezistii!K$1)=0," ",SUMIFS(Data!$K:$K,Data!$A:$A,Vitezistii!$B35,Data!$C:$C,Vitezistii!K$1))+SUMIFS(Data!$S:$S,Data!$A:$A,Vitezistii!$B35,Data!$C:$C,Vitezistii!K$1),0)</f>
        <v>0</v>
      </c>
      <c r="L35" s="37">
        <f>IFERROR(IF(SUMIFS(Data!$K:$K,Data!$A:$A,Vitezistii!$B35,Data!$C:$C,Vitezistii!L$1)=0," ",SUMIFS(Data!$K:$K,Data!$A:$A,Vitezistii!$B35,Data!$C:$C,Vitezistii!L$1))+SUMIFS(Data!$S:$S,Data!$A:$A,Vitezistii!$B35,Data!$C:$C,Vitezistii!L$1),0)</f>
        <v>0</v>
      </c>
      <c r="M35" s="37">
        <f>IFERROR(IF(SUMIFS(Data!$K:$K,Data!$A:$A,Vitezistii!$B35,Data!$C:$C,Vitezistii!M$1)=0," ",SUMIFS(Data!$K:$K,Data!$A:$A,Vitezistii!$B35,Data!$C:$C,Vitezistii!M$1))+SUMIFS(Data!$S:$S,Data!$A:$A,Vitezistii!$B35,Data!$C:$C,Vitezistii!M$1),0)</f>
        <v>0</v>
      </c>
      <c r="N35" s="37">
        <f>IFERROR(IF(SUMIFS(Data!$K:$K,Data!$A:$A,Vitezistii!$B35,Data!$C:$C,Vitezistii!N$1)=0," ",SUMIFS(Data!$K:$K,Data!$A:$A,Vitezistii!$B35,Data!$C:$C,Vitezistii!N$1))+SUMIFS(Data!$S:$S,Data!$A:$A,Vitezistii!$B35,Data!$C:$C,Vitezistii!N$1),0)</f>
        <v>0</v>
      </c>
      <c r="O35" s="37">
        <f>IFERROR(IF(SUMIFS(Data!$K:$K,Data!$A:$A,Vitezistii!$B35,Data!$C:$C,Vitezistii!O$1)=0," ",SUMIFS(Data!$K:$K,Data!$A:$A,Vitezistii!$B35,Data!$C:$C,Vitezistii!O$1))+SUMIFS(Data!$S:$S,Data!$A:$A,Vitezistii!$B35,Data!$C:$C,Vitezistii!O$1),0)</f>
        <v>0</v>
      </c>
      <c r="P35" s="37">
        <f>IFERROR(IF(SUMIFS(Data!$K:$K,Data!$A:$A,Vitezistii!$B35,Data!$C:$C,Vitezistii!P$1)=0," ",SUMIFS(Data!$K:$K,Data!$A:$A,Vitezistii!$B35,Data!$C:$C,Vitezistii!P$1))+SUMIFS(Data!$S:$S,Data!$A:$A,Vitezistii!$B35,Data!$C:$C,Vitezistii!P$1),0)</f>
        <v>0</v>
      </c>
      <c r="Q35" s="37">
        <f>IFERROR(IF(SUMIFS(Data!$K:$K,Data!$A:$A,Vitezistii!$B35,Data!$C:$C,Vitezistii!Q$1)=0," ",SUMIFS(Data!$K:$K,Data!$A:$A,Vitezistii!$B35,Data!$C:$C,Vitezistii!Q$1))+SUMIFS(Data!$S:$S,Data!$A:$A,Vitezistii!$B35,Data!$C:$C,Vitezistii!Q$1),0)</f>
        <v>0</v>
      </c>
      <c r="R35" s="37">
        <f t="shared" si="0"/>
        <v>2</v>
      </c>
      <c r="S35" s="37">
        <f>SUMIFS(Data!D:D,Data!A:A,Vitezistii!B35)</f>
        <v>15.049999999999999</v>
      </c>
      <c r="T35" s="13">
        <f>SUMIFS(Data!I:I,Data!A:A,Vitezistii!B35)/COUNTIF(Data!A:A,Vitezistii!B35)</f>
        <v>4.736019073642986E-3</v>
      </c>
    </row>
    <row r="36" spans="1:20" ht="13.8" x14ac:dyDescent="0.3">
      <c r="A36" s="103">
        <v>35</v>
      </c>
      <c r="B36" s="36" t="s">
        <v>219</v>
      </c>
      <c r="C36" s="37">
        <f>IFERROR(IF(SUMIFS(Data!$K:$K,Data!$A:$A,Vitezistii!$B36,Data!$C:$C,Vitezistii!C$1)=0," ",SUMIFS(Data!$K:$K,Data!$A:$A,Vitezistii!$B36,Data!$C:$C,Vitezistii!C$1))+SUMIFS(Data!$S:$S,Data!$A:$A,Vitezistii!$B36,Data!$C:$C,Vitezistii!C$1),0)</f>
        <v>0</v>
      </c>
      <c r="D36" s="37">
        <f>IFERROR(IF(SUMIFS(Data!$K:$K,Data!$A:$A,Vitezistii!$B36,Data!$C:$C,Vitezistii!D$1)=0," ",SUMIFS(Data!$K:$K,Data!$A:$A,Vitezistii!$B36,Data!$C:$C,Vitezistii!D$1))+SUMIFS(Data!$S:$S,Data!$A:$A,Vitezistii!$B36,Data!$C:$C,Vitezistii!D$1),0)</f>
        <v>0</v>
      </c>
      <c r="E36" s="37">
        <f>IFERROR(IF(SUMIFS(Data!$K:$K,Data!$A:$A,Vitezistii!$B36,Data!$C:$C,Vitezistii!E$1)=0," ",SUMIFS(Data!$K:$K,Data!$A:$A,Vitezistii!$B36,Data!$C:$C,Vitezistii!E$1))+SUMIFS(Data!$S:$S,Data!$A:$A,Vitezistii!$B36,Data!$C:$C,Vitezistii!E$1),0)</f>
        <v>0</v>
      </c>
      <c r="F36" s="37">
        <f>IFERROR(IF(SUMIFS(Data!$K:$K,Data!$A:$A,Vitezistii!$B36,Data!$C:$C,Vitezistii!F$1)=0," ",SUMIFS(Data!$K:$K,Data!$A:$A,Vitezistii!$B36,Data!$C:$C,Vitezistii!F$1))+SUMIFS(Data!$S:$S,Data!$A:$A,Vitezistii!$B36,Data!$C:$C,Vitezistii!F$1),0)</f>
        <v>0</v>
      </c>
      <c r="G36" s="37">
        <f>IFERROR(IF(SUMIFS(Data!$K:$K,Data!$A:$A,Vitezistii!$B36,Data!$C:$C,Vitezistii!G$1)=0," ",SUMIFS(Data!$K:$K,Data!$A:$A,Vitezistii!$B36,Data!$C:$C,Vitezistii!G$1))+SUMIFS(Data!$S:$S,Data!$A:$A,Vitezistii!$B36,Data!$C:$C,Vitezistii!G$1),0)</f>
        <v>0</v>
      </c>
      <c r="H36" s="37">
        <f>IFERROR(IF(SUMIFS(Data!$K:$K,Data!$A:$A,Vitezistii!$B36,Data!$C:$C,Vitezistii!H$1)=0," ",SUMIFS(Data!$K:$K,Data!$A:$A,Vitezistii!$B36,Data!$C:$C,Vitezistii!H$1))+SUMIFS(Data!$S:$S,Data!$A:$A,Vitezistii!$B36,Data!$C:$C,Vitezistii!H$1),0)</f>
        <v>0</v>
      </c>
      <c r="I36" s="37">
        <f>IFERROR(IF(SUMIFS(Data!$K:$K,Data!$A:$A,Vitezistii!$B36,Data!$C:$C,Vitezistii!I$1)=0," ",SUMIFS(Data!$K:$K,Data!$A:$A,Vitezistii!$B36,Data!$C:$C,Vitezistii!I$1))+SUMIFS(Data!$S:$S,Data!$A:$A,Vitezistii!$B36,Data!$C:$C,Vitezistii!I$1),0)</f>
        <v>0</v>
      </c>
      <c r="J36" s="37">
        <f>IFERROR(IF(SUMIFS(Data!$K:$K,Data!$A:$A,Vitezistii!$B36,Data!$C:$C,Vitezistii!J$1)=0," ",SUMIFS(Data!$K:$K,Data!$A:$A,Vitezistii!$B36,Data!$C:$C,Vitezistii!J$1))+SUMIFS(Data!$S:$S,Data!$A:$A,Vitezistii!$B36,Data!$C:$C,Vitezistii!J$1),0)</f>
        <v>0</v>
      </c>
      <c r="K36" s="37">
        <f>IFERROR(IF(SUMIFS(Data!$K:$K,Data!$A:$A,Vitezistii!$B36,Data!$C:$C,Vitezistii!K$1)=0," ",SUMIFS(Data!$K:$K,Data!$A:$A,Vitezistii!$B36,Data!$C:$C,Vitezistii!K$1))+SUMIFS(Data!$S:$S,Data!$A:$A,Vitezistii!$B36,Data!$C:$C,Vitezistii!K$1),0)</f>
        <v>0</v>
      </c>
      <c r="L36" s="37">
        <f>IFERROR(IF(SUMIFS(Data!$K:$K,Data!$A:$A,Vitezistii!$B36,Data!$C:$C,Vitezistii!L$1)=0," ",SUMIFS(Data!$K:$K,Data!$A:$A,Vitezistii!$B36,Data!$C:$C,Vitezistii!L$1))+SUMIFS(Data!$S:$S,Data!$A:$A,Vitezistii!$B36,Data!$C:$C,Vitezistii!L$1),0)</f>
        <v>0</v>
      </c>
      <c r="M36" s="37">
        <f>IFERROR(IF(SUMIFS(Data!$K:$K,Data!$A:$A,Vitezistii!$B36,Data!$C:$C,Vitezistii!M$1)=0," ",SUMIFS(Data!$K:$K,Data!$A:$A,Vitezistii!$B36,Data!$C:$C,Vitezistii!M$1))+SUMIFS(Data!$S:$S,Data!$A:$A,Vitezistii!$B36,Data!$C:$C,Vitezistii!M$1),0)</f>
        <v>0</v>
      </c>
      <c r="N36" s="37">
        <f>IFERROR(IF(SUMIFS(Data!$K:$K,Data!$A:$A,Vitezistii!$B36,Data!$C:$C,Vitezistii!N$1)=0," ",SUMIFS(Data!$K:$K,Data!$A:$A,Vitezistii!$B36,Data!$C:$C,Vitezistii!N$1))+SUMIFS(Data!$S:$S,Data!$A:$A,Vitezistii!$B36,Data!$C:$C,Vitezistii!N$1),0)</f>
        <v>1.5</v>
      </c>
      <c r="O36" s="37">
        <f>IFERROR(IF(SUMIFS(Data!$K:$K,Data!$A:$A,Vitezistii!$B36,Data!$C:$C,Vitezistii!O$1)=0," ",SUMIFS(Data!$K:$K,Data!$A:$A,Vitezistii!$B36,Data!$C:$C,Vitezistii!O$1))+SUMIFS(Data!$S:$S,Data!$A:$A,Vitezistii!$B36,Data!$C:$C,Vitezistii!O$1),0)</f>
        <v>0</v>
      </c>
      <c r="P36" s="37">
        <f>IFERROR(IF(SUMIFS(Data!$K:$K,Data!$A:$A,Vitezistii!$B36,Data!$C:$C,Vitezistii!P$1)=0," ",SUMIFS(Data!$K:$K,Data!$A:$A,Vitezistii!$B36,Data!$C:$C,Vitezistii!P$1))+SUMIFS(Data!$S:$S,Data!$A:$A,Vitezistii!$B36,Data!$C:$C,Vitezistii!P$1),0)</f>
        <v>0</v>
      </c>
      <c r="Q36" s="37">
        <f>IFERROR(IF(SUMIFS(Data!$K:$K,Data!$A:$A,Vitezistii!$B36,Data!$C:$C,Vitezistii!Q$1)=0," ",SUMIFS(Data!$K:$K,Data!$A:$A,Vitezistii!$B36,Data!$C:$C,Vitezistii!Q$1))+SUMIFS(Data!$S:$S,Data!$A:$A,Vitezistii!$B36,Data!$C:$C,Vitezistii!Q$1),0)</f>
        <v>0</v>
      </c>
      <c r="R36" s="37">
        <f t="shared" si="0"/>
        <v>1.5</v>
      </c>
      <c r="S36" s="37">
        <f>SUMIFS(Data!D:D,Data!A:A,Vitezistii!B36)</f>
        <v>120.91</v>
      </c>
      <c r="T36" s="13">
        <f>SUMIFS(Data!I:I,Data!A:A,Vitezistii!B36)/COUNTIF(Data!A:A,Vitezistii!B36)</f>
        <v>7.0919446219492839E-3</v>
      </c>
    </row>
    <row r="37" spans="1:20" ht="13.8" x14ac:dyDescent="0.3">
      <c r="A37" s="103">
        <v>36</v>
      </c>
      <c r="B37" s="36"/>
      <c r="C37" s="37">
        <f>IFERROR(IF(SUMIFS(Data!$K:$K,Data!$A:$A,Vitezistii!$B37,Data!$C:$C,Vitezistii!C$1)=0," ",SUMIFS(Data!$K:$K,Data!$A:$A,Vitezistii!$B37,Data!$C:$C,Vitezistii!C$1))+SUMIFS(Data!$S:$S,Data!$A:$A,Vitezistii!$B37,Data!$C:$C,Vitezistii!C$1),0)</f>
        <v>0</v>
      </c>
      <c r="D37" s="37">
        <f>IFERROR(IF(SUMIFS(Data!$K:$K,Data!$A:$A,Vitezistii!$B37,Data!$C:$C,Vitezistii!D$1)=0," ",SUMIFS(Data!$K:$K,Data!$A:$A,Vitezistii!$B37,Data!$C:$C,Vitezistii!D$1))+SUMIFS(Data!$S:$S,Data!$A:$A,Vitezistii!$B37,Data!$C:$C,Vitezistii!D$1),0)</f>
        <v>0</v>
      </c>
      <c r="E37" s="37">
        <f>IFERROR(IF(SUMIFS(Data!$K:$K,Data!$A:$A,Vitezistii!$B37,Data!$C:$C,Vitezistii!E$1)=0," ",SUMIFS(Data!$K:$K,Data!$A:$A,Vitezistii!$B37,Data!$C:$C,Vitezistii!E$1))+SUMIFS(Data!$S:$S,Data!$A:$A,Vitezistii!$B37,Data!$C:$C,Vitezistii!E$1),0)</f>
        <v>0</v>
      </c>
      <c r="F37" s="37">
        <f>IFERROR(IF(SUMIFS(Data!$K:$K,Data!$A:$A,Vitezistii!$B37,Data!$C:$C,Vitezistii!F$1)=0," ",SUMIFS(Data!$K:$K,Data!$A:$A,Vitezistii!$B37,Data!$C:$C,Vitezistii!F$1))+SUMIFS(Data!$S:$S,Data!$A:$A,Vitezistii!$B37,Data!$C:$C,Vitezistii!F$1),0)</f>
        <v>0</v>
      </c>
      <c r="G37" s="37">
        <f>IFERROR(IF(SUMIFS(Data!$K:$K,Data!$A:$A,Vitezistii!$B37,Data!$C:$C,Vitezistii!G$1)=0," ",SUMIFS(Data!$K:$K,Data!$A:$A,Vitezistii!$B37,Data!$C:$C,Vitezistii!G$1))+SUMIFS(Data!$S:$S,Data!$A:$A,Vitezistii!$B37,Data!$C:$C,Vitezistii!G$1),0)</f>
        <v>0</v>
      </c>
      <c r="H37" s="37">
        <f>IFERROR(IF(SUMIFS(Data!$K:$K,Data!$A:$A,Vitezistii!$B37,Data!$C:$C,Vitezistii!H$1)=0," ",SUMIFS(Data!$K:$K,Data!$A:$A,Vitezistii!$B37,Data!$C:$C,Vitezistii!H$1))+SUMIFS(Data!$S:$S,Data!$A:$A,Vitezistii!$B37,Data!$C:$C,Vitezistii!H$1),0)</f>
        <v>0</v>
      </c>
      <c r="I37" s="37">
        <f>IFERROR(IF(SUMIFS(Data!$K:$K,Data!$A:$A,Vitezistii!$B37,Data!$C:$C,Vitezistii!I$1)=0," ",SUMIFS(Data!$K:$K,Data!$A:$A,Vitezistii!$B37,Data!$C:$C,Vitezistii!I$1))+SUMIFS(Data!$S:$S,Data!$A:$A,Vitezistii!$B37,Data!$C:$C,Vitezistii!I$1),0)</f>
        <v>0</v>
      </c>
      <c r="J37" s="37">
        <f>IFERROR(IF(SUMIFS(Data!$K:$K,Data!$A:$A,Vitezistii!$B37,Data!$C:$C,Vitezistii!J$1)=0," ",SUMIFS(Data!$K:$K,Data!$A:$A,Vitezistii!$B37,Data!$C:$C,Vitezistii!J$1))+SUMIFS(Data!$S:$S,Data!$A:$A,Vitezistii!$B37,Data!$C:$C,Vitezistii!J$1),0)</f>
        <v>0</v>
      </c>
      <c r="K37" s="37">
        <f>IFERROR(IF(SUMIFS(Data!$K:$K,Data!$A:$A,Vitezistii!$B37,Data!$C:$C,Vitezistii!K$1)=0," ",SUMIFS(Data!$K:$K,Data!$A:$A,Vitezistii!$B37,Data!$C:$C,Vitezistii!K$1))+SUMIFS(Data!$S:$S,Data!$A:$A,Vitezistii!$B37,Data!$C:$C,Vitezistii!K$1),0)</f>
        <v>0</v>
      </c>
      <c r="L37" s="37">
        <f>IFERROR(IF(SUMIFS(Data!$K:$K,Data!$A:$A,Vitezistii!$B37,Data!$C:$C,Vitezistii!L$1)=0," ",SUMIFS(Data!$K:$K,Data!$A:$A,Vitezistii!$B37,Data!$C:$C,Vitezistii!L$1))+SUMIFS(Data!$S:$S,Data!$A:$A,Vitezistii!$B37,Data!$C:$C,Vitezistii!L$1),0)</f>
        <v>0</v>
      </c>
      <c r="M37" s="37">
        <f>IFERROR(IF(SUMIFS(Data!$K:$K,Data!$A:$A,Vitezistii!$B37,Data!$C:$C,Vitezistii!M$1)=0," ",SUMIFS(Data!$K:$K,Data!$A:$A,Vitezistii!$B37,Data!$C:$C,Vitezistii!M$1))+SUMIFS(Data!$S:$S,Data!$A:$A,Vitezistii!$B37,Data!$C:$C,Vitezistii!M$1),0)</f>
        <v>0</v>
      </c>
      <c r="N37" s="37">
        <f>IFERROR(IF(SUMIFS(Data!$K:$K,Data!$A:$A,Vitezistii!$B37,Data!$C:$C,Vitezistii!N$1)=0," ",SUMIFS(Data!$K:$K,Data!$A:$A,Vitezistii!$B37,Data!$C:$C,Vitezistii!N$1))+SUMIFS(Data!$S:$S,Data!$A:$A,Vitezistii!$B37,Data!$C:$C,Vitezistii!N$1),0)</f>
        <v>0</v>
      </c>
      <c r="O37" s="37">
        <f>IFERROR(IF(SUMIFS(Data!$K:$K,Data!$A:$A,Vitezistii!$B37,Data!$C:$C,Vitezistii!O$1)=0," ",SUMIFS(Data!$K:$K,Data!$A:$A,Vitezistii!$B37,Data!$C:$C,Vitezistii!O$1))+SUMIFS(Data!$S:$S,Data!$A:$A,Vitezistii!$B37,Data!$C:$C,Vitezistii!O$1),0)</f>
        <v>0</v>
      </c>
      <c r="P37" s="37">
        <f>IFERROR(IF(SUMIFS(Data!$K:$K,Data!$A:$A,Vitezistii!$B37,Data!$C:$C,Vitezistii!P$1)=0," ",SUMIFS(Data!$K:$K,Data!$A:$A,Vitezistii!$B37,Data!$C:$C,Vitezistii!P$1))+SUMIFS(Data!$S:$S,Data!$A:$A,Vitezistii!$B37,Data!$C:$C,Vitezistii!P$1),0)</f>
        <v>0</v>
      </c>
      <c r="Q37" s="37">
        <f>IFERROR(IF(SUMIFS(Data!$K:$K,Data!$A:$A,Vitezistii!$B37,Data!$C:$C,Vitezistii!Q$1)=0," ",SUMIFS(Data!$K:$K,Data!$A:$A,Vitezistii!$B37,Data!$C:$C,Vitezistii!Q$1))+SUMIFS(Data!$S:$S,Data!$A:$A,Vitezistii!$B37,Data!$C:$C,Vitezistii!Q$1),0)</f>
        <v>0</v>
      </c>
      <c r="R37" s="37">
        <f t="shared" si="0"/>
        <v>0</v>
      </c>
      <c r="S37" s="37">
        <f>SUMIFS(Data!D:D,Data!A:A,Vitezistii!B37)</f>
        <v>0</v>
      </c>
      <c r="T37" s="13" t="e">
        <f>SUMIFS(Data!I:I,Data!A:A,Vitezistii!B37)/COUNTIF(Data!A:A,Vitezistii!B37)</f>
        <v>#DIV/0!</v>
      </c>
    </row>
    <row r="38" spans="1:20" ht="13.8" x14ac:dyDescent="0.3">
      <c r="A38" s="103">
        <v>37</v>
      </c>
      <c r="B38" s="36"/>
      <c r="C38" s="37">
        <f>IFERROR(IF(SUMIFS(Data!$K:$K,Data!$A:$A,Vitezistii!$B38,Data!$C:$C,Vitezistii!C$1)=0," ",SUMIFS(Data!$K:$K,Data!$A:$A,Vitezistii!$B38,Data!$C:$C,Vitezistii!C$1))+SUMIFS(Data!$S:$S,Data!$A:$A,Vitezistii!$B38,Data!$C:$C,Vitezistii!C$1),0)</f>
        <v>0</v>
      </c>
      <c r="D38" s="37">
        <f>IFERROR(IF(SUMIFS(Data!$K:$K,Data!$A:$A,Vitezistii!$B38,Data!$C:$C,Vitezistii!D$1)=0," ",SUMIFS(Data!$K:$K,Data!$A:$A,Vitezistii!$B38,Data!$C:$C,Vitezistii!D$1))+SUMIFS(Data!$S:$S,Data!$A:$A,Vitezistii!$B38,Data!$C:$C,Vitezistii!D$1),0)</f>
        <v>0</v>
      </c>
      <c r="E38" s="37">
        <f>IFERROR(IF(SUMIFS(Data!$K:$K,Data!$A:$A,Vitezistii!$B38,Data!$C:$C,Vitezistii!E$1)=0," ",SUMIFS(Data!$K:$K,Data!$A:$A,Vitezistii!$B38,Data!$C:$C,Vitezistii!E$1))+SUMIFS(Data!$S:$S,Data!$A:$A,Vitezistii!$B38,Data!$C:$C,Vitezistii!E$1),0)</f>
        <v>0</v>
      </c>
      <c r="F38" s="37">
        <f>IFERROR(IF(SUMIFS(Data!$K:$K,Data!$A:$A,Vitezistii!$B38,Data!$C:$C,Vitezistii!F$1)=0," ",SUMIFS(Data!$K:$K,Data!$A:$A,Vitezistii!$B38,Data!$C:$C,Vitezistii!F$1))+SUMIFS(Data!$S:$S,Data!$A:$A,Vitezistii!$B38,Data!$C:$C,Vitezistii!F$1),0)</f>
        <v>0</v>
      </c>
      <c r="G38" s="37">
        <f>IFERROR(IF(SUMIFS(Data!$K:$K,Data!$A:$A,Vitezistii!$B38,Data!$C:$C,Vitezistii!G$1)=0," ",SUMIFS(Data!$K:$K,Data!$A:$A,Vitezistii!$B38,Data!$C:$C,Vitezistii!G$1))+SUMIFS(Data!$S:$S,Data!$A:$A,Vitezistii!$B38,Data!$C:$C,Vitezistii!G$1),0)</f>
        <v>0</v>
      </c>
      <c r="H38" s="37">
        <f>IFERROR(IF(SUMIFS(Data!$K:$K,Data!$A:$A,Vitezistii!$B38,Data!$C:$C,Vitezistii!H$1)=0," ",SUMIFS(Data!$K:$K,Data!$A:$A,Vitezistii!$B38,Data!$C:$C,Vitezistii!H$1))+SUMIFS(Data!$S:$S,Data!$A:$A,Vitezistii!$B38,Data!$C:$C,Vitezistii!H$1),0)</f>
        <v>0</v>
      </c>
      <c r="I38" s="37">
        <f>IFERROR(IF(SUMIFS(Data!$K:$K,Data!$A:$A,Vitezistii!$B38,Data!$C:$C,Vitezistii!I$1)=0," ",SUMIFS(Data!$K:$K,Data!$A:$A,Vitezistii!$B38,Data!$C:$C,Vitezistii!I$1))+SUMIFS(Data!$S:$S,Data!$A:$A,Vitezistii!$B38,Data!$C:$C,Vitezistii!I$1),0)</f>
        <v>0</v>
      </c>
      <c r="J38" s="37">
        <f>IFERROR(IF(SUMIFS(Data!$K:$K,Data!$A:$A,Vitezistii!$B38,Data!$C:$C,Vitezistii!J$1)=0," ",SUMIFS(Data!$K:$K,Data!$A:$A,Vitezistii!$B38,Data!$C:$C,Vitezistii!J$1))+SUMIFS(Data!$S:$S,Data!$A:$A,Vitezistii!$B38,Data!$C:$C,Vitezistii!J$1),0)</f>
        <v>0</v>
      </c>
      <c r="K38" s="37">
        <f>IFERROR(IF(SUMIFS(Data!$K:$K,Data!$A:$A,Vitezistii!$B38,Data!$C:$C,Vitezistii!K$1)=0," ",SUMIFS(Data!$K:$K,Data!$A:$A,Vitezistii!$B38,Data!$C:$C,Vitezistii!K$1))+SUMIFS(Data!$S:$S,Data!$A:$A,Vitezistii!$B38,Data!$C:$C,Vitezistii!K$1),0)</f>
        <v>0</v>
      </c>
      <c r="L38" s="37">
        <f>IFERROR(IF(SUMIFS(Data!$K:$K,Data!$A:$A,Vitezistii!$B38,Data!$C:$C,Vitezistii!L$1)=0," ",SUMIFS(Data!$K:$K,Data!$A:$A,Vitezistii!$B38,Data!$C:$C,Vitezistii!L$1))+SUMIFS(Data!$S:$S,Data!$A:$A,Vitezistii!$B38,Data!$C:$C,Vitezistii!L$1),0)</f>
        <v>0</v>
      </c>
      <c r="M38" s="37">
        <f>IFERROR(IF(SUMIFS(Data!$K:$K,Data!$A:$A,Vitezistii!$B38,Data!$C:$C,Vitezistii!M$1)=0," ",SUMIFS(Data!$K:$K,Data!$A:$A,Vitezistii!$B38,Data!$C:$C,Vitezistii!M$1))+SUMIFS(Data!$S:$S,Data!$A:$A,Vitezistii!$B38,Data!$C:$C,Vitezistii!M$1),0)</f>
        <v>0</v>
      </c>
      <c r="N38" s="37">
        <f>IFERROR(IF(SUMIFS(Data!$K:$K,Data!$A:$A,Vitezistii!$B38,Data!$C:$C,Vitezistii!N$1)=0," ",SUMIFS(Data!$K:$K,Data!$A:$A,Vitezistii!$B38,Data!$C:$C,Vitezistii!N$1))+SUMIFS(Data!$S:$S,Data!$A:$A,Vitezistii!$B38,Data!$C:$C,Vitezistii!N$1),0)</f>
        <v>0</v>
      </c>
      <c r="O38" s="37">
        <f>IFERROR(IF(SUMIFS(Data!$K:$K,Data!$A:$A,Vitezistii!$B38,Data!$C:$C,Vitezistii!O$1)=0," ",SUMIFS(Data!$K:$K,Data!$A:$A,Vitezistii!$B38,Data!$C:$C,Vitezistii!O$1))+SUMIFS(Data!$S:$S,Data!$A:$A,Vitezistii!$B38,Data!$C:$C,Vitezistii!O$1),0)</f>
        <v>0</v>
      </c>
      <c r="P38" s="37">
        <f>IFERROR(IF(SUMIFS(Data!$K:$K,Data!$A:$A,Vitezistii!$B38,Data!$C:$C,Vitezistii!P$1)=0," ",SUMIFS(Data!$K:$K,Data!$A:$A,Vitezistii!$B38,Data!$C:$C,Vitezistii!P$1))+SUMIFS(Data!$S:$S,Data!$A:$A,Vitezistii!$B38,Data!$C:$C,Vitezistii!P$1),0)</f>
        <v>0</v>
      </c>
      <c r="Q38" s="37">
        <f>IFERROR(IF(SUMIFS(Data!$K:$K,Data!$A:$A,Vitezistii!$B38,Data!$C:$C,Vitezistii!Q$1)=0," ",SUMIFS(Data!$K:$K,Data!$A:$A,Vitezistii!$B38,Data!$C:$C,Vitezistii!Q$1))+SUMIFS(Data!$S:$S,Data!$A:$A,Vitezistii!$B38,Data!$C:$C,Vitezistii!Q$1),0)</f>
        <v>0</v>
      </c>
      <c r="R38" s="37">
        <f t="shared" si="0"/>
        <v>0</v>
      </c>
      <c r="S38" s="37">
        <f>SUMIFS(Data!D:D,Data!A:A,Vitezistii!B38)</f>
        <v>0</v>
      </c>
      <c r="T38" s="13" t="e">
        <f>SUMIFS(Data!I:I,Data!A:A,Vitezistii!B38)/COUNTIF(Data!A:A,Vitezistii!B38)</f>
        <v>#DIV/0!</v>
      </c>
    </row>
    <row r="39" spans="1:20" ht="13.8" x14ac:dyDescent="0.3">
      <c r="A39" s="103">
        <v>38</v>
      </c>
      <c r="B39" s="36"/>
      <c r="C39" s="37">
        <f>IFERROR(IF(SUMIFS(Data!$K:$K,Data!$A:$A,Vitezistii!$B39,Data!$C:$C,Vitezistii!C$1)=0," ",SUMIFS(Data!$K:$K,Data!$A:$A,Vitezistii!$B39,Data!$C:$C,Vitezistii!C$1))+SUMIFS(Data!$S:$S,Data!$A:$A,Vitezistii!$B39,Data!$C:$C,Vitezistii!C$1),0)</f>
        <v>0</v>
      </c>
      <c r="D39" s="37">
        <f>IFERROR(IF(SUMIFS(Data!$K:$K,Data!$A:$A,Vitezistii!$B39,Data!$C:$C,Vitezistii!D$1)=0," ",SUMIFS(Data!$K:$K,Data!$A:$A,Vitezistii!$B39,Data!$C:$C,Vitezistii!D$1))+SUMIFS(Data!$S:$S,Data!$A:$A,Vitezistii!$B39,Data!$C:$C,Vitezistii!D$1),0)</f>
        <v>0</v>
      </c>
      <c r="E39" s="37">
        <f>IFERROR(IF(SUMIFS(Data!$K:$K,Data!$A:$A,Vitezistii!$B39,Data!$C:$C,Vitezistii!E$1)=0," ",SUMIFS(Data!$K:$K,Data!$A:$A,Vitezistii!$B39,Data!$C:$C,Vitezistii!E$1))+SUMIFS(Data!$S:$S,Data!$A:$A,Vitezistii!$B39,Data!$C:$C,Vitezistii!E$1),0)</f>
        <v>0</v>
      </c>
      <c r="F39" s="37">
        <f>IFERROR(IF(SUMIFS(Data!$K:$K,Data!$A:$A,Vitezistii!$B39,Data!$C:$C,Vitezistii!F$1)=0," ",SUMIFS(Data!$K:$K,Data!$A:$A,Vitezistii!$B39,Data!$C:$C,Vitezistii!F$1))+SUMIFS(Data!$S:$S,Data!$A:$A,Vitezistii!$B39,Data!$C:$C,Vitezistii!F$1),0)</f>
        <v>0</v>
      </c>
      <c r="G39" s="37">
        <f>IFERROR(IF(SUMIFS(Data!$K:$K,Data!$A:$A,Vitezistii!$B39,Data!$C:$C,Vitezistii!G$1)=0," ",SUMIFS(Data!$K:$K,Data!$A:$A,Vitezistii!$B39,Data!$C:$C,Vitezistii!G$1))+SUMIFS(Data!$S:$S,Data!$A:$A,Vitezistii!$B39,Data!$C:$C,Vitezistii!G$1),0)</f>
        <v>0</v>
      </c>
      <c r="H39" s="37">
        <f>IFERROR(IF(SUMIFS(Data!$K:$K,Data!$A:$A,Vitezistii!$B39,Data!$C:$C,Vitezistii!H$1)=0," ",SUMIFS(Data!$K:$K,Data!$A:$A,Vitezistii!$B39,Data!$C:$C,Vitezistii!H$1))+SUMIFS(Data!$S:$S,Data!$A:$A,Vitezistii!$B39,Data!$C:$C,Vitezistii!H$1),0)</f>
        <v>0</v>
      </c>
      <c r="I39" s="37">
        <f>IFERROR(IF(SUMIFS(Data!$K:$K,Data!$A:$A,Vitezistii!$B39,Data!$C:$C,Vitezistii!I$1)=0," ",SUMIFS(Data!$K:$K,Data!$A:$A,Vitezistii!$B39,Data!$C:$C,Vitezistii!I$1))+SUMIFS(Data!$S:$S,Data!$A:$A,Vitezistii!$B39,Data!$C:$C,Vitezistii!I$1),0)</f>
        <v>0</v>
      </c>
      <c r="J39" s="37">
        <f>IFERROR(IF(SUMIFS(Data!$K:$K,Data!$A:$A,Vitezistii!$B39,Data!$C:$C,Vitezistii!J$1)=0," ",SUMIFS(Data!$K:$K,Data!$A:$A,Vitezistii!$B39,Data!$C:$C,Vitezistii!J$1))+SUMIFS(Data!$S:$S,Data!$A:$A,Vitezistii!$B39,Data!$C:$C,Vitezistii!J$1),0)</f>
        <v>0</v>
      </c>
      <c r="K39" s="37">
        <f>IFERROR(IF(SUMIFS(Data!$K:$K,Data!$A:$A,Vitezistii!$B39,Data!$C:$C,Vitezistii!K$1)=0," ",SUMIFS(Data!$K:$K,Data!$A:$A,Vitezistii!$B39,Data!$C:$C,Vitezistii!K$1))+SUMIFS(Data!$S:$S,Data!$A:$A,Vitezistii!$B39,Data!$C:$C,Vitezistii!K$1),0)</f>
        <v>0</v>
      </c>
      <c r="L39" s="37">
        <f>IFERROR(IF(SUMIFS(Data!$K:$K,Data!$A:$A,Vitezistii!$B39,Data!$C:$C,Vitezistii!L$1)=0," ",SUMIFS(Data!$K:$K,Data!$A:$A,Vitezistii!$B39,Data!$C:$C,Vitezistii!L$1))+SUMIFS(Data!$S:$S,Data!$A:$A,Vitezistii!$B39,Data!$C:$C,Vitezistii!L$1),0)</f>
        <v>0</v>
      </c>
      <c r="M39" s="37">
        <f>IFERROR(IF(SUMIFS(Data!$K:$K,Data!$A:$A,Vitezistii!$B39,Data!$C:$C,Vitezistii!M$1)=0," ",SUMIFS(Data!$K:$K,Data!$A:$A,Vitezistii!$B39,Data!$C:$C,Vitezistii!M$1))+SUMIFS(Data!$S:$S,Data!$A:$A,Vitezistii!$B39,Data!$C:$C,Vitezistii!M$1),0)</f>
        <v>0</v>
      </c>
      <c r="N39" s="37">
        <f>IFERROR(IF(SUMIFS(Data!$K:$K,Data!$A:$A,Vitezistii!$B39,Data!$C:$C,Vitezistii!N$1)=0," ",SUMIFS(Data!$K:$K,Data!$A:$A,Vitezistii!$B39,Data!$C:$C,Vitezistii!N$1))+SUMIFS(Data!$S:$S,Data!$A:$A,Vitezistii!$B39,Data!$C:$C,Vitezistii!N$1),0)</f>
        <v>0</v>
      </c>
      <c r="O39" s="37">
        <f>IFERROR(IF(SUMIFS(Data!$K:$K,Data!$A:$A,Vitezistii!$B39,Data!$C:$C,Vitezistii!O$1)=0," ",SUMIFS(Data!$K:$K,Data!$A:$A,Vitezistii!$B39,Data!$C:$C,Vitezistii!O$1))+SUMIFS(Data!$S:$S,Data!$A:$A,Vitezistii!$B39,Data!$C:$C,Vitezistii!O$1),0)</f>
        <v>0</v>
      </c>
      <c r="P39" s="37">
        <f>IFERROR(IF(SUMIFS(Data!$K:$K,Data!$A:$A,Vitezistii!$B39,Data!$C:$C,Vitezistii!P$1)=0," ",SUMIFS(Data!$K:$K,Data!$A:$A,Vitezistii!$B39,Data!$C:$C,Vitezistii!P$1))+SUMIFS(Data!$S:$S,Data!$A:$A,Vitezistii!$B39,Data!$C:$C,Vitezistii!P$1),0)</f>
        <v>0</v>
      </c>
      <c r="Q39" s="37">
        <f>IFERROR(IF(SUMIFS(Data!$K:$K,Data!$A:$A,Vitezistii!$B39,Data!$C:$C,Vitezistii!Q$1)=0," ",SUMIFS(Data!$K:$K,Data!$A:$A,Vitezistii!$B39,Data!$C:$C,Vitezistii!Q$1))+SUMIFS(Data!$S:$S,Data!$A:$A,Vitezistii!$B39,Data!$C:$C,Vitezistii!Q$1),0)</f>
        <v>0</v>
      </c>
      <c r="R39" s="37">
        <f t="shared" si="0"/>
        <v>0</v>
      </c>
      <c r="S39" s="37">
        <f>SUMIFS(Data!D:D,Data!A:A,Vitezistii!B39)</f>
        <v>0</v>
      </c>
      <c r="T39" s="13" t="e">
        <f>SUMIFS(Data!I:I,Data!A:A,Vitezistii!B39)/COUNTIF(Data!A:A,Vitezistii!B39)</f>
        <v>#DIV/0!</v>
      </c>
    </row>
    <row r="40" spans="1:20" ht="13.8" x14ac:dyDescent="0.3">
      <c r="A40" s="103">
        <v>39</v>
      </c>
      <c r="B40" s="36"/>
      <c r="C40" s="37"/>
      <c r="D40" s="37"/>
      <c r="E40" s="37"/>
      <c r="F40" s="37" t="str">
        <f>IF(SUMIFS(Data!$U:$U,Data!$A:$A,$B40,Data!$C:$C,F$1)=0,"",SUMIFS(Data!$U:$U,Data!$A:$A,$B40,Data!$C:$C,F$1))</f>
        <v/>
      </c>
      <c r="G40" s="37" t="str">
        <f>IF(SUMIFS(Data!$U:$U,Data!$A:$A,$B40,Data!$C:$C,G$1)=0,"",SUMIFS(Data!$U:$U,Data!$A:$A,$B40,Data!$C:$C,G$1))</f>
        <v/>
      </c>
      <c r="H40" s="37" t="str">
        <f>IF(SUMIFS(Data!$U:$U,Data!$A:$A,$B40,Data!$C:$C,H$1)=0,"",SUMIFS(Data!$U:$U,Data!$A:$A,$B40,Data!$C:$C,H$1))</f>
        <v/>
      </c>
      <c r="I40" s="37" t="str">
        <f>IF(SUMIFS(Data!$U:$U,Data!$A:$A,$B40,Data!$C:$C,I$1)=0,"",SUMIFS(Data!$U:$U,Data!$A:$A,$B40,Data!$C:$C,I$1))</f>
        <v/>
      </c>
      <c r="J40" s="37" t="str">
        <f>IF(SUMIFS(Data!$U:$U,Data!$A:$A,$B40,Data!$C:$C,J$1)=0,"",SUMIFS(Data!$U:$U,Data!$A:$A,$B40,Data!$C:$C,J$1))</f>
        <v/>
      </c>
      <c r="K40" s="37" t="str">
        <f>IF(SUMIFS(Data!$U:$U,Data!$A:$A,$B40,Data!$C:$C,K$1)=0,"",SUMIFS(Data!$U:$U,Data!$A:$A,$B40,Data!$C:$C,K$1))</f>
        <v/>
      </c>
      <c r="L40" s="37" t="str">
        <f>IF(SUMIFS(Data!$U:$U,Data!$A:$A,$B40,Data!$C:$C,L$1)=0,"",SUMIFS(Data!$U:$U,Data!$A:$A,$B40,Data!$C:$C,L$1))</f>
        <v/>
      </c>
      <c r="M40" s="37" t="str">
        <f>IF(SUMIFS(Data!$U:$U,Data!$A:$A,$B40,Data!$C:$C,M$1)=0,"",SUMIFS(Data!$U:$U,Data!$A:$A,$B40,Data!$C:$C,M$1))</f>
        <v/>
      </c>
      <c r="N40" s="37" t="str">
        <f>IF(SUMIFS(Data!$U:$U,Data!$A:$A,$B40,Data!$C:$C,N$1)=0,"",SUMIFS(Data!$U:$U,Data!$A:$A,$B40,Data!$C:$C,N$1))</f>
        <v/>
      </c>
      <c r="O40" s="37" t="str">
        <f>IF(SUMIFS(Data!$U:$U,Data!$A:$A,$B40,Data!$C:$C,O$1)=0,"",SUMIFS(Data!$U:$U,Data!$A:$A,$B40,Data!$C:$C,O$1))</f>
        <v/>
      </c>
      <c r="P40" s="37" t="str">
        <f>IF(SUMIFS(Data!$U:$U,Data!$A:$A,$B40,Data!$C:$C,P$1)=0,"",SUMIFS(Data!$U:$U,Data!$A:$A,$B40,Data!$C:$C,P$1))</f>
        <v/>
      </c>
      <c r="Q40" s="37" t="str">
        <f>IF(SUMIFS(Data!$U:$U,Data!$A:$A,$B40,Data!$C:$C,Q$1)=0,"",SUMIFS(Data!$U:$U,Data!$A:$A,$B40,Data!$C:$C,Q$1))</f>
        <v/>
      </c>
      <c r="R40" s="37"/>
      <c r="S40" s="37"/>
      <c r="T40" s="13"/>
    </row>
    <row r="41" spans="1:20" ht="13.8" x14ac:dyDescent="0.3">
      <c r="A41" s="103">
        <v>40</v>
      </c>
      <c r="B41" s="36"/>
      <c r="C41" s="37"/>
      <c r="D41" s="37"/>
      <c r="E41" s="37"/>
      <c r="F41" s="37" t="str">
        <f>IF(SUMIFS(Data!$U:$U,Data!$A:$A,$B41,Data!$C:$C,F$1)=0,"",SUMIFS(Data!$U:$U,Data!$A:$A,$B41,Data!$C:$C,F$1))</f>
        <v/>
      </c>
      <c r="G41" s="37" t="str">
        <f>IF(SUMIFS(Data!$U:$U,Data!$A:$A,$B41,Data!$C:$C,G$1)=0,"",SUMIFS(Data!$U:$U,Data!$A:$A,$B41,Data!$C:$C,G$1))</f>
        <v/>
      </c>
      <c r="H41" s="37" t="str">
        <f>IF(SUMIFS(Data!$U:$U,Data!$A:$A,$B41,Data!$C:$C,H$1)=0,"",SUMIFS(Data!$U:$U,Data!$A:$A,$B41,Data!$C:$C,H$1))</f>
        <v/>
      </c>
      <c r="I41" s="37" t="str">
        <f>IF(SUMIFS(Data!$U:$U,Data!$A:$A,$B41,Data!$C:$C,I$1)=0,"",SUMIFS(Data!$U:$U,Data!$A:$A,$B41,Data!$C:$C,I$1))</f>
        <v/>
      </c>
      <c r="J41" s="37" t="str">
        <f>IF(SUMIFS(Data!$U:$U,Data!$A:$A,$B41,Data!$C:$C,J$1)=0,"",SUMIFS(Data!$U:$U,Data!$A:$A,$B41,Data!$C:$C,J$1))</f>
        <v/>
      </c>
      <c r="K41" s="37" t="str">
        <f>IF(SUMIFS(Data!$U:$U,Data!$A:$A,$B41,Data!$C:$C,K$1)=0,"",SUMIFS(Data!$U:$U,Data!$A:$A,$B41,Data!$C:$C,K$1))</f>
        <v/>
      </c>
      <c r="L41" s="37" t="str">
        <f>IF(SUMIFS(Data!$U:$U,Data!$A:$A,$B41,Data!$C:$C,L$1)=0,"",SUMIFS(Data!$U:$U,Data!$A:$A,$B41,Data!$C:$C,L$1))</f>
        <v/>
      </c>
      <c r="M41" s="37" t="str">
        <f>IF(SUMIFS(Data!$U:$U,Data!$A:$A,$B41,Data!$C:$C,M$1)=0,"",SUMIFS(Data!$U:$U,Data!$A:$A,$B41,Data!$C:$C,M$1))</f>
        <v/>
      </c>
      <c r="N41" s="37" t="str">
        <f>IF(SUMIFS(Data!$U:$U,Data!$A:$A,$B41,Data!$C:$C,N$1)=0,"",SUMIFS(Data!$U:$U,Data!$A:$A,$B41,Data!$C:$C,N$1))</f>
        <v/>
      </c>
      <c r="O41" s="37" t="str">
        <f>IF(SUMIFS(Data!$U:$U,Data!$A:$A,$B41,Data!$C:$C,O$1)=0,"",SUMIFS(Data!$U:$U,Data!$A:$A,$B41,Data!$C:$C,O$1))</f>
        <v/>
      </c>
      <c r="P41" s="37" t="str">
        <f>IF(SUMIFS(Data!$U:$U,Data!$A:$A,$B41,Data!$C:$C,P$1)=0,"",SUMIFS(Data!$U:$U,Data!$A:$A,$B41,Data!$C:$C,P$1))</f>
        <v/>
      </c>
      <c r="Q41" s="37" t="str">
        <f>IF(SUMIFS(Data!$U:$U,Data!$A:$A,$B41,Data!$C:$C,Q$1)=0,"",SUMIFS(Data!$U:$U,Data!$A:$A,$B41,Data!$C:$C,Q$1))</f>
        <v/>
      </c>
      <c r="R41" s="37"/>
      <c r="S41" s="37"/>
      <c r="T41" s="13"/>
    </row>
    <row r="42" spans="1:20" ht="13.8" x14ac:dyDescent="0.3">
      <c r="A42" s="103">
        <v>41</v>
      </c>
      <c r="B42" s="36"/>
      <c r="C42" s="37"/>
      <c r="D42" s="37"/>
      <c r="E42" s="37"/>
      <c r="F42" s="37" t="str">
        <f>IF(SUMIFS(Data!$U:$U,Data!$A:$A,$B42,Data!$C:$C,F$1)=0,"",SUMIFS(Data!$U:$U,Data!$A:$A,$B42,Data!$C:$C,F$1))</f>
        <v/>
      </c>
      <c r="G42" s="37" t="str">
        <f>IF(SUMIFS(Data!$U:$U,Data!$A:$A,$B42,Data!$C:$C,G$1)=0,"",SUMIFS(Data!$U:$U,Data!$A:$A,$B42,Data!$C:$C,G$1))</f>
        <v/>
      </c>
      <c r="H42" s="37" t="str">
        <f>IF(SUMIFS(Data!$U:$U,Data!$A:$A,$B42,Data!$C:$C,H$1)=0,"",SUMIFS(Data!$U:$U,Data!$A:$A,$B42,Data!$C:$C,H$1))</f>
        <v/>
      </c>
      <c r="I42" s="37" t="str">
        <f>IF(SUMIFS(Data!$U:$U,Data!$A:$A,$B42,Data!$C:$C,I$1)=0,"",SUMIFS(Data!$U:$U,Data!$A:$A,$B42,Data!$C:$C,I$1))</f>
        <v/>
      </c>
      <c r="J42" s="37" t="str">
        <f>IF(SUMIFS(Data!$U:$U,Data!$A:$A,$B42,Data!$C:$C,J$1)=0,"",SUMIFS(Data!$U:$U,Data!$A:$A,$B42,Data!$C:$C,J$1))</f>
        <v/>
      </c>
      <c r="K42" s="37" t="str">
        <f>IF(SUMIFS(Data!$U:$U,Data!$A:$A,$B42,Data!$C:$C,K$1)=0,"",SUMIFS(Data!$U:$U,Data!$A:$A,$B42,Data!$C:$C,K$1))</f>
        <v/>
      </c>
      <c r="L42" s="37" t="str">
        <f>IF(SUMIFS(Data!$U:$U,Data!$A:$A,$B42,Data!$C:$C,L$1)=0,"",SUMIFS(Data!$U:$U,Data!$A:$A,$B42,Data!$C:$C,L$1))</f>
        <v/>
      </c>
      <c r="M42" s="37" t="str">
        <f>IF(SUMIFS(Data!$U:$U,Data!$A:$A,$B42,Data!$C:$C,M$1)=0,"",SUMIFS(Data!$U:$U,Data!$A:$A,$B42,Data!$C:$C,M$1))</f>
        <v/>
      </c>
      <c r="N42" s="37" t="str">
        <f>IF(SUMIFS(Data!$U:$U,Data!$A:$A,$B42,Data!$C:$C,N$1)=0,"",SUMIFS(Data!$U:$U,Data!$A:$A,$B42,Data!$C:$C,N$1))</f>
        <v/>
      </c>
      <c r="O42" s="37" t="str">
        <f>IF(SUMIFS(Data!$U:$U,Data!$A:$A,$B42,Data!$C:$C,O$1)=0,"",SUMIFS(Data!$U:$U,Data!$A:$A,$B42,Data!$C:$C,O$1))</f>
        <v/>
      </c>
      <c r="P42" s="37" t="str">
        <f>IF(SUMIFS(Data!$U:$U,Data!$A:$A,$B42,Data!$C:$C,P$1)=0,"",SUMIFS(Data!$U:$U,Data!$A:$A,$B42,Data!$C:$C,P$1))</f>
        <v/>
      </c>
      <c r="Q42" s="37" t="str">
        <f>IF(SUMIFS(Data!$U:$U,Data!$A:$A,$B42,Data!$C:$C,Q$1)=0,"",SUMIFS(Data!$U:$U,Data!$A:$A,$B42,Data!$C:$C,Q$1))</f>
        <v/>
      </c>
      <c r="R42" s="37"/>
      <c r="S42" s="37"/>
      <c r="T42" s="13"/>
    </row>
    <row r="43" spans="1:20" ht="13.8" x14ac:dyDescent="0.3">
      <c r="A43" s="103">
        <v>42</v>
      </c>
      <c r="B43" s="36"/>
      <c r="C43" s="37"/>
      <c r="D43" s="37"/>
      <c r="E43" s="37"/>
      <c r="F43" s="37" t="str">
        <f>IF(SUMIFS(Data!$U:$U,Data!$A:$A,$B43,Data!$C:$C,F$1)=0,"",SUMIFS(Data!$U:$U,Data!$A:$A,$B43,Data!$C:$C,F$1))</f>
        <v/>
      </c>
      <c r="G43" s="37" t="str">
        <f>IF(SUMIFS(Data!$U:$U,Data!$A:$A,$B43,Data!$C:$C,G$1)=0,"",SUMIFS(Data!$U:$U,Data!$A:$A,$B43,Data!$C:$C,G$1))</f>
        <v/>
      </c>
      <c r="H43" s="37" t="str">
        <f>IF(SUMIFS(Data!$U:$U,Data!$A:$A,$B43,Data!$C:$C,H$1)=0,"",SUMIFS(Data!$U:$U,Data!$A:$A,$B43,Data!$C:$C,H$1))</f>
        <v/>
      </c>
      <c r="I43" s="37" t="str">
        <f>IF(SUMIFS(Data!$U:$U,Data!$A:$A,$B43,Data!$C:$C,I$1)=0,"",SUMIFS(Data!$U:$U,Data!$A:$A,$B43,Data!$C:$C,I$1))</f>
        <v/>
      </c>
      <c r="J43" s="37" t="str">
        <f>IF(SUMIFS(Data!$U:$U,Data!$A:$A,$B43,Data!$C:$C,J$1)=0,"",SUMIFS(Data!$U:$U,Data!$A:$A,$B43,Data!$C:$C,J$1))</f>
        <v/>
      </c>
      <c r="K43" s="37" t="str">
        <f>IF(SUMIFS(Data!$U:$U,Data!$A:$A,$B43,Data!$C:$C,K$1)=0,"",SUMIFS(Data!$U:$U,Data!$A:$A,$B43,Data!$C:$C,K$1))</f>
        <v/>
      </c>
      <c r="L43" s="37" t="str">
        <f>IF(SUMIFS(Data!$U:$U,Data!$A:$A,$B43,Data!$C:$C,L$1)=0,"",SUMIFS(Data!$U:$U,Data!$A:$A,$B43,Data!$C:$C,L$1))</f>
        <v/>
      </c>
      <c r="M43" s="37" t="str">
        <f>IF(SUMIFS(Data!$U:$U,Data!$A:$A,$B43,Data!$C:$C,M$1)=0,"",SUMIFS(Data!$U:$U,Data!$A:$A,$B43,Data!$C:$C,M$1))</f>
        <v/>
      </c>
      <c r="N43" s="37" t="str">
        <f>IF(SUMIFS(Data!$U:$U,Data!$A:$A,$B43,Data!$C:$C,N$1)=0,"",SUMIFS(Data!$U:$U,Data!$A:$A,$B43,Data!$C:$C,N$1))</f>
        <v/>
      </c>
      <c r="O43" s="37" t="str">
        <f>IF(SUMIFS(Data!$U:$U,Data!$A:$A,$B43,Data!$C:$C,O$1)=0,"",SUMIFS(Data!$U:$U,Data!$A:$A,$B43,Data!$C:$C,O$1))</f>
        <v/>
      </c>
      <c r="P43" s="37" t="str">
        <f>IF(SUMIFS(Data!$U:$U,Data!$A:$A,$B43,Data!$C:$C,P$1)=0,"",SUMIFS(Data!$U:$U,Data!$A:$A,$B43,Data!$C:$C,P$1))</f>
        <v/>
      </c>
      <c r="Q43" s="37" t="str">
        <f>IF(SUMIFS(Data!$U:$U,Data!$A:$A,$B43,Data!$C:$C,Q$1)=0,"",SUMIFS(Data!$U:$U,Data!$A:$A,$B43,Data!$C:$C,Q$1))</f>
        <v/>
      </c>
      <c r="R43" s="37"/>
      <c r="S43" s="37"/>
      <c r="T43" s="13"/>
    </row>
  </sheetData>
  <autoFilter ref="A1:T43"/>
  <sortState ref="B2:T36">
    <sortCondition descending="1" ref="R2:R36"/>
    <sortCondition descending="1" ref="S2:S36"/>
  </sortState>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sheetPr>
  <dimension ref="A1:Q3"/>
  <sheetViews>
    <sheetView workbookViewId="0">
      <selection activeCell="P18" sqref="P18"/>
    </sheetView>
  </sheetViews>
  <sheetFormatPr defaultColWidth="9.109375" defaultRowHeight="13.8" x14ac:dyDescent="0.3"/>
  <cols>
    <col min="1" max="1" width="3.6640625" style="109" customWidth="1"/>
    <col min="2" max="2" width="13.33203125" style="50" bestFit="1" customWidth="1"/>
    <col min="3" max="3" width="6.5546875" style="50" bestFit="1" customWidth="1"/>
    <col min="4" max="11" width="5.5546875" style="50" bestFit="1" customWidth="1"/>
    <col min="12" max="12" width="6.33203125" style="50" customWidth="1"/>
    <col min="13" max="16" width="6.44140625" style="50" customWidth="1"/>
    <col min="17" max="16384" width="9.109375" style="50"/>
  </cols>
  <sheetData>
    <row r="1" spans="1:17" x14ac:dyDescent="0.3">
      <c r="A1" s="108" t="s">
        <v>68</v>
      </c>
      <c r="B1" s="52" t="s">
        <v>120</v>
      </c>
      <c r="C1" s="43">
        <v>1</v>
      </c>
      <c r="D1" s="43">
        <v>2</v>
      </c>
      <c r="E1" s="43">
        <v>3</v>
      </c>
      <c r="F1" s="43">
        <v>4</v>
      </c>
      <c r="G1" s="43">
        <v>5</v>
      </c>
      <c r="H1" s="43">
        <v>7</v>
      </c>
      <c r="I1" s="43">
        <v>8</v>
      </c>
      <c r="J1" s="43">
        <v>9</v>
      </c>
      <c r="K1" s="43">
        <v>10</v>
      </c>
      <c r="L1" s="43">
        <v>11</v>
      </c>
      <c r="M1" s="43">
        <v>12</v>
      </c>
      <c r="N1" s="43">
        <v>13</v>
      </c>
      <c r="O1" s="43">
        <v>14</v>
      </c>
      <c r="P1" s="43">
        <v>15</v>
      </c>
      <c r="Q1" s="54" t="s">
        <v>70</v>
      </c>
    </row>
    <row r="2" spans="1:17" x14ac:dyDescent="0.3">
      <c r="A2" s="108">
        <v>1</v>
      </c>
      <c r="B2" s="50" t="s">
        <v>264</v>
      </c>
      <c r="C2" s="51">
        <f>SUMPRODUCT((Data_echipe!B$2:B$33)*(Data_echipe!$A$2:$A$33=Echipe!$B2))</f>
        <v>3.137288003663004</v>
      </c>
      <c r="D2" s="51">
        <f>SUMPRODUCT((Data_echipe!C$2:C$33)*(Data_echipe!$A$2:$A$33=Echipe!$B2))</f>
        <v>2.9871721611721616</v>
      </c>
      <c r="E2" s="51">
        <f>SUMPRODUCT((Data_echipe!D$2:D$33)*(Data_echipe!$A$2:$A$33=Echipe!$B2))</f>
        <v>2.945499542124542</v>
      </c>
      <c r="F2" s="51">
        <f>SUMPRODUCT((Data_echipe!E$2:E$33)*(Data_echipe!$A$2:$A$33=Echipe!$B2))</f>
        <v>3.3025444139194136</v>
      </c>
      <c r="G2" s="51">
        <f>SUMPRODUCT((Data_echipe!F$2:F$33)*(Data_echipe!$A$2:$A$33=Echipe!$B2))</f>
        <v>3.541494505494506</v>
      </c>
      <c r="H2" s="51">
        <f>SUMPRODUCT((Data_echipe!H$2:H$33)*(Data_echipe!$A$2:$A$33=Echipe!$B2))</f>
        <v>3.1834537545787542</v>
      </c>
      <c r="I2" s="51">
        <f>SUMPRODUCT((Data_echipe!I$2:I$33)*(Data_echipe!$A$2:$A$33=Echipe!$B2))</f>
        <v>3.2913122710622704</v>
      </c>
      <c r="J2" s="51">
        <f>SUMPRODUCT((Data_echipe!J$2:J$33)*(Data_echipe!$A$2:$A$33=Echipe!$B2))</f>
        <v>3.2444963369963369</v>
      </c>
      <c r="K2" s="51">
        <f>SUMPRODUCT((Data_echipe!K$2:K$33)*(Data_echipe!$A$2:$A$33=Echipe!$B2))</f>
        <v>2.5497660256410253</v>
      </c>
      <c r="L2" s="51">
        <f>SUMPRODUCT((Data_echipe!L$2:L$33)*(Data_echipe!$A$2:$A$33=Echipe!$B2))</f>
        <v>3.3560691391941395</v>
      </c>
      <c r="M2" s="51">
        <f>SUMPRODUCT((Data_echipe!M$2:M$33)*(Data_echipe!$A$2:$A$33=Echipe!$B2))</f>
        <v>1.9861813186813189</v>
      </c>
      <c r="N2" s="51">
        <f>SUMPRODUCT((Data_echipe!N$2:N$33)*(Data_echipe!$A$2:$A$33=Echipe!$B2))</f>
        <v>2.9640746336996338</v>
      </c>
      <c r="O2" s="51">
        <f>SUMPRODUCT((Data_echipe!O$2:O$33)*(Data_echipe!$A$2:$A$33=Echipe!$B2))</f>
        <v>2.8938978937728939</v>
      </c>
      <c r="P2" s="51">
        <f>SUMPRODUCT((Data_echipe!P$2:P$33)*(Data_echipe!$A$2:$A$33=Echipe!$B2))</f>
        <v>2.5377504578754579</v>
      </c>
      <c r="Q2" s="53">
        <f>SUM(C2:P2)</f>
        <v>41.921000457875458</v>
      </c>
    </row>
    <row r="3" spans="1:17" x14ac:dyDescent="0.3">
      <c r="A3" s="108">
        <v>2</v>
      </c>
      <c r="B3" s="50" t="s">
        <v>265</v>
      </c>
      <c r="C3" s="51">
        <f>SUMPRODUCT((Data_echipe!B$2:B$33)*(Data_echipe!$A$2:$A$33=Echipe!$B3))</f>
        <v>2.4559516369047616</v>
      </c>
      <c r="D3" s="51">
        <f>SUMPRODUCT((Data_echipe!C$2:C$33)*(Data_echipe!$A$2:$A$33=Echipe!$B3))</f>
        <v>3.2618749999999999</v>
      </c>
      <c r="E3" s="51">
        <f>SUMPRODUCT((Data_echipe!D$2:D$33)*(Data_echipe!$A$2:$A$33=Echipe!$B3))</f>
        <v>2.8942038690476193</v>
      </c>
      <c r="F3" s="51">
        <f>SUMPRODUCT((Data_echipe!E$2:E$33)*(Data_echipe!$A$2:$A$33=Echipe!$B3))</f>
        <v>2.6601855158730161</v>
      </c>
      <c r="G3" s="51">
        <f>SUMPRODUCT((Data_echipe!F$2:F$33)*(Data_echipe!$A$2:$A$33=Echipe!$B3))</f>
        <v>2.6736240079365081</v>
      </c>
      <c r="H3" s="51">
        <f>SUMPRODUCT((Data_echipe!H$2:H$33)*(Data_echipe!$A$2:$A$33=Echipe!$B3))</f>
        <v>2.2870515873015873</v>
      </c>
      <c r="I3" s="51">
        <f>SUMPRODUCT((Data_echipe!I$2:I$33)*(Data_echipe!$A$2:$A$33=Echipe!$B3))</f>
        <v>2.4582743055555558</v>
      </c>
      <c r="J3" s="51">
        <f>SUMPRODUCT((Data_echipe!J$2:J$33)*(Data_echipe!$A$2:$A$33=Echipe!$B3))</f>
        <v>2.7791721230158726</v>
      </c>
      <c r="K3" s="51">
        <f>SUMPRODUCT((Data_echipe!K$2:K$33)*(Data_echipe!$A$2:$A$33=Echipe!$B3))</f>
        <v>2.5117331349206347</v>
      </c>
      <c r="L3" s="51">
        <f>SUMPRODUCT((Data_echipe!L$2:L$33)*(Data_echipe!$A$2:$A$33=Echipe!$B3))</f>
        <v>2.7857743055555555</v>
      </c>
      <c r="M3" s="51">
        <f>SUMPRODUCT((Data_echipe!M$2:M$33)*(Data_echipe!$A$2:$A$33=Echipe!$B3))</f>
        <v>2.9676835317460317</v>
      </c>
      <c r="N3" s="51">
        <f>SUMPRODUCT((Data_echipe!N$2:N$33)*(Data_echipe!$A$2:$A$33=Echipe!$B3))</f>
        <v>3.3542514880952381</v>
      </c>
      <c r="O3" s="51">
        <f>SUMPRODUCT((Data_echipe!O$2:O$33)*(Data_echipe!$A$2:$A$33=Echipe!$B3))</f>
        <v>1.8063055555555554</v>
      </c>
      <c r="P3" s="51">
        <f>SUMPRODUCT((Data_echipe!P$2:P$33)*(Data_echipe!$A$2:$A$33=Echipe!$B3))</f>
        <v>1.9958874007936507</v>
      </c>
      <c r="Q3" s="53">
        <f>SUM(C3:P3)</f>
        <v>36.891973462301586</v>
      </c>
    </row>
  </sheetData>
  <sortState ref="B2:U3">
    <sortCondition descending="1" ref="Q2:Q3"/>
  </sortState>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U35"/>
  <sheetViews>
    <sheetView workbookViewId="0">
      <pane ySplit="1" topLeftCell="A2" activePane="bottomLeft" state="frozen"/>
      <selection pane="bottomLeft" activeCell="P22" sqref="P22"/>
    </sheetView>
  </sheetViews>
  <sheetFormatPr defaultColWidth="9.109375" defaultRowHeight="14.4" x14ac:dyDescent="0.3"/>
  <cols>
    <col min="1" max="1" width="23.21875" style="57" bestFit="1" customWidth="1"/>
    <col min="2" max="10" width="6.6640625" style="57" customWidth="1"/>
    <col min="11" max="11" width="6.6640625" style="49" customWidth="1"/>
    <col min="12" max="16" width="6.6640625" style="57" customWidth="1"/>
    <col min="17" max="17" width="9.109375" style="57"/>
    <col min="18" max="18" width="11.6640625" style="152" bestFit="1" customWidth="1"/>
    <col min="19" max="19" width="9.109375" style="16"/>
    <col min="20" max="16384" width="9.109375" style="57"/>
  </cols>
  <sheetData>
    <row r="1" spans="1:21" x14ac:dyDescent="0.3">
      <c r="B1" s="110">
        <v>1</v>
      </c>
      <c r="C1" s="110">
        <v>2</v>
      </c>
      <c r="D1" s="110">
        <v>3</v>
      </c>
      <c r="E1" s="110">
        <v>4</v>
      </c>
      <c r="F1" s="110">
        <v>5</v>
      </c>
      <c r="G1" s="110">
        <v>6</v>
      </c>
      <c r="H1" s="110">
        <v>7</v>
      </c>
      <c r="I1" s="110">
        <v>8</v>
      </c>
      <c r="J1" s="110">
        <v>9</v>
      </c>
      <c r="K1" s="110">
        <v>10</v>
      </c>
      <c r="L1" s="110">
        <v>11</v>
      </c>
      <c r="M1" s="110">
        <v>12</v>
      </c>
      <c r="N1" s="110">
        <v>13</v>
      </c>
      <c r="O1" s="110">
        <v>14</v>
      </c>
      <c r="P1" s="110">
        <v>15</v>
      </c>
      <c r="Q1" s="158" t="s">
        <v>70</v>
      </c>
    </row>
    <row r="2" spans="1:21" s="58" customFormat="1" ht="12" x14ac:dyDescent="0.25">
      <c r="A2" s="75" t="s">
        <v>264</v>
      </c>
      <c r="B2" s="59">
        <f>AVERAGE(B3:B13,B15:B16)</f>
        <v>3.137288003663004</v>
      </c>
      <c r="C2" s="59">
        <f>AVERAGE(C4:C12,C14:C17)</f>
        <v>2.9871721611721616</v>
      </c>
      <c r="D2" s="59">
        <f>AVERAGE(D3:D14,D16)</f>
        <v>2.945499542124542</v>
      </c>
      <c r="E2" s="59">
        <f>AVERAGE(E3,E5,E7:E17)</f>
        <v>3.3025444139194136</v>
      </c>
      <c r="F2" s="59">
        <f>AVERAGE(F3:F14,F16)</f>
        <v>3.541494505494506</v>
      </c>
      <c r="G2" s="59">
        <f>AVERAGE(G3:G10,G12,G14:G17)</f>
        <v>2.9670938644688647</v>
      </c>
      <c r="H2" s="59">
        <f>AVERAGE(H3:H14,H16)</f>
        <v>3.1834537545787542</v>
      </c>
      <c r="I2" s="59">
        <f>AVERAGE(I3:I11,I13:I14,I16:I17)</f>
        <v>3.2913122710622704</v>
      </c>
      <c r="J2" s="59">
        <f>AVERAGE(J3:J11,J13:J14,J16:J17)</f>
        <v>3.2444963369963369</v>
      </c>
      <c r="K2" s="59">
        <f>AVERAGE(K4:K16)</f>
        <v>2.5497660256410253</v>
      </c>
      <c r="L2" s="59">
        <f>AVERAGE(L3:L14,L16)</f>
        <v>3.3560691391941395</v>
      </c>
      <c r="M2" s="59">
        <f>AVERAGE(M4:M7,M9:M17)</f>
        <v>1.9861813186813189</v>
      </c>
      <c r="N2" s="59">
        <f>AVERAGE(N3:N5,N7:N14,N16:N17)</f>
        <v>2.9640746336996338</v>
      </c>
      <c r="O2" s="59">
        <f>AVERAGE(O4:O5,O7:O17)</f>
        <v>2.8938978937728939</v>
      </c>
      <c r="P2" s="59">
        <f>AVERAGE(P3:P4,P6:P14,P16:P17)</f>
        <v>2.5377504578754579</v>
      </c>
      <c r="Q2" s="59">
        <f>SUM(B2:P2)</f>
        <v>44.888094322344323</v>
      </c>
      <c r="R2" s="153"/>
      <c r="U2" s="66"/>
    </row>
    <row r="3" spans="1:21" x14ac:dyDescent="0.3">
      <c r="A3" s="57" t="s">
        <v>116</v>
      </c>
      <c r="B3" s="124">
        <f>SUMIFS(Data!$U:$U,Data!$A:$A,Data_echipe!$A3,Data!$C:$C,Data_echipe!B$1)</f>
        <v>2.7452380952380953</v>
      </c>
      <c r="C3" s="155">
        <f>SUMIFS(Data!$U:$U,Data!$A:$A,Data_echipe!$A3,Data!$C:$C,Data_echipe!C$1)</f>
        <v>1.5</v>
      </c>
      <c r="D3" s="124">
        <f>SUMIFS(Data!$U:$U,Data!$A:$A,Data_echipe!$A3,Data!$C:$C,Data_echipe!D$1)</f>
        <v>2.3345238095238097</v>
      </c>
      <c r="E3" s="124">
        <f>SUMIFS(Data!$U:$U,Data!$A:$A,Data_echipe!$A3,Data!$C:$C,Data_echipe!E$1)</f>
        <v>2.7047619047619049</v>
      </c>
      <c r="F3" s="124">
        <f>SUMIFS(Data!$U:$U,Data!$A:$A,Data_echipe!$A3,Data!$C:$C,Data_echipe!F$1)</f>
        <v>3.3081428571428568</v>
      </c>
      <c r="G3" s="124">
        <f>SUMIFS(Data!$U:$U,Data!$A:$A,Data_echipe!$A3,Data!$C:$C,Data_echipe!G$1)</f>
        <v>3.1309523809523809</v>
      </c>
      <c r="H3" s="124">
        <f>SUMIFS(Data!$U:$U,Data!$A:$A,Data_echipe!$A3,Data!$C:$C,Data_echipe!H$1)</f>
        <v>2.0958333333333332</v>
      </c>
      <c r="I3" s="124">
        <f>SUMIFS(Data!$U:$U,Data!$A:$A,Data_echipe!$A3,Data!$C:$C,Data_echipe!I$1)</f>
        <v>1.8565476190476191</v>
      </c>
      <c r="J3" s="124">
        <f>SUMIFS(Data!$U:$U,Data!$A:$A,Data_echipe!$A3,Data!$C:$C,Data_echipe!J$1)</f>
        <v>2.2607142857142857</v>
      </c>
      <c r="K3" s="155">
        <f>SUMIFS(Data!$U:$U,Data!$A:$A,Data_echipe!$A3,Data!$C:$C,Data_echipe!K$1)</f>
        <v>0</v>
      </c>
      <c r="L3" s="124">
        <f>SUMIFS(Data!$U:$U,Data!$A:$A,Data_echipe!$A3,Data!$C:$C,Data_echipe!L$1)</f>
        <v>2.4285714285714288</v>
      </c>
      <c r="M3" s="155">
        <f>SUMIFS(Data!$U:$U,Data!$A:$A,Data_echipe!$A3,Data!$C:$C,Data_echipe!M$1)</f>
        <v>0</v>
      </c>
      <c r="N3" s="124">
        <f>SUMIFS(Data!$U:$U,Data!$A:$A,Data_echipe!$A3,Data!$C:$C,Data_echipe!N$1)</f>
        <v>1.9178571428571427</v>
      </c>
      <c r="O3" s="155">
        <f>SUMIFS(Data!$U:$U,Data!$A:$A,Data_echipe!$A3,Data!$C:$C,Data_echipe!O$1)</f>
        <v>0</v>
      </c>
      <c r="P3" s="124">
        <f>SUMIFS(Data!$U:$U,Data!$A:$A,Data_echipe!$A3,Data!$C:$C,Data_echipe!P$1)</f>
        <v>2.4232142857142858</v>
      </c>
      <c r="R3" s="154" t="str">
        <f>$A$2</f>
        <v>Trail</v>
      </c>
    </row>
    <row r="4" spans="1:21" x14ac:dyDescent="0.3">
      <c r="A4" s="57" t="s">
        <v>255</v>
      </c>
      <c r="B4" s="124">
        <f>SUMIFS(Data!$U:$U,Data!$A:$A,Data_echipe!$A4,Data!$C:$C,Data_echipe!B$1)</f>
        <v>3.3289166666666667</v>
      </c>
      <c r="C4" s="124">
        <f>SUMIFS(Data!$U:$U,Data!$A:$A,Data_echipe!$A4,Data!$C:$C,Data_echipe!C$1)</f>
        <v>3.0937916666666667</v>
      </c>
      <c r="D4" s="124">
        <f>SUMIFS(Data!$U:$U,Data!$A:$A,Data_echipe!$A4,Data!$C:$C,Data_echipe!D$1)</f>
        <v>3.9403333333333332</v>
      </c>
      <c r="E4" s="155">
        <f>SUMIFS(Data!$U:$U,Data!$A:$A,Data_echipe!$A4,Data!$C:$C,Data_echipe!E$1)</f>
        <v>2.2506249999999999</v>
      </c>
      <c r="F4" s="124">
        <f>SUMIFS(Data!$U:$U,Data!$A:$A,Data_echipe!$A4,Data!$C:$C,Data_echipe!F$1)</f>
        <v>3.8756250000000003</v>
      </c>
      <c r="G4" s="124">
        <f>SUMIFS(Data!$U:$U,Data!$A:$A,Data_echipe!$A4,Data!$C:$C,Data_echipe!G$1)</f>
        <v>3.5640833333333335</v>
      </c>
      <c r="H4" s="124">
        <f>SUMIFS(Data!$U:$U,Data!$A:$A,Data_echipe!$A4,Data!$C:$C,Data_echipe!H$1)</f>
        <v>2.9222916666666672</v>
      </c>
      <c r="I4" s="124">
        <f>SUMIFS(Data!$U:$U,Data!$A:$A,Data_echipe!$A4,Data!$C:$C,Data_echipe!I$1)</f>
        <v>3.1741249999999996</v>
      </c>
      <c r="J4" s="124">
        <f>SUMIFS(Data!$U:$U,Data!$A:$A,Data_echipe!$A4,Data!$C:$C,Data_echipe!J$1)</f>
        <v>3.2126666666666668</v>
      </c>
      <c r="K4" s="124">
        <f>SUMIFS(Data!$U:$U,Data!$A:$A,Data_echipe!$A4,Data!$C:$C,Data_echipe!K$1)</f>
        <v>3.0006249999999999</v>
      </c>
      <c r="L4" s="124">
        <f>SUMIFS(Data!$U:$U,Data!$A:$A,Data_echipe!$A4,Data!$C:$C,Data_echipe!L$1)</f>
        <v>3.8443333333333332</v>
      </c>
      <c r="M4" s="124">
        <f>SUMIFS(Data!$U:$U,Data!$A:$A,Data_echipe!$A4,Data!$C:$C,Data_echipe!M$1)</f>
        <v>2.4381249999999999</v>
      </c>
      <c r="N4" s="124">
        <f>SUMIFS(Data!$U:$U,Data!$A:$A,Data_echipe!$A4,Data!$C:$C,Data_echipe!N$1)</f>
        <v>3.3695833333333334</v>
      </c>
      <c r="O4" s="124">
        <f>SUMIFS(Data!$U:$U,Data!$A:$A,Data_echipe!$A4,Data!$C:$C,Data_echipe!O$1)</f>
        <v>2.980083333333333</v>
      </c>
      <c r="P4" s="124">
        <f>SUMIFS(Data!$U:$U,Data!$A:$A,Data_echipe!$A4,Data!$C:$C,Data_echipe!P$1)</f>
        <v>3.5012500000000002</v>
      </c>
      <c r="R4" s="154" t="str">
        <f t="shared" ref="R4:R17" si="0">$A$2</f>
        <v>Trail</v>
      </c>
    </row>
    <row r="5" spans="1:21" x14ac:dyDescent="0.3">
      <c r="A5" s="57" t="s">
        <v>254</v>
      </c>
      <c r="B5" s="124">
        <f>SUMIFS(Data!$U:$U,Data!$A:$A,Data_echipe!$A5,Data!$C:$C,Data_echipe!B$1)</f>
        <v>3.9436666666666667</v>
      </c>
      <c r="C5" s="124">
        <f>SUMIFS(Data!$U:$U,Data!$A:$A,Data_echipe!$A5,Data!$C:$C,Data_echipe!C$1)</f>
        <v>3.4312380952380952</v>
      </c>
      <c r="D5" s="124">
        <f>SUMIFS(Data!$U:$U,Data!$A:$A,Data_echipe!$A5,Data!$C:$C,Data_echipe!D$1)</f>
        <v>2.9833333333333334</v>
      </c>
      <c r="E5" s="124">
        <f>SUMIFS(Data!$U:$U,Data!$A:$A,Data_echipe!$A5,Data!$C:$C,Data_echipe!E$1)</f>
        <v>4.3886666666666665</v>
      </c>
      <c r="F5" s="124">
        <f>SUMIFS(Data!$U:$U,Data!$A:$A,Data_echipe!$A5,Data!$C:$C,Data_echipe!F$1)</f>
        <v>4.4156428571428572</v>
      </c>
      <c r="G5" s="124">
        <f>SUMIFS(Data!$U:$U,Data!$A:$A,Data_echipe!$A5,Data!$C:$C,Data_echipe!G$1)</f>
        <v>2.9238571428571429</v>
      </c>
      <c r="H5" s="124">
        <f>SUMIFS(Data!$U:$U,Data!$A:$A,Data_echipe!$A5,Data!$C:$C,Data_echipe!H$1)</f>
        <v>4.0371666666666668</v>
      </c>
      <c r="I5" s="124">
        <f>SUMIFS(Data!$U:$U,Data!$A:$A,Data_echipe!$A5,Data!$C:$C,Data_echipe!I$1)</f>
        <v>3.4133809523809524</v>
      </c>
      <c r="J5" s="124">
        <f>SUMIFS(Data!$U:$U,Data!$A:$A,Data_echipe!$A5,Data!$C:$C,Data_echipe!J$1)</f>
        <v>3.9220000000000002</v>
      </c>
      <c r="K5" s="124">
        <f>SUMIFS(Data!$U:$U,Data!$A:$A,Data_echipe!$A5,Data!$C:$C,Data_echipe!K$1)</f>
        <v>3.4529999999999998</v>
      </c>
      <c r="L5" s="124">
        <f>SUMIFS(Data!$U:$U,Data!$A:$A,Data_echipe!$A5,Data!$C:$C,Data_echipe!L$1)</f>
        <v>4.1966666666666663</v>
      </c>
      <c r="M5" s="124">
        <f>SUMIFS(Data!$U:$U,Data!$A:$A,Data_echipe!$A5,Data!$C:$C,Data_echipe!M$1)</f>
        <v>3.4249999999999998</v>
      </c>
      <c r="N5" s="124">
        <f>SUMIFS(Data!$U:$U,Data!$A:$A,Data_echipe!$A5,Data!$C:$C,Data_echipe!N$1)</f>
        <v>4.3546666666666667</v>
      </c>
      <c r="O5" s="124">
        <f>SUMIFS(Data!$U:$U,Data!$A:$A,Data_echipe!$A5,Data!$C:$C,Data_echipe!O$1)</f>
        <v>3.2220238095238094</v>
      </c>
      <c r="P5" s="155">
        <f>SUMIFS(Data!$U:$U,Data!$A:$A,Data_echipe!$A5,Data!$C:$C,Data_echipe!P$1)</f>
        <v>4.9213333333333331</v>
      </c>
      <c r="R5" s="154" t="str">
        <f t="shared" si="0"/>
        <v>Trail</v>
      </c>
    </row>
    <row r="6" spans="1:21" x14ac:dyDescent="0.3">
      <c r="A6" s="57" t="s">
        <v>64</v>
      </c>
      <c r="B6" s="124">
        <f>SUMIFS(Data!$U:$U,Data!$A:$A,Data_echipe!$A6,Data!$C:$C,Data_echipe!B$1)</f>
        <v>5.9260000000000002</v>
      </c>
      <c r="C6" s="124">
        <f>SUMIFS(Data!$U:$U,Data!$A:$A,Data_echipe!$A6,Data!$C:$C,Data_echipe!C$1)</f>
        <v>2.7755952380952382</v>
      </c>
      <c r="D6" s="124">
        <f>SUMIFS(Data!$U:$U,Data!$A:$A,Data_echipe!$A6,Data!$C:$C,Data_echipe!D$1)</f>
        <v>4.0659999999999998</v>
      </c>
      <c r="E6" s="155">
        <f>SUMIFS(Data!$U:$U,Data!$A:$A,Data_echipe!$A6,Data!$C:$C,Data_echipe!E$1)</f>
        <v>6.1396666666666668</v>
      </c>
      <c r="F6" s="124">
        <f>SUMIFS(Data!$U:$U,Data!$A:$A,Data_echipe!$A6,Data!$C:$C,Data_echipe!F$1)</f>
        <v>4.3259999999999996</v>
      </c>
      <c r="G6" s="124">
        <f>SUMIFS(Data!$U:$U,Data!$A:$A,Data_echipe!$A6,Data!$C:$C,Data_echipe!G$1)</f>
        <v>3.0964285714285715</v>
      </c>
      <c r="H6" s="124">
        <f>SUMIFS(Data!$U:$U,Data!$A:$A,Data_echipe!$A6,Data!$C:$C,Data_echipe!H$1)</f>
        <v>5.4033333333333324</v>
      </c>
      <c r="I6" s="124">
        <f>SUMIFS(Data!$U:$U,Data!$A:$A,Data_echipe!$A6,Data!$C:$C,Data_echipe!I$1)</f>
        <v>4.4793333333333338</v>
      </c>
      <c r="J6" s="124">
        <f>SUMIFS(Data!$U:$U,Data!$A:$A,Data_echipe!$A6,Data!$C:$C,Data_echipe!J$1)</f>
        <v>3.7886666666666668</v>
      </c>
      <c r="K6" s="124">
        <f>SUMIFS(Data!$U:$U,Data!$A:$A,Data_echipe!$A6,Data!$C:$C,Data_echipe!K$1)</f>
        <v>2.1047619047619048</v>
      </c>
      <c r="L6" s="124">
        <f>SUMIFS(Data!$U:$U,Data!$A:$A,Data_echipe!$A6,Data!$C:$C,Data_echipe!L$1)</f>
        <v>2.875</v>
      </c>
      <c r="M6" s="124">
        <f>SUMIFS(Data!$U:$U,Data!$A:$A,Data_echipe!$A6,Data!$C:$C,Data_echipe!M$1)</f>
        <v>0</v>
      </c>
      <c r="N6" s="155">
        <f>SUMIFS(Data!$U:$U,Data!$A:$A,Data_echipe!$A6,Data!$C:$C,Data_echipe!N$1)</f>
        <v>0</v>
      </c>
      <c r="O6" s="155">
        <f>SUMIFS(Data!$U:$U,Data!$A:$A,Data_echipe!$A6,Data!$C:$C,Data_echipe!O$1)</f>
        <v>8.563833333333335</v>
      </c>
      <c r="P6" s="124">
        <f>SUMIFS(Data!$U:$U,Data!$A:$A,Data_echipe!$A6,Data!$C:$C,Data_echipe!P$1)</f>
        <v>4.6254999999999997</v>
      </c>
      <c r="R6" s="154" t="str">
        <f t="shared" si="0"/>
        <v>Trail</v>
      </c>
    </row>
    <row r="7" spans="1:21" x14ac:dyDescent="0.3">
      <c r="A7" s="57" t="s">
        <v>142</v>
      </c>
      <c r="B7" s="124">
        <f>SUMIFS(Data!$U:$U,Data!$A:$A,Data_echipe!$A7,Data!$C:$C,Data_echipe!B$1)</f>
        <v>3.0571666666666668</v>
      </c>
      <c r="C7" s="124">
        <f>SUMIFS(Data!$U:$U,Data!$A:$A,Data_echipe!$A7,Data!$C:$C,Data_echipe!C$1)</f>
        <v>2.4855</v>
      </c>
      <c r="D7" s="124">
        <f>SUMIFS(Data!$U:$U,Data!$A:$A,Data_echipe!$A7,Data!$C:$C,Data_echipe!D$1)</f>
        <v>2.645083333333333</v>
      </c>
      <c r="E7" s="124">
        <f>SUMIFS(Data!$U:$U,Data!$A:$A,Data_echipe!$A7,Data!$C:$C,Data_echipe!E$1)</f>
        <v>2.5766666666666667</v>
      </c>
      <c r="F7" s="124">
        <f>SUMIFS(Data!$U:$U,Data!$A:$A,Data_echipe!$A7,Data!$C:$C,Data_echipe!F$1)</f>
        <v>2.9381249999999999</v>
      </c>
      <c r="G7" s="124">
        <f>SUMIFS(Data!$U:$U,Data!$A:$A,Data_echipe!$A7,Data!$C:$C,Data_echipe!G$1)</f>
        <v>2.4381249999999999</v>
      </c>
      <c r="H7" s="124">
        <f>SUMIFS(Data!$U:$U,Data!$A:$A,Data_echipe!$A7,Data!$C:$C,Data_echipe!H$1)</f>
        <v>2.0832499999999996</v>
      </c>
      <c r="I7" s="124">
        <f>SUMIFS(Data!$U:$U,Data!$A:$A,Data_echipe!$A7,Data!$C:$C,Data_echipe!I$1)</f>
        <v>3.3477499999999996</v>
      </c>
      <c r="J7" s="124">
        <f>SUMIFS(Data!$U:$U,Data!$A:$A,Data_echipe!$A7,Data!$C:$C,Data_echipe!J$1)</f>
        <v>2.7506249999999999</v>
      </c>
      <c r="K7" s="124">
        <f>SUMIFS(Data!$U:$U,Data!$A:$A,Data_echipe!$A7,Data!$C:$C,Data_echipe!K$1)</f>
        <v>2.6496249999999999</v>
      </c>
      <c r="L7" s="124">
        <f>SUMIFS(Data!$U:$U,Data!$A:$A,Data_echipe!$A7,Data!$C:$C,Data_echipe!L$1)</f>
        <v>3.1268750000000001</v>
      </c>
      <c r="M7" s="124">
        <f>SUMIFS(Data!$U:$U,Data!$A:$A,Data_echipe!$A7,Data!$C:$C,Data_echipe!M$1)</f>
        <v>0</v>
      </c>
      <c r="N7" s="124">
        <f>SUMIFS(Data!$U:$U,Data!$A:$A,Data_echipe!$A7,Data!$C:$C,Data_echipe!N$1)</f>
        <v>0</v>
      </c>
      <c r="O7" s="124">
        <f>SUMIFS(Data!$U:$U,Data!$A:$A,Data_echipe!$A7,Data!$C:$C,Data_echipe!O$1)</f>
        <v>2.8021249999999998</v>
      </c>
      <c r="P7" s="124">
        <f>SUMIFS(Data!$U:$U,Data!$A:$A,Data_echipe!$A7,Data!$C:$C,Data_echipe!P$1)</f>
        <v>0</v>
      </c>
      <c r="R7" s="154" t="str">
        <f t="shared" si="0"/>
        <v>Trail</v>
      </c>
    </row>
    <row r="8" spans="1:21" x14ac:dyDescent="0.3">
      <c r="A8" s="57" t="s">
        <v>57</v>
      </c>
      <c r="B8" s="124">
        <f>SUMIFS(Data!$U:$U,Data!$A:$A,Data_echipe!$A8,Data!$C:$C,Data_echipe!B$1)</f>
        <v>2.456</v>
      </c>
      <c r="C8" s="124">
        <f>SUMIFS(Data!$U:$U,Data!$A:$A,Data_echipe!$A8,Data!$C:$C,Data_echipe!C$1)</f>
        <v>2.8638809523809523</v>
      </c>
      <c r="D8" s="124">
        <f>SUMIFS(Data!$U:$U,Data!$A:$A,Data_echipe!$A8,Data!$C:$C,Data_echipe!D$1)</f>
        <v>2.325595238095238</v>
      </c>
      <c r="E8" s="124">
        <f>SUMIFS(Data!$U:$U,Data!$A:$A,Data_echipe!$A8,Data!$C:$C,Data_echipe!E$1)</f>
        <v>2.7308571428571424</v>
      </c>
      <c r="F8" s="124">
        <f>SUMIFS(Data!$U:$U,Data!$A:$A,Data_echipe!$A8,Data!$C:$C,Data_echipe!F$1)</f>
        <v>2.4898809523809522</v>
      </c>
      <c r="G8" s="124">
        <f>SUMIFS(Data!$U:$U,Data!$A:$A,Data_echipe!$A8,Data!$C:$C,Data_echipe!G$1)</f>
        <v>2.940833333333333</v>
      </c>
      <c r="H8" s="124">
        <f>SUMIFS(Data!$U:$U,Data!$A:$A,Data_echipe!$A8,Data!$C:$C,Data_echipe!H$1)</f>
        <v>3.0547619047619046</v>
      </c>
      <c r="I8" s="124">
        <f>SUMIFS(Data!$U:$U,Data!$A:$A,Data_echipe!$A8,Data!$C:$C,Data_echipe!I$1)</f>
        <v>3.3673333333333328</v>
      </c>
      <c r="J8" s="124">
        <f>SUMIFS(Data!$U:$U,Data!$A:$A,Data_echipe!$A8,Data!$C:$C,Data_echipe!J$1)</f>
        <v>3.8363333333333332</v>
      </c>
      <c r="K8" s="124">
        <f>SUMIFS(Data!$U:$U,Data!$A:$A,Data_echipe!$A8,Data!$C:$C,Data_echipe!K$1)</f>
        <v>2.3041666666666667</v>
      </c>
      <c r="L8" s="124">
        <f>SUMIFS(Data!$U:$U,Data!$A:$A,Data_echipe!$A8,Data!$C:$C,Data_echipe!L$1)</f>
        <v>3.0971666666666668</v>
      </c>
      <c r="M8" s="155">
        <f>SUMIFS(Data!$U:$U,Data!$A:$A,Data_echipe!$A8,Data!$C:$C,Data_echipe!M$1)</f>
        <v>3.8171190476190473</v>
      </c>
      <c r="N8" s="124">
        <f>SUMIFS(Data!$U:$U,Data!$A:$A,Data_echipe!$A8,Data!$C:$C,Data_echipe!N$1)</f>
        <v>3.2351190476190474</v>
      </c>
      <c r="O8" s="124">
        <f>SUMIFS(Data!$U:$U,Data!$A:$A,Data_echipe!$A8,Data!$C:$C,Data_echipe!O$1)</f>
        <v>2.6160714285714288</v>
      </c>
      <c r="P8" s="124">
        <f>SUMIFS(Data!$U:$U,Data!$A:$A,Data_echipe!$A8,Data!$C:$C,Data_echipe!P$1)</f>
        <v>3.6316190476190475</v>
      </c>
      <c r="R8" s="154" t="str">
        <f t="shared" si="0"/>
        <v>Trail</v>
      </c>
    </row>
    <row r="9" spans="1:21" s="73" customFormat="1" x14ac:dyDescent="0.3">
      <c r="A9" s="73" t="s">
        <v>102</v>
      </c>
      <c r="B9" s="124">
        <f>SUMIFS(Data!$U:$U,Data!$A:$A,Data_echipe!$A9,Data!$C:$C,Data_echipe!B$1)</f>
        <v>2.3125</v>
      </c>
      <c r="C9" s="124">
        <f>SUMIFS(Data!$U:$U,Data!$A:$A,Data_echipe!$A9,Data!$C:$C,Data_echipe!C$1)</f>
        <v>2.4381249999999999</v>
      </c>
      <c r="D9" s="124">
        <f>SUMIFS(Data!$U:$U,Data!$A:$A,Data_echipe!$A9,Data!$C:$C,Data_echipe!D$1)</f>
        <v>2.1262499999999998</v>
      </c>
      <c r="E9" s="124">
        <f>SUMIFS(Data!$U:$U,Data!$A:$A,Data_echipe!$A9,Data!$C:$C,Data_echipe!E$1)</f>
        <v>2.3131249999999999</v>
      </c>
      <c r="F9" s="124">
        <f>SUMIFS(Data!$U:$U,Data!$A:$A,Data_echipe!$A9,Data!$C:$C,Data_echipe!F$1)</f>
        <v>2.8341666666666665</v>
      </c>
      <c r="G9" s="124">
        <f>SUMIFS(Data!$U:$U,Data!$A:$A,Data_echipe!$A9,Data!$C:$C,Data_echipe!G$1)</f>
        <v>2.1881249999999999</v>
      </c>
      <c r="H9" s="124">
        <f>SUMIFS(Data!$U:$U,Data!$A:$A,Data_echipe!$A9,Data!$C:$C,Data_echipe!H$1)</f>
        <v>2.3762499999999998</v>
      </c>
      <c r="I9" s="124">
        <f>SUMIFS(Data!$U:$U,Data!$A:$A,Data_echipe!$A9,Data!$C:$C,Data_echipe!I$1)</f>
        <v>2.8762499999999998</v>
      </c>
      <c r="J9" s="124">
        <f>SUMIFS(Data!$U:$U,Data!$A:$A,Data_echipe!$A9,Data!$C:$C,Data_echipe!J$1)</f>
        <v>2.1881249999999999</v>
      </c>
      <c r="K9" s="124">
        <f>SUMIFS(Data!$U:$U,Data!$A:$A,Data_echipe!$A9,Data!$C:$C,Data_echipe!K$1)</f>
        <v>2.3591249999999997</v>
      </c>
      <c r="L9" s="124">
        <f>SUMIFS(Data!$U:$U,Data!$A:$A,Data_echipe!$A9,Data!$C:$C,Data_echipe!L$1)</f>
        <v>2.832583333333333</v>
      </c>
      <c r="M9" s="124">
        <f>SUMIFS(Data!$U:$U,Data!$A:$A,Data_echipe!$A9,Data!$C:$C,Data_echipe!M$1)</f>
        <v>1.8149999999999999</v>
      </c>
      <c r="N9" s="124">
        <f>SUMIFS(Data!$U:$U,Data!$A:$A,Data_echipe!$A9,Data!$C:$C,Data_echipe!N$1)</f>
        <v>2.8436249999999998</v>
      </c>
      <c r="O9" s="124">
        <f>SUMIFS(Data!$U:$U,Data!$A:$A,Data_echipe!$A9,Data!$C:$C,Data_echipe!O$1)</f>
        <v>2.5631249999999999</v>
      </c>
      <c r="P9" s="124">
        <f>SUMIFS(Data!$U:$U,Data!$A:$A,Data_echipe!$A9,Data!$C:$C,Data_echipe!P$1)</f>
        <v>2.5631249999999999</v>
      </c>
      <c r="R9" s="154" t="str">
        <f t="shared" si="0"/>
        <v>Trail</v>
      </c>
      <c r="S9" s="71"/>
    </row>
    <row r="10" spans="1:21" s="73" customFormat="1" x14ac:dyDescent="0.3">
      <c r="A10" s="73" t="s">
        <v>141</v>
      </c>
      <c r="B10" s="124">
        <f>SUMIFS(Data!$U:$U,Data!$A:$A,Data_echipe!$A10,Data!$C:$C,Data_echipe!B$1)</f>
        <v>2.7548750000000002</v>
      </c>
      <c r="C10" s="124">
        <f>SUMIFS(Data!$U:$U,Data!$A:$A,Data_echipe!$A10,Data!$C:$C,Data_echipe!C$1)</f>
        <v>4.2009999999999996</v>
      </c>
      <c r="D10" s="124">
        <f>SUMIFS(Data!$U:$U,Data!$A:$A,Data_echipe!$A10,Data!$C:$C,Data_echipe!D$1)</f>
        <v>2.3807916666666666</v>
      </c>
      <c r="E10" s="124">
        <f>SUMIFS(Data!$U:$U,Data!$A:$A,Data_echipe!$A10,Data!$C:$C,Data_echipe!E$1)</f>
        <v>3.7485833333333334</v>
      </c>
      <c r="F10" s="124">
        <f>SUMIFS(Data!$U:$U,Data!$A:$A,Data_echipe!$A10,Data!$C:$C,Data_echipe!F$1)</f>
        <v>4.8193333333333337</v>
      </c>
      <c r="G10" s="124">
        <f>SUMIFS(Data!$U:$U,Data!$A:$A,Data_echipe!$A10,Data!$C:$C,Data_echipe!G$1)</f>
        <v>4.1375000000000002</v>
      </c>
      <c r="H10" s="124">
        <f>SUMIFS(Data!$U:$U,Data!$A:$A,Data_echipe!$A10,Data!$C:$C,Data_echipe!H$1)</f>
        <v>3.9939999999999998</v>
      </c>
      <c r="I10" s="124">
        <f>SUMIFS(Data!$U:$U,Data!$A:$A,Data_echipe!$A10,Data!$C:$C,Data_echipe!I$1)</f>
        <v>3.7573333333333334</v>
      </c>
      <c r="J10" s="124">
        <f>SUMIFS(Data!$U:$U,Data!$A:$A,Data_echipe!$A10,Data!$C:$C,Data_echipe!J$1)</f>
        <v>3.9006249999999998</v>
      </c>
      <c r="K10" s="124">
        <f>SUMIFS(Data!$U:$U,Data!$A:$A,Data_echipe!$A10,Data!$C:$C,Data_echipe!K$1)</f>
        <v>5.1568749999999994</v>
      </c>
      <c r="L10" s="124">
        <f>SUMIFS(Data!$U:$U,Data!$A:$A,Data_echipe!$A10,Data!$C:$C,Data_echipe!L$1)</f>
        <v>3.3125</v>
      </c>
      <c r="M10" s="124">
        <f>SUMIFS(Data!$U:$U,Data!$A:$A,Data_echipe!$A10,Data!$C:$C,Data_echipe!M$1)</f>
        <v>3.5</v>
      </c>
      <c r="N10" s="124">
        <f>SUMIFS(Data!$U:$U,Data!$A:$A,Data_echipe!$A10,Data!$C:$C,Data_echipe!N$1)</f>
        <v>4.453333333333334</v>
      </c>
      <c r="O10" s="124">
        <f>SUMIFS(Data!$U:$U,Data!$A:$A,Data_echipe!$A10,Data!$C:$C,Data_echipe!O$1)</f>
        <v>4.1660000000000004</v>
      </c>
      <c r="P10" s="124">
        <f>SUMIFS(Data!$U:$U,Data!$A:$A,Data_echipe!$A10,Data!$C:$C,Data_echipe!P$1)</f>
        <v>3.875</v>
      </c>
      <c r="R10" s="154" t="str">
        <f t="shared" si="0"/>
        <v>Trail</v>
      </c>
      <c r="S10" s="71"/>
    </row>
    <row r="11" spans="1:21" s="73" customFormat="1" x14ac:dyDescent="0.3">
      <c r="A11" s="73" t="s">
        <v>215</v>
      </c>
      <c r="B11" s="124">
        <f>SUMIFS(Data!$U:$U,Data!$A:$A,Data_echipe!$A11,Data!$C:$C,Data_echipe!B$1)</f>
        <v>2.7472142857142861</v>
      </c>
      <c r="C11" s="124">
        <f>SUMIFS(Data!$U:$U,Data!$A:$A,Data_echipe!$A11,Data!$C:$C,Data_echipe!C$1)</f>
        <v>2.5445952380952379</v>
      </c>
      <c r="D11" s="124">
        <f>SUMIFS(Data!$U:$U,Data!$A:$A,Data_echipe!$A11,Data!$C:$C,Data_echipe!D$1)</f>
        <v>2.9078571428571429</v>
      </c>
      <c r="E11" s="124">
        <f>SUMIFS(Data!$U:$U,Data!$A:$A,Data_echipe!$A11,Data!$C:$C,Data_echipe!E$1)</f>
        <v>2.8356666666666666</v>
      </c>
      <c r="F11" s="124">
        <f>SUMIFS(Data!$U:$U,Data!$A:$A,Data_echipe!$A11,Data!$C:$C,Data_echipe!F$1)</f>
        <v>3.393642857142857</v>
      </c>
      <c r="G11" s="155">
        <f>SUMIFS(Data!$U:$U,Data!$A:$A,Data_echipe!$A11,Data!$C:$C,Data_echipe!G$1)</f>
        <v>0</v>
      </c>
      <c r="H11" s="124">
        <f>SUMIFS(Data!$U:$U,Data!$A:$A,Data_echipe!$A11,Data!$C:$C,Data_echipe!H$1)</f>
        <v>2.6665476190476194</v>
      </c>
      <c r="I11" s="124">
        <f>SUMIFS(Data!$U:$U,Data!$A:$A,Data_echipe!$A11,Data!$C:$C,Data_echipe!I$1)</f>
        <v>4.2486666666666668</v>
      </c>
      <c r="J11" s="124">
        <f>SUMIFS(Data!$U:$U,Data!$A:$A,Data_echipe!$A11,Data!$C:$C,Data_echipe!J$1)</f>
        <v>3.2214285714285715</v>
      </c>
      <c r="K11" s="124">
        <f>SUMIFS(Data!$U:$U,Data!$A:$A,Data_echipe!$A11,Data!$C:$C,Data_echipe!K$1)</f>
        <v>0</v>
      </c>
      <c r="L11" s="124">
        <f>SUMIFS(Data!$U:$U,Data!$A:$A,Data_echipe!$A11,Data!$C:$C,Data_echipe!L$1)</f>
        <v>2.6482142857142859</v>
      </c>
      <c r="M11" s="124">
        <f>SUMIFS(Data!$U:$U,Data!$A:$A,Data_echipe!$A11,Data!$C:$C,Data_echipe!M$1)</f>
        <v>3.4443333333333332</v>
      </c>
      <c r="N11" s="124">
        <f>SUMIFS(Data!$U:$U,Data!$A:$A,Data_echipe!$A11,Data!$C:$C,Data_echipe!N$1)</f>
        <v>4.073666666666667</v>
      </c>
      <c r="O11" s="124">
        <f>SUMIFS(Data!$U:$U,Data!$A:$A,Data_echipe!$A11,Data!$C:$C,Data_echipe!O$1)</f>
        <v>3.7726666666666664</v>
      </c>
      <c r="P11" s="124">
        <f>SUMIFS(Data!$U:$U,Data!$A:$A,Data_echipe!$A11,Data!$C:$C,Data_echipe!P$1)</f>
        <v>2.79152380952381</v>
      </c>
      <c r="R11" s="154" t="str">
        <f t="shared" si="0"/>
        <v>Trail</v>
      </c>
      <c r="S11" s="71"/>
    </row>
    <row r="12" spans="1:21" s="73" customFormat="1" x14ac:dyDescent="0.3">
      <c r="A12" s="73" t="s">
        <v>52</v>
      </c>
      <c r="B12" s="124">
        <f>SUMIFS(Data!$U:$U,Data!$A:$A,Data_echipe!$A12,Data!$C:$C,Data_echipe!B$1)</f>
        <v>4.8716666666666661</v>
      </c>
      <c r="C12" s="124">
        <f>SUMIFS(Data!$U:$U,Data!$A:$A,Data_echipe!$A12,Data!$C:$C,Data_echipe!C$1)</f>
        <v>4.2539523809523807</v>
      </c>
      <c r="D12" s="124">
        <f>SUMIFS(Data!$U:$U,Data!$A:$A,Data_echipe!$A12,Data!$C:$C,Data_echipe!D$1)</f>
        <v>3.7374999999999998</v>
      </c>
      <c r="E12" s="124">
        <f>SUMIFS(Data!$U:$U,Data!$A:$A,Data_echipe!$A12,Data!$C:$C,Data_echipe!E$1)</f>
        <v>3.8262142857142858</v>
      </c>
      <c r="F12" s="124">
        <f>SUMIFS(Data!$U:$U,Data!$A:$A,Data_echipe!$A12,Data!$C:$C,Data_echipe!F$1)</f>
        <v>3.9559523809523811</v>
      </c>
      <c r="G12" s="124">
        <f>SUMIFS(Data!$U:$U,Data!$A:$A,Data_echipe!$A12,Data!$C:$C,Data_echipe!G$1)</f>
        <v>3.7669285714285712</v>
      </c>
      <c r="H12" s="124">
        <f>SUMIFS(Data!$U:$U,Data!$A:$A,Data_echipe!$A12,Data!$C:$C,Data_echipe!H$1)</f>
        <v>5.1290000000000004</v>
      </c>
      <c r="I12" s="155">
        <f>SUMIFS(Data!$U:$U,Data!$A:$A,Data_echipe!$A12,Data!$C:$C,Data_echipe!I$1)</f>
        <v>5.0946666666666669</v>
      </c>
      <c r="J12" s="155">
        <f>SUMIFS(Data!$U:$U,Data!$A:$A,Data_echipe!$A12,Data!$C:$C,Data_echipe!J$1)</f>
        <v>4.7726666666666668</v>
      </c>
      <c r="K12" s="124">
        <f>SUMIFS(Data!$U:$U,Data!$A:$A,Data_echipe!$A12,Data!$C:$C,Data_echipe!K$1)</f>
        <v>3.399404761904762</v>
      </c>
      <c r="L12" s="124">
        <f>SUMIFS(Data!$U:$U,Data!$A:$A,Data_echipe!$A12,Data!$C:$C,Data_echipe!L$1)</f>
        <v>3.5235714285714286</v>
      </c>
      <c r="M12" s="124">
        <f>SUMIFS(Data!$U:$U,Data!$A:$A,Data_echipe!$A12,Data!$C:$C,Data_echipe!M$1)</f>
        <v>1.5</v>
      </c>
      <c r="N12" s="124">
        <f>SUMIFS(Data!$U:$U,Data!$A:$A,Data_echipe!$A12,Data!$C:$C,Data_echipe!N$1)</f>
        <v>0</v>
      </c>
      <c r="O12" s="124">
        <f>SUMIFS(Data!$U:$U,Data!$A:$A,Data_echipe!$A12,Data!$C:$C,Data_echipe!O$1)</f>
        <v>0</v>
      </c>
      <c r="P12" s="124">
        <f>SUMIFS(Data!$U:$U,Data!$A:$A,Data_echipe!$A12,Data!$C:$C,Data_echipe!P$1)</f>
        <v>0</v>
      </c>
      <c r="R12" s="154" t="str">
        <f t="shared" si="0"/>
        <v>Trail</v>
      </c>
      <c r="S12" s="71"/>
    </row>
    <row r="13" spans="1:21" s="73" customFormat="1" x14ac:dyDescent="0.3">
      <c r="A13" s="73" t="s">
        <v>117</v>
      </c>
      <c r="B13" s="124">
        <f>SUMIFS(Data!$U:$U,Data!$A:$A,Data_echipe!$A13,Data!$C:$C,Data_echipe!B$1)</f>
        <v>4.1989999999999998</v>
      </c>
      <c r="C13" s="155">
        <f>SUMIFS(Data!$U:$U,Data!$A:$A,Data_echipe!$A13,Data!$C:$C,Data_echipe!C$1)</f>
        <v>4.4219999999999997</v>
      </c>
      <c r="D13" s="124">
        <f>SUMIFS(Data!$U:$U,Data!$A:$A,Data_echipe!$A13,Data!$C:$C,Data_echipe!D$1)</f>
        <v>3.202142857142857</v>
      </c>
      <c r="E13" s="124">
        <f>SUMIFS(Data!$U:$U,Data!$A:$A,Data_echipe!$A13,Data!$C:$C,Data_echipe!E$1)</f>
        <v>3.5059523809523809</v>
      </c>
      <c r="F13" s="124">
        <f>SUMIFS(Data!$U:$U,Data!$A:$A,Data_echipe!$A13,Data!$C:$C,Data_echipe!F$1)</f>
        <v>3.9136666666666668</v>
      </c>
      <c r="G13" s="155">
        <f>SUMIFS(Data!$U:$U,Data!$A:$A,Data_echipe!$A13,Data!$C:$C,Data_echipe!G$1)</f>
        <v>4.5393333333333334</v>
      </c>
      <c r="H13" s="124">
        <f>SUMIFS(Data!$U:$U,Data!$A:$A,Data_echipe!$A13,Data!$C:$C,Data_echipe!H$1)</f>
        <v>3.2662142857142857</v>
      </c>
      <c r="I13" s="124">
        <f>SUMIFS(Data!$U:$U,Data!$A:$A,Data_echipe!$A13,Data!$C:$C,Data_echipe!I$1)</f>
        <v>3.75</v>
      </c>
      <c r="J13" s="124">
        <f>SUMIFS(Data!$U:$U,Data!$A:$A,Data_echipe!$A13,Data!$C:$C,Data_echipe!J$1)</f>
        <v>3.1072619047619048</v>
      </c>
      <c r="K13" s="124">
        <f>SUMIFS(Data!$U:$U,Data!$A:$A,Data_echipe!$A13,Data!$C:$C,Data_echipe!K$1)</f>
        <v>3.625</v>
      </c>
      <c r="L13" s="124">
        <f>SUMIFS(Data!$U:$U,Data!$A:$A,Data_echipe!$A13,Data!$C:$C,Data_echipe!L$1)</f>
        <v>4.375</v>
      </c>
      <c r="M13" s="124">
        <f>SUMIFS(Data!$U:$U,Data!$A:$A,Data_echipe!$A13,Data!$C:$C,Data_echipe!M$1)</f>
        <v>1.9368809523809523</v>
      </c>
      <c r="N13" s="124">
        <f>SUMIFS(Data!$U:$U,Data!$A:$A,Data_echipe!$A13,Data!$C:$C,Data_echipe!N$1)</f>
        <v>5.13</v>
      </c>
      <c r="O13" s="124">
        <f>SUMIFS(Data!$U:$U,Data!$A:$A,Data_echipe!$A13,Data!$C:$C,Data_echipe!O$1)</f>
        <v>7.8544999999999998</v>
      </c>
      <c r="P13" s="124">
        <f>SUMIFS(Data!$U:$U,Data!$A:$A,Data_echipe!$A13,Data!$C:$C,Data_echipe!P$1)</f>
        <v>2.9285714285714284</v>
      </c>
      <c r="R13" s="154" t="str">
        <f t="shared" si="0"/>
        <v>Trail</v>
      </c>
      <c r="S13" s="71"/>
    </row>
    <row r="14" spans="1:21" s="73" customFormat="1" x14ac:dyDescent="0.3">
      <c r="A14" s="73" t="s">
        <v>179</v>
      </c>
      <c r="B14" s="155">
        <f>SUMIFS(Data!$U:$U,Data!$A:$A,Data_echipe!$A14,Data!$C:$C,Data_echipe!B$1)</f>
        <v>0</v>
      </c>
      <c r="C14" s="124">
        <f>SUMIFS(Data!$U:$U,Data!$A:$A,Data_echipe!$A14,Data!$C:$C,Data_echipe!C$1)</f>
        <v>2.1262499999999998</v>
      </c>
      <c r="D14" s="124">
        <f>SUMIFS(Data!$U:$U,Data!$A:$A,Data_echipe!$A14,Data!$C:$C,Data_echipe!D$1)</f>
        <v>2.7512499999999998</v>
      </c>
      <c r="E14" s="124">
        <f>SUMIFS(Data!$U:$U,Data!$A:$A,Data_echipe!$A14,Data!$C:$C,Data_echipe!E$1)</f>
        <v>2.3108333333333331</v>
      </c>
      <c r="F14" s="124">
        <f>SUMIFS(Data!$U:$U,Data!$A:$A,Data_echipe!$A14,Data!$C:$C,Data_echipe!F$1)</f>
        <v>3.31175</v>
      </c>
      <c r="G14" s="124">
        <f>SUMIFS(Data!$U:$U,Data!$A:$A,Data_echipe!$A14,Data!$C:$C,Data_echipe!G$1)</f>
        <v>1.3440000000000001</v>
      </c>
      <c r="H14" s="124">
        <f>SUMIFS(Data!$U:$U,Data!$A:$A,Data_echipe!$A14,Data!$C:$C,Data_echipe!H$1)</f>
        <v>2</v>
      </c>
      <c r="I14" s="124">
        <f>SUMIFS(Data!$U:$U,Data!$A:$A,Data_echipe!$A14,Data!$C:$C,Data_echipe!I$1)</f>
        <v>2.2506250000000003</v>
      </c>
      <c r="J14" s="124">
        <f>SUMIFS(Data!$U:$U,Data!$A:$A,Data_echipe!$A14,Data!$C:$C,Data_echipe!J$1)</f>
        <v>3.7469999999999999</v>
      </c>
      <c r="K14" s="124">
        <f>SUMIFS(Data!$U:$U,Data!$A:$A,Data_echipe!$A14,Data!$C:$C,Data_echipe!K$1)</f>
        <v>2.691875</v>
      </c>
      <c r="L14" s="124">
        <f>SUMIFS(Data!$U:$U,Data!$A:$A,Data_echipe!$A14,Data!$C:$C,Data_echipe!L$1)</f>
        <v>4.674666666666667</v>
      </c>
      <c r="M14" s="124">
        <f>SUMIFS(Data!$U:$U,Data!$A:$A,Data_echipe!$A14,Data!$C:$C,Data_echipe!M$1)</f>
        <v>2.629375</v>
      </c>
      <c r="N14" s="124">
        <f>SUMIFS(Data!$U:$U,Data!$A:$A,Data_echipe!$A14,Data!$C:$C,Data_echipe!N$1)</f>
        <v>2.3643749999999999</v>
      </c>
      <c r="O14" s="124">
        <f>SUMIFS(Data!$U:$U,Data!$A:$A,Data_echipe!$A14,Data!$C:$C,Data_echipe!O$1)</f>
        <v>2.2531249999999998</v>
      </c>
      <c r="P14" s="124">
        <f>SUMIFS(Data!$U:$U,Data!$A:$A,Data_echipe!$A14,Data!$C:$C,Data_echipe!P$1)</f>
        <v>3.2241666666666666</v>
      </c>
      <c r="R14" s="154" t="str">
        <f t="shared" si="0"/>
        <v>Trail</v>
      </c>
      <c r="S14" s="71"/>
    </row>
    <row r="15" spans="1:21" s="73" customFormat="1" x14ac:dyDescent="0.3">
      <c r="A15" s="73" t="s">
        <v>221</v>
      </c>
      <c r="B15" s="124">
        <f>SUMIFS(Data!$U:$U,Data!$A:$A,Data_echipe!$A15,Data!$C:$C,Data_echipe!B$1)</f>
        <v>0</v>
      </c>
      <c r="C15" s="124">
        <f>SUMIFS(Data!$U:$U,Data!$A:$A,Data_echipe!$A15,Data!$C:$C,Data_echipe!C$1)</f>
        <v>2.6660714285714286</v>
      </c>
      <c r="D15" s="155">
        <f>SUMIFS(Data!$U:$U,Data!$A:$A,Data_echipe!$A15,Data!$C:$C,Data_echipe!D$1)</f>
        <v>0</v>
      </c>
      <c r="E15" s="124">
        <f>SUMIFS(Data!$U:$U,Data!$A:$A,Data_echipe!$A15,Data!$C:$C,Data_echipe!E$1)</f>
        <v>3.4096666666666668</v>
      </c>
      <c r="F15" s="155">
        <f>SUMIFS(Data!$U:$U,Data!$A:$A,Data_echipe!$A15,Data!$C:$C,Data_echipe!F$1)</f>
        <v>0</v>
      </c>
      <c r="G15" s="124">
        <f>SUMIFS(Data!$U:$U,Data!$A:$A,Data_echipe!$A15,Data!$C:$C,Data_echipe!G$1)</f>
        <v>2.3697619047619045</v>
      </c>
      <c r="H15" s="155">
        <f>SUMIFS(Data!$U:$U,Data!$A:$A,Data_echipe!$A15,Data!$C:$C,Data_echipe!H$1)</f>
        <v>0</v>
      </c>
      <c r="I15" s="155">
        <f>SUMIFS(Data!$U:$U,Data!$A:$A,Data_echipe!$A15,Data!$C:$C,Data_echipe!I$1)</f>
        <v>0</v>
      </c>
      <c r="J15" s="155">
        <f>SUMIFS(Data!$U:$U,Data!$A:$A,Data_echipe!$A15,Data!$C:$C,Data_echipe!J$1)</f>
        <v>0</v>
      </c>
      <c r="K15" s="124">
        <f>SUMIFS(Data!$U:$U,Data!$A:$A,Data_echipe!$A15,Data!$C:$C,Data_echipe!K$1)</f>
        <v>0</v>
      </c>
      <c r="L15" s="155">
        <f>SUMIFS(Data!$U:$U,Data!$A:$A,Data_echipe!$A15,Data!$C:$C,Data_echipe!L$1)</f>
        <v>0</v>
      </c>
      <c r="M15" s="124">
        <f>SUMIFS(Data!$U:$U,Data!$A:$A,Data_echipe!$A15,Data!$C:$C,Data_echipe!M$1)</f>
        <v>0</v>
      </c>
      <c r="N15" s="155">
        <f>SUMIFS(Data!$U:$U,Data!$A:$A,Data_echipe!$A15,Data!$C:$C,Data_echipe!N$1)</f>
        <v>5.4889999999999999</v>
      </c>
      <c r="O15" s="124">
        <f>SUMIFS(Data!$U:$U,Data!$A:$A,Data_echipe!$A15,Data!$C:$C,Data_echipe!O$1)</f>
        <v>0</v>
      </c>
      <c r="P15" s="155">
        <f>SUMIFS(Data!$U:$U,Data!$A:$A,Data_echipe!$A15,Data!$C:$C,Data_echipe!P$1)</f>
        <v>0</v>
      </c>
      <c r="R15" s="154" t="str">
        <f t="shared" si="0"/>
        <v>Trail</v>
      </c>
      <c r="S15" s="71"/>
    </row>
    <row r="16" spans="1:21" s="73" customFormat="1" x14ac:dyDescent="0.3">
      <c r="A16" s="73" t="s">
        <v>119</v>
      </c>
      <c r="B16" s="124">
        <f>SUMIFS(Data!$U:$U,Data!$A:$A,Data_echipe!$A16,Data!$C:$C,Data_echipe!B$1)</f>
        <v>2.4424999999999999</v>
      </c>
      <c r="C16" s="124">
        <f>SUMIFS(Data!$U:$U,Data!$A:$A,Data_echipe!$A16,Data!$C:$C,Data_echipe!C$1)</f>
        <v>2.2986666666666666</v>
      </c>
      <c r="D16" s="124">
        <f>SUMIFS(Data!$U:$U,Data!$A:$A,Data_echipe!$A16,Data!$C:$C,Data_echipe!D$1)</f>
        <v>2.8908333333333331</v>
      </c>
      <c r="E16" s="124">
        <f>SUMIFS(Data!$U:$U,Data!$A:$A,Data_echipe!$A16,Data!$C:$C,Data_echipe!E$1)</f>
        <v>2.6262499999999998</v>
      </c>
      <c r="F16" s="124">
        <f>SUMIFS(Data!$U:$U,Data!$A:$A,Data_echipe!$A16,Data!$C:$C,Data_echipe!F$1)</f>
        <v>2.4575</v>
      </c>
      <c r="G16" s="124">
        <f>SUMIFS(Data!$U:$U,Data!$A:$A,Data_echipe!$A16,Data!$C:$C,Data_echipe!G$1)</f>
        <v>2.6881249999999999</v>
      </c>
      <c r="H16" s="124">
        <f>SUMIFS(Data!$U:$U,Data!$A:$A,Data_echipe!$A16,Data!$C:$C,Data_echipe!H$1)</f>
        <v>2.3562500000000002</v>
      </c>
      <c r="I16" s="124">
        <f>SUMIFS(Data!$U:$U,Data!$A:$A,Data_echipe!$A16,Data!$C:$C,Data_echipe!I$1)</f>
        <v>2.2675000000000001</v>
      </c>
      <c r="J16" s="124">
        <f>SUMIFS(Data!$U:$U,Data!$A:$A,Data_echipe!$A16,Data!$C:$C,Data_echipe!J$1)</f>
        <v>2.4381249999999999</v>
      </c>
      <c r="K16" s="124">
        <f>SUMIFS(Data!$U:$U,Data!$A:$A,Data_echipe!$A16,Data!$C:$C,Data_echipe!K$1)</f>
        <v>2.4024999999999999</v>
      </c>
      <c r="L16" s="124">
        <f>SUMIFS(Data!$U:$U,Data!$A:$A,Data_echipe!$A16,Data!$C:$C,Data_echipe!L$1)</f>
        <v>2.6937500000000001</v>
      </c>
      <c r="M16" s="124">
        <f>SUMIFS(Data!$U:$U,Data!$A:$A,Data_echipe!$A16,Data!$C:$C,Data_echipe!M$1)</f>
        <v>1.5</v>
      </c>
      <c r="N16" s="124">
        <f>SUMIFS(Data!$U:$U,Data!$A:$A,Data_echipe!$A16,Data!$C:$C,Data_echipe!N$1)</f>
        <v>2.9056250000000001</v>
      </c>
      <c r="O16" s="124">
        <f>SUMIFS(Data!$U:$U,Data!$A:$A,Data_echipe!$A16,Data!$C:$C,Data_echipe!O$1)</f>
        <v>1.4975000000000001</v>
      </c>
      <c r="P16" s="124">
        <f>SUMIFS(Data!$U:$U,Data!$A:$A,Data_echipe!$A16,Data!$C:$C,Data_echipe!P$1)</f>
        <v>0</v>
      </c>
      <c r="R16" s="154" t="str">
        <f t="shared" si="0"/>
        <v>Trail</v>
      </c>
      <c r="S16" s="71"/>
    </row>
    <row r="17" spans="1:19" s="73" customFormat="1" x14ac:dyDescent="0.3">
      <c r="A17" s="73" t="s">
        <v>50</v>
      </c>
      <c r="B17" s="155">
        <f>SUMIFS(Data!$U:$U,Data!$A:$A,Data_echipe!$A17,Data!$C:$C,Data_echipe!B$1)</f>
        <v>6.0256666666666661</v>
      </c>
      <c r="C17" s="124">
        <f>SUMIFS(Data!$U:$U,Data!$A:$A,Data_echipe!$A17,Data!$C:$C,Data_echipe!C$1)</f>
        <v>3.6545714285714288</v>
      </c>
      <c r="D17" s="155">
        <f>SUMIFS(Data!$U:$U,Data!$A:$A,Data_echipe!$A17,Data!$C:$C,Data_echipe!D$1)</f>
        <v>4.7216666666666667</v>
      </c>
      <c r="E17" s="124">
        <f>SUMIFS(Data!$U:$U,Data!$A:$A,Data_echipe!$A17,Data!$C:$C,Data_echipe!E$1)</f>
        <v>5.9558333333333335</v>
      </c>
      <c r="F17" s="155">
        <f>SUMIFS(Data!$U:$U,Data!$A:$A,Data_echipe!$A17,Data!$C:$C,Data_echipe!F$1)</f>
        <v>5.2173333333333334</v>
      </c>
      <c r="G17" s="124">
        <f>SUMIFS(Data!$U:$U,Data!$A:$A,Data_echipe!$A17,Data!$C:$C,Data_echipe!G$1)</f>
        <v>3.9834999999999998</v>
      </c>
      <c r="H17" s="155">
        <f>SUMIFS(Data!$U:$U,Data!$A:$A,Data_echipe!$A17,Data!$C:$C,Data_echipe!H$1)</f>
        <v>5.8979999999999997</v>
      </c>
      <c r="I17" s="124">
        <f>SUMIFS(Data!$U:$U,Data!$A:$A,Data_echipe!$A17,Data!$C:$C,Data_echipe!I$1)</f>
        <v>3.9982142857142855</v>
      </c>
      <c r="J17" s="124">
        <f>SUMIFS(Data!$U:$U,Data!$A:$A,Data_echipe!$A17,Data!$C:$C,Data_echipe!J$1)</f>
        <v>3.8048809523809521</v>
      </c>
      <c r="K17" s="155">
        <f>SUMIFS(Data!$U:$U,Data!$A:$A,Data_echipe!$A17,Data!$C:$C,Data_echipe!K$1)</f>
        <v>6.4074999999999998</v>
      </c>
      <c r="L17" s="155">
        <f>SUMIFS(Data!$U:$U,Data!$A:$A,Data_echipe!$A17,Data!$C:$C,Data_echipe!L$1)</f>
        <v>5.3426666666666662</v>
      </c>
      <c r="M17" s="124">
        <f>SUMIFS(Data!$U:$U,Data!$A:$A,Data_echipe!$A17,Data!$C:$C,Data_echipe!M$1)</f>
        <v>3.6316428571428574</v>
      </c>
      <c r="N17" s="124">
        <f>SUMIFS(Data!$U:$U,Data!$A:$A,Data_echipe!$A17,Data!$C:$C,Data_echipe!N$1)</f>
        <v>3.8851190476190474</v>
      </c>
      <c r="O17" s="124">
        <f>SUMIFS(Data!$U:$U,Data!$A:$A,Data_echipe!$A17,Data!$C:$C,Data_echipe!O$1)</f>
        <v>3.8934523809523811</v>
      </c>
      <c r="P17" s="124">
        <f>SUMIFS(Data!$U:$U,Data!$A:$A,Data_echipe!$A17,Data!$C:$C,Data_echipe!P$1)</f>
        <v>3.4267857142857143</v>
      </c>
      <c r="R17" s="154" t="str">
        <f t="shared" si="0"/>
        <v>Trail</v>
      </c>
      <c r="S17" s="71"/>
    </row>
    <row r="18" spans="1:19" s="73" customFormat="1" x14ac:dyDescent="0.3">
      <c r="B18" s="124"/>
      <c r="C18" s="124"/>
      <c r="D18" s="124"/>
      <c r="E18" s="124"/>
      <c r="F18" s="124"/>
      <c r="G18" s="124"/>
      <c r="H18" s="124"/>
      <c r="I18" s="124"/>
      <c r="J18" s="124"/>
      <c r="K18" s="124"/>
      <c r="L18" s="124"/>
      <c r="M18" s="124"/>
      <c r="N18" s="124"/>
      <c r="O18" s="124"/>
      <c r="P18" s="124"/>
      <c r="R18" s="71"/>
      <c r="S18" s="71"/>
    </row>
    <row r="19" spans="1:19" s="73" customFormat="1" x14ac:dyDescent="0.3">
      <c r="B19" s="124"/>
      <c r="C19" s="124"/>
      <c r="D19" s="124"/>
      <c r="E19" s="124"/>
      <c r="F19" s="124"/>
      <c r="G19" s="124"/>
      <c r="H19" s="124"/>
      <c r="I19" s="124"/>
      <c r="J19" s="124"/>
      <c r="K19" s="124"/>
      <c r="L19" s="124"/>
      <c r="M19" s="124"/>
      <c r="N19" s="124"/>
      <c r="O19" s="124"/>
      <c r="P19" s="124"/>
      <c r="R19" s="71"/>
      <c r="S19" s="71"/>
    </row>
    <row r="20" spans="1:19" x14ac:dyDescent="0.3">
      <c r="B20" s="124"/>
      <c r="C20" s="124"/>
      <c r="D20" s="124"/>
      <c r="E20" s="124"/>
      <c r="F20" s="124"/>
      <c r="G20" s="124"/>
      <c r="H20" s="124"/>
      <c r="I20" s="124"/>
      <c r="J20" s="124"/>
      <c r="K20" s="124"/>
      <c r="L20" s="124"/>
      <c r="M20" s="124"/>
      <c r="N20" s="124"/>
      <c r="O20" s="124"/>
      <c r="P20" s="124"/>
    </row>
    <row r="21" spans="1:19" s="58" customFormat="1" x14ac:dyDescent="0.3">
      <c r="A21" s="75" t="s">
        <v>265</v>
      </c>
      <c r="B21" s="125">
        <f>AVERAGE(B23:B24,B26:B31)</f>
        <v>2.4559516369047616</v>
      </c>
      <c r="C21" s="125">
        <f>AVERAGE(C22:C24,C27:C31)</f>
        <v>3.2618749999999999</v>
      </c>
      <c r="D21" s="125">
        <f>AVERAGE(D22:D28,D30)</f>
        <v>2.8942038690476193</v>
      </c>
      <c r="E21" s="125">
        <f>AVERAGE(E22:E24,E26:E32,E34:E35)</f>
        <v>2.6601855158730161</v>
      </c>
      <c r="F21" s="125">
        <f>AVERAGE(F22:F24,F26:F34)</f>
        <v>2.6736240079365081</v>
      </c>
      <c r="G21" s="125">
        <f>AVERAGE(G22:G30,G32:G34)</f>
        <v>2.8162837301587302</v>
      </c>
      <c r="H21" s="125">
        <f>AVERAGE(H22:H24,H27:H35)</f>
        <v>2.2870515873015873</v>
      </c>
      <c r="I21" s="125">
        <f>AVERAGE(I22:I24,I27:I35)</f>
        <v>2.4582743055555558</v>
      </c>
      <c r="J21" s="125">
        <f>AVERAGE(J22:J25,J27:J30,J32:J35)</f>
        <v>2.7791721230158726</v>
      </c>
      <c r="K21" s="125">
        <f>AVERAGE(K22:K24,K26:K28,K30:K35)</f>
        <v>2.5117331349206347</v>
      </c>
      <c r="L21" s="125">
        <f>AVERAGE(L23:L24,L26:L35)</f>
        <v>2.7857743055555555</v>
      </c>
      <c r="M21" s="125">
        <f>AVERAGE(M22,M24,M26:M35)</f>
        <v>2.9676835317460317</v>
      </c>
      <c r="N21" s="125">
        <f>AVERAGE(N22:N26,N28:N33,N35)</f>
        <v>3.3542514880952381</v>
      </c>
      <c r="O21" s="125">
        <f>AVERAGE(O22:O24,O27:O35)</f>
        <v>1.8063055555555554</v>
      </c>
      <c r="P21" s="125">
        <f>AVERAGE(P22:P24,P26:P27,P29:P35)</f>
        <v>1.9958874007936507</v>
      </c>
      <c r="Q21" s="59">
        <f>SUM(B21:P21)</f>
        <v>39.708257192460309</v>
      </c>
      <c r="R21" s="153"/>
      <c r="S21" s="60"/>
    </row>
    <row r="22" spans="1:19" x14ac:dyDescent="0.3">
      <c r="A22" s="57" t="s">
        <v>48</v>
      </c>
      <c r="B22" s="155">
        <f>SUMIFS(Data!$U:$U,Data!$A:$A,Data_echipe!$A22,Data!$C:$C,Data_echipe!B$1)</f>
        <v>0</v>
      </c>
      <c r="C22" s="124">
        <f>SUMIFS(Data!$U:$U,Data!$A:$A,Data_echipe!$A22,Data!$C:$C,Data_echipe!C$1)</f>
        <v>2.8119047619047617</v>
      </c>
      <c r="D22" s="124">
        <f>SUMIFS(Data!$U:$U,Data!$A:$A,Data_echipe!$A22,Data!$C:$C,Data_echipe!D$1)</f>
        <v>1.5</v>
      </c>
      <c r="E22" s="124">
        <f>SUMIFS(Data!$U:$U,Data!$A:$A,Data_echipe!$A22,Data!$C:$C,Data_echipe!E$1)</f>
        <v>1.7958333333333334</v>
      </c>
      <c r="F22" s="124">
        <f>SUMIFS(Data!$U:$U,Data!$A:$A,Data_echipe!$A22,Data!$C:$C,Data_echipe!F$1)</f>
        <v>2.9357142857142859</v>
      </c>
      <c r="G22" s="124">
        <f>SUMIFS(Data!$U:$U,Data!$A:$A,Data_echipe!$A22,Data!$C:$C,Data_echipe!G$1)</f>
        <v>2.7440476190476186</v>
      </c>
      <c r="H22" s="124">
        <f>SUMIFS(Data!$U:$U,Data!$A:$A,Data_echipe!$A22,Data!$C:$C,Data_echipe!H$1)</f>
        <v>2.6583333333333332</v>
      </c>
      <c r="I22" s="124">
        <f>SUMIFS(Data!$U:$U,Data!$A:$A,Data_echipe!$A22,Data!$C:$C,Data_echipe!I$1)</f>
        <v>3.0065476190476188</v>
      </c>
      <c r="J22" s="124">
        <f>SUMIFS(Data!$U:$U,Data!$A:$A,Data_echipe!$A22,Data!$C:$C,Data_echipe!J$1)</f>
        <v>3.3041666666666667</v>
      </c>
      <c r="K22" s="124">
        <f>SUMIFS(Data!$U:$U,Data!$A:$A,Data_echipe!$A22,Data!$C:$C,Data_echipe!K$1)</f>
        <v>2.1864523809523808</v>
      </c>
      <c r="L22" s="155">
        <f>SUMIFS(Data!$U:$U,Data!$A:$A,Data_echipe!$A22,Data!$C:$C,Data_echipe!L$1)</f>
        <v>0</v>
      </c>
      <c r="M22" s="124">
        <f>SUMIFS(Data!$U:$U,Data!$A:$A,Data_echipe!$A22,Data!$C:$C,Data_echipe!M$1)</f>
        <v>3.2530238095238095</v>
      </c>
      <c r="N22" s="124">
        <f>SUMIFS(Data!$U:$U,Data!$A:$A,Data_echipe!$A22,Data!$C:$C,Data_echipe!N$1)</f>
        <v>2.2108095238095236</v>
      </c>
      <c r="O22" s="124">
        <f>SUMIFS(Data!$U:$U,Data!$A:$A,Data_echipe!$A22,Data!$C:$C,Data_echipe!O$1)</f>
        <v>2.3511904761904763</v>
      </c>
      <c r="P22" s="124">
        <f>SUMIFS(Data!$U:$U,Data!$A:$A,Data_echipe!$A22,Data!$C:$C,Data_echipe!P$1)</f>
        <v>3.0607619047619048</v>
      </c>
      <c r="R22" s="154" t="str">
        <f t="shared" ref="R22:R35" si="1">$A$21</f>
        <v>Road</v>
      </c>
    </row>
    <row r="23" spans="1:19" x14ac:dyDescent="0.3">
      <c r="A23" s="57" t="s">
        <v>65</v>
      </c>
      <c r="B23" s="124">
        <f>SUMIFS(Data!$U:$U,Data!$A:$A,Data_echipe!$A23,Data!$C:$C,Data_echipe!B$1)</f>
        <v>1.839375</v>
      </c>
      <c r="C23" s="124">
        <f>SUMIFS(Data!$U:$U,Data!$A:$A,Data_echipe!$A23,Data!$C:$C,Data_echipe!C$1)</f>
        <v>2.9675000000000002</v>
      </c>
      <c r="D23" s="124">
        <f>SUMIFS(Data!$U:$U,Data!$A:$A,Data_echipe!$A23,Data!$C:$C,Data_echipe!D$1)</f>
        <v>2.5912500000000001</v>
      </c>
      <c r="E23" s="124">
        <f>SUMIFS(Data!$U:$U,Data!$A:$A,Data_echipe!$A23,Data!$C:$C,Data_echipe!E$1)</f>
        <v>2.3337500000000002</v>
      </c>
      <c r="F23" s="124">
        <f>SUMIFS(Data!$U:$U,Data!$A:$A,Data_echipe!$A23,Data!$C:$C,Data_echipe!F$1)</f>
        <v>2.7112499999999997</v>
      </c>
      <c r="G23" s="124">
        <f>SUMIFS(Data!$U:$U,Data!$A:$A,Data_echipe!$A23,Data!$C:$C,Data_echipe!G$1)</f>
        <v>2.34</v>
      </c>
      <c r="H23" s="124">
        <f>SUMIFS(Data!$U:$U,Data!$A:$A,Data_echipe!$A23,Data!$C:$C,Data_echipe!H$1)</f>
        <v>2.0843749999999996</v>
      </c>
      <c r="I23" s="124">
        <f>SUMIFS(Data!$U:$U,Data!$A:$A,Data_echipe!$A23,Data!$C:$C,Data_echipe!I$1)</f>
        <v>2.7</v>
      </c>
      <c r="J23" s="124">
        <f>SUMIFS(Data!$U:$U,Data!$A:$A,Data_echipe!$A23,Data!$C:$C,Data_echipe!J$1)</f>
        <v>2.2662500000000003</v>
      </c>
      <c r="K23" s="124">
        <f>SUMIFS(Data!$U:$U,Data!$A:$A,Data_echipe!$A23,Data!$C:$C,Data_echipe!K$1)</f>
        <v>1.9675</v>
      </c>
      <c r="L23" s="124">
        <f>SUMIFS(Data!$U:$U,Data!$A:$A,Data_echipe!$A23,Data!$C:$C,Data_echipe!L$1)</f>
        <v>2.4500000000000002</v>
      </c>
      <c r="M23" s="155">
        <f>SUMIFS(Data!$U:$U,Data!$A:$A,Data_echipe!$A23,Data!$C:$C,Data_echipe!M$1)</f>
        <v>0</v>
      </c>
      <c r="N23" s="124">
        <f>SUMIFS(Data!$U:$U,Data!$A:$A,Data_echipe!$A23,Data!$C:$C,Data_echipe!N$1)</f>
        <v>1.7743749999999998</v>
      </c>
      <c r="O23" s="124">
        <f>SUMIFS(Data!$U:$U,Data!$A:$A,Data_echipe!$A23,Data!$C:$C,Data_echipe!O$1)</f>
        <v>0</v>
      </c>
      <c r="P23" s="124">
        <f>SUMIFS(Data!$U:$U,Data!$A:$A,Data_echipe!$A23,Data!$C:$C,Data_echipe!P$1)</f>
        <v>0</v>
      </c>
      <c r="R23" s="154" t="str">
        <f t="shared" si="1"/>
        <v>Road</v>
      </c>
    </row>
    <row r="24" spans="1:19" x14ac:dyDescent="0.3">
      <c r="A24" s="57" t="s">
        <v>143</v>
      </c>
      <c r="B24" s="124">
        <f>SUMIFS(Data!$U:$U,Data!$A:$A,Data_echipe!$A24,Data!$C:$C,Data_echipe!B$1)</f>
        <v>1.7214285714285715</v>
      </c>
      <c r="C24" s="124">
        <f>SUMIFS(Data!$U:$U,Data!$A:$A,Data_echipe!$A24,Data!$C:$C,Data_echipe!C$1)</f>
        <v>2.5773809523809526</v>
      </c>
      <c r="D24" s="124">
        <f>SUMIFS(Data!$U:$U,Data!$A:$A,Data_echipe!$A24,Data!$C:$C,Data_echipe!D$1)</f>
        <v>3.311666666666667</v>
      </c>
      <c r="E24" s="124">
        <f>SUMIFS(Data!$U:$U,Data!$A:$A,Data_echipe!$A24,Data!$C:$C,Data_echipe!E$1)</f>
        <v>4.3753333333333337</v>
      </c>
      <c r="F24" s="124">
        <f>SUMIFS(Data!$U:$U,Data!$A:$A,Data_echipe!$A24,Data!$C:$C,Data_echipe!F$1)</f>
        <v>1.6583333333333332</v>
      </c>
      <c r="G24" s="124">
        <f>SUMIFS(Data!$U:$U,Data!$A:$A,Data_echipe!$A24,Data!$C:$C,Data_echipe!G$1)</f>
        <v>2.0926666666666667</v>
      </c>
      <c r="H24" s="124">
        <f>SUMIFS(Data!$U:$U,Data!$A:$A,Data_echipe!$A24,Data!$C:$C,Data_echipe!H$1)</f>
        <v>2.0577380952380953</v>
      </c>
      <c r="I24" s="124">
        <f>SUMIFS(Data!$U:$U,Data!$A:$A,Data_echipe!$A24,Data!$C:$C,Data_echipe!I$1)</f>
        <v>1.655357142857143</v>
      </c>
      <c r="J24" s="124">
        <f>SUMIFS(Data!$U:$U,Data!$A:$A,Data_echipe!$A24,Data!$C:$C,Data_echipe!J$1)</f>
        <v>2.3017857142857143</v>
      </c>
      <c r="K24" s="124">
        <f>SUMIFS(Data!$U:$U,Data!$A:$A,Data_echipe!$A24,Data!$C:$C,Data_echipe!K$1)</f>
        <v>3.662666666666667</v>
      </c>
      <c r="L24" s="124">
        <f>SUMIFS(Data!$U:$U,Data!$A:$A,Data_echipe!$A24,Data!$C:$C,Data_echipe!L$1)</f>
        <v>2.6212619047619046</v>
      </c>
      <c r="M24" s="124">
        <f>SUMIFS(Data!$U:$U,Data!$A:$A,Data_echipe!$A24,Data!$C:$C,Data_echipe!M$1)</f>
        <v>1.9726190476190475</v>
      </c>
      <c r="N24" s="124">
        <f>SUMIFS(Data!$U:$U,Data!$A:$A,Data_echipe!$A24,Data!$C:$C,Data_echipe!N$1)</f>
        <v>2.9376666666666669</v>
      </c>
      <c r="O24" s="124">
        <f>SUMIFS(Data!$U:$U,Data!$A:$A,Data_echipe!$A24,Data!$C:$C,Data_echipe!O$1)</f>
        <v>3.4303333333333335</v>
      </c>
      <c r="P24" s="124">
        <f>SUMIFS(Data!$U:$U,Data!$A:$A,Data_echipe!$A24,Data!$C:$C,Data_echipe!P$1)</f>
        <v>3.5110000000000001</v>
      </c>
      <c r="R24" s="154" t="str">
        <f t="shared" si="1"/>
        <v>Road</v>
      </c>
    </row>
    <row r="25" spans="1:19" x14ac:dyDescent="0.3">
      <c r="A25" s="57" t="s">
        <v>218</v>
      </c>
      <c r="B25" s="155">
        <f>SUMIFS(Data!$U:$U,Data!$A:$A,Data_echipe!$A25,Data!$C:$C,Data_echipe!B$1)</f>
        <v>6.2554999999999996</v>
      </c>
      <c r="C25" s="155">
        <f>SUMIFS(Data!$U:$U,Data!$A:$A,Data_echipe!$A25,Data!$C:$C,Data_echipe!C$1)</f>
        <v>5.692166666666667</v>
      </c>
      <c r="D25" s="124">
        <f>SUMIFS(Data!$U:$U,Data!$A:$A,Data_echipe!$A25,Data!$C:$C,Data_echipe!D$1)</f>
        <v>4.0529999999999999</v>
      </c>
      <c r="E25" s="155">
        <f>SUMIFS(Data!$U:$U,Data!$A:$A,Data_echipe!$A25,Data!$C:$C,Data_echipe!E$1)</f>
        <v>5.3010000000000002</v>
      </c>
      <c r="F25" s="155">
        <f>SUMIFS(Data!$U:$U,Data!$A:$A,Data_echipe!$A25,Data!$C:$C,Data_echipe!F$1)</f>
        <v>7.1562380952380957</v>
      </c>
      <c r="G25" s="124">
        <f>SUMIFS(Data!$U:$U,Data!$A:$A,Data_echipe!$A25,Data!$C:$C,Data_echipe!G$1)</f>
        <v>4.7150000000000007</v>
      </c>
      <c r="H25" s="155">
        <f>SUMIFS(Data!$U:$U,Data!$A:$A,Data_echipe!$A25,Data!$C:$C,Data_echipe!H$1)</f>
        <v>7.9634999999999998</v>
      </c>
      <c r="I25" s="155">
        <f>SUMIFS(Data!$U:$U,Data!$A:$A,Data_echipe!$A25,Data!$C:$C,Data_echipe!I$1)</f>
        <v>5.1996666666666664</v>
      </c>
      <c r="J25" s="124">
        <f>SUMIFS(Data!$U:$U,Data!$A:$A,Data_echipe!$A25,Data!$C:$C,Data_echipe!J$1)</f>
        <v>4.8540000000000001</v>
      </c>
      <c r="K25" s="155">
        <f>SUMIFS(Data!$U:$U,Data!$A:$A,Data_echipe!$A25,Data!$C:$C,Data_echipe!K$1)</f>
        <v>4.8616666666666664</v>
      </c>
      <c r="L25" s="155">
        <f>SUMIFS(Data!$U:$U,Data!$A:$A,Data_echipe!$A25,Data!$C:$C,Data_echipe!L$1)</f>
        <v>8.2333333333333325</v>
      </c>
      <c r="M25" s="155">
        <f>SUMIFS(Data!$U:$U,Data!$A:$A,Data_echipe!$A25,Data!$C:$C,Data_echipe!M$1)</f>
        <v>4.8808571428571428</v>
      </c>
      <c r="N25" s="124">
        <f>SUMIFS(Data!$U:$U,Data!$A:$A,Data_echipe!$A25,Data!$C:$C,Data_echipe!N$1)</f>
        <v>4.8773333333333335</v>
      </c>
      <c r="O25" s="155">
        <f>SUMIFS(Data!$U:$U,Data!$A:$A,Data_echipe!$A25,Data!$C:$C,Data_echipe!O$1)</f>
        <v>8.8996666666666648</v>
      </c>
      <c r="P25" s="155">
        <f>SUMIFS(Data!$U:$U,Data!$A:$A,Data_echipe!$A25,Data!$C:$C,Data_echipe!P$1)</f>
        <v>6.7336666666666662</v>
      </c>
      <c r="R25" s="154" t="str">
        <f t="shared" si="1"/>
        <v>Road</v>
      </c>
    </row>
    <row r="26" spans="1:19" x14ac:dyDescent="0.3">
      <c r="A26" s="57" t="s">
        <v>60</v>
      </c>
      <c r="B26" s="124">
        <f>SUMIFS(Data!$U:$U,Data!$A:$A,Data_echipe!$A26,Data!$C:$C,Data_echipe!B$1)</f>
        <v>2.9910952380952378</v>
      </c>
      <c r="C26" s="155">
        <f>SUMIFS(Data!$U:$U,Data!$A:$A,Data_echipe!$A26,Data!$C:$C,Data_echipe!C$1)</f>
        <v>0.93511904761904763</v>
      </c>
      <c r="D26" s="124">
        <f>SUMIFS(Data!$U:$U,Data!$A:$A,Data_echipe!$A26,Data!$C:$C,Data_echipe!D$1)</f>
        <v>2.4829761904761907</v>
      </c>
      <c r="E26" s="124">
        <f>SUMIFS(Data!$U:$U,Data!$A:$A,Data_echipe!$A26,Data!$C:$C,Data_echipe!E$1)</f>
        <v>2.6494285714285715</v>
      </c>
      <c r="F26" s="124">
        <f>SUMIFS(Data!$U:$U,Data!$A:$A,Data_echipe!$A26,Data!$C:$C,Data_echipe!F$1)</f>
        <v>2.4690476190476192</v>
      </c>
      <c r="G26" s="124">
        <f>SUMIFS(Data!$U:$U,Data!$A:$A,Data_echipe!$A26,Data!$C:$C,Data_echipe!G$1)</f>
        <v>2.4827380952380951</v>
      </c>
      <c r="H26" s="155">
        <f>SUMIFS(Data!$U:$U,Data!$A:$A,Data_echipe!$A26,Data!$C:$C,Data_echipe!H$1)</f>
        <v>0</v>
      </c>
      <c r="I26" s="155">
        <f>SUMIFS(Data!$U:$U,Data!$A:$A,Data_echipe!$A26,Data!$C:$C,Data_echipe!I$1)</f>
        <v>0</v>
      </c>
      <c r="J26" s="155">
        <f>SUMIFS(Data!$U:$U,Data!$A:$A,Data_echipe!$A26,Data!$C:$C,Data_echipe!J$1)</f>
        <v>0</v>
      </c>
      <c r="K26" s="124">
        <f>SUMIFS(Data!$U:$U,Data!$A:$A,Data_echipe!$A26,Data!$C:$C,Data_echipe!K$1)</f>
        <v>2.7130952380952378</v>
      </c>
      <c r="L26" s="124">
        <f>SUMIFS(Data!$U:$U,Data!$A:$A,Data_echipe!$A26,Data!$C:$C,Data_echipe!L$1)</f>
        <v>2.9913809523809523</v>
      </c>
      <c r="M26" s="124">
        <f>SUMIFS(Data!$U:$U,Data!$A:$A,Data_echipe!$A26,Data!$C:$C,Data_echipe!M$1)</f>
        <v>2.4064285714285716</v>
      </c>
      <c r="N26" s="124">
        <f>SUMIFS(Data!$U:$U,Data!$A:$A,Data_echipe!$A26,Data!$C:$C,Data_echipe!N$1)</f>
        <v>3.9919999999999995</v>
      </c>
      <c r="O26" s="155">
        <f>SUMIFS(Data!$U:$U,Data!$A:$A,Data_echipe!$A26,Data!$C:$C,Data_echipe!O$1)</f>
        <v>0</v>
      </c>
      <c r="P26" s="124">
        <f>SUMIFS(Data!$U:$U,Data!$A:$A,Data_echipe!$A26,Data!$C:$C,Data_echipe!P$1)</f>
        <v>2.6779761904761905</v>
      </c>
      <c r="R26" s="154" t="str">
        <f t="shared" si="1"/>
        <v>Road</v>
      </c>
    </row>
    <row r="27" spans="1:19" x14ac:dyDescent="0.3">
      <c r="A27" s="57" t="s">
        <v>256</v>
      </c>
      <c r="B27" s="124">
        <f>SUMIFS(Data!$U:$U,Data!$A:$A,Data_echipe!$A27,Data!$C:$C,Data_echipe!B$1)</f>
        <v>1.5011904761904762</v>
      </c>
      <c r="C27" s="124">
        <f>SUMIFS(Data!$U:$U,Data!$A:$A,Data_echipe!$A27,Data!$C:$C,Data_echipe!C$1)</f>
        <v>2.5</v>
      </c>
      <c r="D27" s="124">
        <f>SUMIFS(Data!$U:$U,Data!$A:$A,Data_echipe!$A27,Data!$C:$C,Data_echipe!D$1)</f>
        <v>4.5</v>
      </c>
      <c r="E27" s="124">
        <f>SUMIFS(Data!$U:$U,Data!$A:$A,Data_echipe!$A27,Data!$C:$C,Data_echipe!E$1)</f>
        <v>4.9333333333333336</v>
      </c>
      <c r="F27" s="124">
        <f>SUMIFS(Data!$U:$U,Data!$A:$A,Data_echipe!$A27,Data!$C:$C,Data_echipe!F$1)</f>
        <v>2.0440476190476189</v>
      </c>
      <c r="G27" s="124">
        <f>SUMIFS(Data!$U:$U,Data!$A:$A,Data_echipe!$A27,Data!$C:$C,Data_echipe!G$1)</f>
        <v>1.825</v>
      </c>
      <c r="H27" s="124">
        <f>SUMIFS(Data!$U:$U,Data!$A:$A,Data_echipe!$A27,Data!$C:$C,Data_echipe!H$1)</f>
        <v>2.5791666666666666</v>
      </c>
      <c r="I27" s="124">
        <f>SUMIFS(Data!$U:$U,Data!$A:$A,Data_echipe!$A27,Data!$C:$C,Data_echipe!I$1)</f>
        <v>1.8869047619047619</v>
      </c>
      <c r="J27" s="124">
        <f>SUMIFS(Data!$U:$U,Data!$A:$A,Data_echipe!$A27,Data!$C:$C,Data_echipe!J$1)</f>
        <v>2.2464285714285714</v>
      </c>
      <c r="K27" s="124">
        <f>SUMIFS(Data!$U:$U,Data!$A:$A,Data_echipe!$A27,Data!$C:$C,Data_echipe!K$1)</f>
        <v>2.3504999999999998</v>
      </c>
      <c r="L27" s="124">
        <f>SUMIFS(Data!$U:$U,Data!$A:$A,Data_echipe!$A27,Data!$C:$C,Data_echipe!L$1)</f>
        <v>1.9404761904761905</v>
      </c>
      <c r="M27" s="124">
        <f>SUMIFS(Data!$U:$U,Data!$A:$A,Data_echipe!$A27,Data!$C:$C,Data_echipe!M$1)</f>
        <v>2.9892857142857143</v>
      </c>
      <c r="N27" s="155">
        <f>SUMIFS(Data!$U:$U,Data!$A:$A,Data_echipe!$A27,Data!$C:$C,Data_echipe!N$1)</f>
        <v>6.4249999999999998</v>
      </c>
      <c r="O27" s="124">
        <f>SUMIFS(Data!$U:$U,Data!$A:$A,Data_echipe!$A27,Data!$C:$C,Data_echipe!O$1)</f>
        <v>0</v>
      </c>
      <c r="P27" s="124">
        <f>SUMIFS(Data!$U:$U,Data!$A:$A,Data_echipe!$A27,Data!$C:$C,Data_echipe!P$1)</f>
        <v>0</v>
      </c>
      <c r="R27" s="154" t="str">
        <f t="shared" si="1"/>
        <v>Road</v>
      </c>
    </row>
    <row r="28" spans="1:19" s="73" customFormat="1" x14ac:dyDescent="0.3">
      <c r="A28" s="73" t="s">
        <v>49</v>
      </c>
      <c r="B28" s="124">
        <f>SUMIFS(Data!$U:$U,Data!$A:$A,Data_echipe!$A28,Data!$C:$C,Data_echipe!B$1)</f>
        <v>2.9464285714285712</v>
      </c>
      <c r="C28" s="124">
        <f>SUMIFS(Data!$U:$U,Data!$A:$A,Data_echipe!$A28,Data!$C:$C,Data_echipe!C$1)</f>
        <v>2.9762142857142857</v>
      </c>
      <c r="D28" s="124">
        <f>SUMIFS(Data!$U:$U,Data!$A:$A,Data_echipe!$A28,Data!$C:$C,Data_echipe!D$1)</f>
        <v>2.8372380952380949</v>
      </c>
      <c r="E28" s="124">
        <f>SUMIFS(Data!$U:$U,Data!$A:$A,Data_echipe!$A28,Data!$C:$C,Data_echipe!E$1)</f>
        <v>2.9430476190476194</v>
      </c>
      <c r="F28" s="124">
        <f>SUMIFS(Data!$U:$U,Data!$A:$A,Data_echipe!$A28,Data!$C:$C,Data_echipe!F$1)</f>
        <v>3.0477619047619045</v>
      </c>
      <c r="G28" s="124">
        <f>SUMIFS(Data!$U:$U,Data!$A:$A,Data_echipe!$A28,Data!$C:$C,Data_echipe!G$1)</f>
        <v>2.4356904761904761</v>
      </c>
      <c r="H28" s="124">
        <f>SUMIFS(Data!$U:$U,Data!$A:$A,Data_echipe!$A28,Data!$C:$C,Data_echipe!H$1)</f>
        <v>3.4926666666666666</v>
      </c>
      <c r="I28" s="124">
        <f>SUMIFS(Data!$U:$U,Data!$A:$A,Data_echipe!$A28,Data!$C:$C,Data_echipe!I$1)</f>
        <v>3.0724047619047621</v>
      </c>
      <c r="J28" s="124">
        <f>SUMIFS(Data!$U:$U,Data!$A:$A,Data_echipe!$A28,Data!$C:$C,Data_echipe!J$1)</f>
        <v>3.3652380952380949</v>
      </c>
      <c r="K28" s="124">
        <f>SUMIFS(Data!$U:$U,Data!$A:$A,Data_echipe!$A28,Data!$C:$C,Data_echipe!K$1)</f>
        <v>2.3625714285714285</v>
      </c>
      <c r="L28" s="124">
        <f>SUMIFS(Data!$U:$U,Data!$A:$A,Data_echipe!$A28,Data!$C:$C,Data_echipe!L$1)</f>
        <v>2.8044523809523807</v>
      </c>
      <c r="M28" s="124">
        <f>SUMIFS(Data!$U:$U,Data!$A:$A,Data_echipe!$A28,Data!$C:$C,Data_echipe!M$1)</f>
        <v>2.8469523809523807</v>
      </c>
      <c r="N28" s="124">
        <f>SUMIFS(Data!$U:$U,Data!$A:$A,Data_echipe!$A28,Data!$C:$C,Data_echipe!N$1)</f>
        <v>2.5083333333333333</v>
      </c>
      <c r="O28" s="124">
        <f>SUMIFS(Data!$U:$U,Data!$A:$A,Data_echipe!$A28,Data!$C:$C,Data_echipe!O$1)</f>
        <v>0</v>
      </c>
      <c r="P28" s="155">
        <f>SUMIFS(Data!$U:$U,Data!$A:$A,Data_echipe!$A28,Data!$C:$C,Data_echipe!P$1)</f>
        <v>0</v>
      </c>
      <c r="R28" s="154" t="str">
        <f t="shared" si="1"/>
        <v>Road</v>
      </c>
      <c r="S28" s="71"/>
    </row>
    <row r="29" spans="1:19" s="73" customFormat="1" x14ac:dyDescent="0.3">
      <c r="A29" s="73" t="s">
        <v>257</v>
      </c>
      <c r="B29" s="124">
        <f>SUMIFS(Data!$U:$U,Data!$A:$A,Data_echipe!$A29,Data!$C:$C,Data_echipe!B$1)</f>
        <v>3.7349999999999999</v>
      </c>
      <c r="C29" s="124">
        <f>SUMIFS(Data!$U:$U,Data!$A:$A,Data_echipe!$A29,Data!$C:$C,Data_echipe!C$1)</f>
        <v>4.7430000000000003</v>
      </c>
      <c r="D29" s="155">
        <f>SUMIFS(Data!$U:$U,Data!$A:$A,Data_echipe!$A29,Data!$C:$C,Data_echipe!D$1)</f>
        <v>0</v>
      </c>
      <c r="E29" s="124">
        <f>SUMIFS(Data!$U:$U,Data!$A:$A,Data_echipe!$A29,Data!$C:$C,Data_echipe!E$1)</f>
        <v>3.3558333333333334</v>
      </c>
      <c r="F29" s="124">
        <f>SUMIFS(Data!$U:$U,Data!$A:$A,Data_echipe!$A29,Data!$C:$C,Data_echipe!F$1)</f>
        <v>0</v>
      </c>
      <c r="G29" s="124">
        <f>SUMIFS(Data!$U:$U,Data!$A:$A,Data_echipe!$A29,Data!$C:$C,Data_echipe!G$1)</f>
        <v>3.241047619047619</v>
      </c>
      <c r="H29" s="124">
        <f>SUMIFS(Data!$U:$U,Data!$A:$A,Data_echipe!$A29,Data!$C:$C,Data_echipe!H$1)</f>
        <v>3.241047619047619</v>
      </c>
      <c r="I29" s="124">
        <f>SUMIFS(Data!$U:$U,Data!$A:$A,Data_echipe!$A29,Data!$C:$C,Data_echipe!I$1)</f>
        <v>2.4263333333333335</v>
      </c>
      <c r="J29" s="124">
        <f>SUMIFS(Data!$U:$U,Data!$A:$A,Data_echipe!$A29,Data!$C:$C,Data_echipe!J$1)</f>
        <v>2.6365476190476187</v>
      </c>
      <c r="K29" s="155">
        <f>SUMIFS(Data!$U:$U,Data!$A:$A,Data_echipe!$A29,Data!$C:$C,Data_echipe!K$1)</f>
        <v>0</v>
      </c>
      <c r="L29" s="124">
        <f>SUMIFS(Data!$U:$U,Data!$A:$A,Data_echipe!$A29,Data!$C:$C,Data_echipe!L$1)</f>
        <v>5.8606666666666669</v>
      </c>
      <c r="M29" s="124">
        <f>SUMIFS(Data!$U:$U,Data!$A:$A,Data_echipe!$A29,Data!$C:$C,Data_echipe!M$1)</f>
        <v>3.1933333333333334</v>
      </c>
      <c r="N29" s="124">
        <f>SUMIFS(Data!$U:$U,Data!$A:$A,Data_echipe!$A29,Data!$C:$C,Data_echipe!N$1)</f>
        <v>2.9523333333333333</v>
      </c>
      <c r="O29" s="124">
        <f>SUMIFS(Data!$U:$U,Data!$A:$A,Data_echipe!$A29,Data!$C:$C,Data_echipe!O$1)</f>
        <v>0</v>
      </c>
      <c r="P29" s="124">
        <f>SUMIFS(Data!$U:$U,Data!$A:$A,Data_echipe!$A29,Data!$C:$C,Data_echipe!P$1)</f>
        <v>3.8793333333333333</v>
      </c>
      <c r="R29" s="154" t="str">
        <f t="shared" si="1"/>
        <v>Road</v>
      </c>
      <c r="S29" s="71"/>
    </row>
    <row r="30" spans="1:19" s="73" customFormat="1" x14ac:dyDescent="0.3">
      <c r="A30" s="73" t="s">
        <v>185</v>
      </c>
      <c r="B30" s="124">
        <f>SUMIFS(Data!$U:$U,Data!$A:$A,Data_echipe!$A30,Data!$C:$C,Data_echipe!B$1)</f>
        <v>1.8125</v>
      </c>
      <c r="C30" s="124">
        <f>SUMIFS(Data!$U:$U,Data!$A:$A,Data_echipe!$A30,Data!$C:$C,Data_echipe!C$1)</f>
        <v>2.4449999999999998</v>
      </c>
      <c r="D30" s="124">
        <f>SUMIFS(Data!$U:$U,Data!$A:$A,Data_echipe!$A30,Data!$C:$C,Data_echipe!D$1)</f>
        <v>1.8774999999999999</v>
      </c>
      <c r="E30" s="124">
        <f>SUMIFS(Data!$U:$U,Data!$A:$A,Data_echipe!$A30,Data!$C:$C,Data_echipe!E$1)</f>
        <v>1.7825</v>
      </c>
      <c r="F30" s="124">
        <f>SUMIFS(Data!$U:$U,Data!$A:$A,Data_echipe!$A30,Data!$C:$C,Data_echipe!F$1)</f>
        <v>3.56</v>
      </c>
      <c r="G30" s="124">
        <f>SUMIFS(Data!$U:$U,Data!$A:$A,Data_echipe!$A30,Data!$C:$C,Data_echipe!G$1)</f>
        <v>3</v>
      </c>
      <c r="H30" s="124">
        <f>SUMIFS(Data!$U:$U,Data!$A:$A,Data_echipe!$A30,Data!$C:$C,Data_echipe!H$1)</f>
        <v>2.4631249999999998</v>
      </c>
      <c r="I30" s="124">
        <f>SUMIFS(Data!$U:$U,Data!$A:$A,Data_echipe!$A30,Data!$C:$C,Data_echipe!I$1)</f>
        <v>2.5625</v>
      </c>
      <c r="J30" s="124">
        <f>SUMIFS(Data!$U:$U,Data!$A:$A,Data_echipe!$A30,Data!$C:$C,Data_echipe!J$1)</f>
        <v>3.25</v>
      </c>
      <c r="K30" s="124">
        <f>SUMIFS(Data!$U:$U,Data!$A:$A,Data_echipe!$A30,Data!$C:$C,Data_echipe!K$1)</f>
        <v>2.5625</v>
      </c>
      <c r="L30" s="124">
        <f>SUMIFS(Data!$U:$U,Data!$A:$A,Data_echipe!$A30,Data!$C:$C,Data_echipe!L$1)</f>
        <v>2.875</v>
      </c>
      <c r="M30" s="124">
        <f>SUMIFS(Data!$U:$U,Data!$A:$A,Data_echipe!$A30,Data!$C:$C,Data_echipe!M$1)</f>
        <v>1.93875</v>
      </c>
      <c r="N30" s="124">
        <f>SUMIFS(Data!$U:$U,Data!$A:$A,Data_echipe!$A30,Data!$C:$C,Data_echipe!N$1)</f>
        <v>3.8125</v>
      </c>
      <c r="O30" s="124">
        <f>SUMIFS(Data!$U:$U,Data!$A:$A,Data_echipe!$A30,Data!$C:$C,Data_echipe!O$1)</f>
        <v>2.4518750000000002</v>
      </c>
      <c r="P30" s="124">
        <f>SUMIFS(Data!$U:$U,Data!$A:$A,Data_echipe!$A30,Data!$C:$C,Data_echipe!P$1)</f>
        <v>2.1256249999999999</v>
      </c>
      <c r="R30" s="154" t="str">
        <f t="shared" si="1"/>
        <v>Road</v>
      </c>
      <c r="S30" s="71"/>
    </row>
    <row r="31" spans="1:19" s="73" customFormat="1" x14ac:dyDescent="0.3">
      <c r="A31" s="73" t="s">
        <v>110</v>
      </c>
      <c r="B31" s="124">
        <f>SUMIFS(Data!$U:$U,Data!$A:$A,Data_echipe!$A31,Data!$C:$C,Data_echipe!B$1)</f>
        <v>3.100595238095238</v>
      </c>
      <c r="C31" s="124">
        <f>SUMIFS(Data!$U:$U,Data!$A:$A,Data_echipe!$A31,Data!$C:$C,Data_echipe!C$1)</f>
        <v>5.0739999999999998</v>
      </c>
      <c r="D31" s="155">
        <f>SUMIFS(Data!$U:$U,Data!$A:$A,Data_echipe!$A31,Data!$C:$C,Data_echipe!D$1)</f>
        <v>5.0613333333333328</v>
      </c>
      <c r="E31" s="124">
        <f>SUMIFS(Data!$U:$U,Data!$A:$A,Data_echipe!$A31,Data!$C:$C,Data_echipe!E$1)</f>
        <v>0</v>
      </c>
      <c r="F31" s="124">
        <f>SUMIFS(Data!$U:$U,Data!$A:$A,Data_echipe!$A31,Data!$C:$C,Data_echipe!F$1)</f>
        <v>5.3736666666666668</v>
      </c>
      <c r="G31" s="155">
        <f>SUMIFS(Data!$U:$U,Data!$A:$A,Data_echipe!$A31,Data!$C:$C,Data_echipe!G$1)</f>
        <v>5.1513333333333327</v>
      </c>
      <c r="H31" s="124">
        <f>SUMIFS(Data!$U:$U,Data!$A:$A,Data_echipe!$A31,Data!$C:$C,Data_echipe!H$1)</f>
        <v>3.3630952380952381</v>
      </c>
      <c r="I31" s="124">
        <f>SUMIFS(Data!$U:$U,Data!$A:$A,Data_echipe!$A31,Data!$C:$C,Data_echipe!I$1)</f>
        <v>5.1931666666666665</v>
      </c>
      <c r="J31" s="155">
        <f>SUMIFS(Data!$U:$U,Data!$A:$A,Data_echipe!$A31,Data!$C:$C,Data_echipe!J$1)</f>
        <v>6.4546666666666672</v>
      </c>
      <c r="K31" s="124">
        <f>SUMIFS(Data!$U:$U,Data!$A:$A,Data_echipe!$A31,Data!$C:$C,Data_echipe!K$1)</f>
        <v>3.3690476190476191</v>
      </c>
      <c r="L31" s="124">
        <f>SUMIFS(Data!$U:$U,Data!$A:$A,Data_echipe!$A31,Data!$C:$C,Data_echipe!L$1)</f>
        <v>4.6663333333333332</v>
      </c>
      <c r="M31" s="124">
        <f>SUMIFS(Data!$U:$U,Data!$A:$A,Data_echipe!$A31,Data!$C:$C,Data_echipe!M$1)</f>
        <v>3.3690476190476191</v>
      </c>
      <c r="N31" s="124">
        <f>SUMIFS(Data!$U:$U,Data!$A:$A,Data_echipe!$A31,Data!$C:$C,Data_echipe!N$1)</f>
        <v>5.7523333333333326</v>
      </c>
      <c r="O31" s="124">
        <f>SUMIFS(Data!$U:$U,Data!$A:$A,Data_echipe!$A31,Data!$C:$C,Data_echipe!O$1)</f>
        <v>8.2051666666666669</v>
      </c>
      <c r="P31" s="124">
        <f>SUMIFS(Data!$U:$U,Data!$A:$A,Data_echipe!$A31,Data!$C:$C,Data_echipe!P$1)</f>
        <v>2.9821428571428572</v>
      </c>
      <c r="R31" s="154" t="str">
        <f t="shared" si="1"/>
        <v>Road</v>
      </c>
      <c r="S31" s="71"/>
    </row>
    <row r="32" spans="1:19" s="73" customFormat="1" x14ac:dyDescent="0.3">
      <c r="A32" s="73" t="s">
        <v>216</v>
      </c>
      <c r="B32" s="156"/>
      <c r="C32" s="156"/>
      <c r="D32" s="156"/>
      <c r="E32" s="124">
        <f>SUMIFS(Data!$U:$U,Data!$A:$A,Data_echipe!$A32,Data!$C:$C,Data_echipe!E$1)</f>
        <v>2.7392857142857143</v>
      </c>
      <c r="F32" s="124">
        <f>SUMIFS(Data!$U:$U,Data!$A:$A,Data_echipe!$A32,Data!$C:$C,Data_echipe!F$1)</f>
        <v>4.3499999999999996</v>
      </c>
      <c r="G32" s="124">
        <f>SUMIFS(Data!$U:$U,Data!$A:$A,Data_echipe!$A32,Data!$C:$C,Data_echipe!G$1)</f>
        <v>3.3339285714285714</v>
      </c>
      <c r="H32" s="124">
        <f>SUMIFS(Data!$U:$U,Data!$A:$A,Data_echipe!$A32,Data!$C:$C,Data_echipe!H$1)</f>
        <v>3.5327380952380953</v>
      </c>
      <c r="I32" s="124">
        <f>SUMIFS(Data!$U:$U,Data!$A:$A,Data_echipe!$A32,Data!$C:$C,Data_echipe!I$1)</f>
        <v>3.2738095238095237</v>
      </c>
      <c r="J32" s="124">
        <f>SUMIFS(Data!$U:$U,Data!$A:$A,Data_echipe!$A32,Data!$C:$C,Data_echipe!J$1)</f>
        <v>2.9255952380952381</v>
      </c>
      <c r="K32" s="124">
        <f>SUMIFS(Data!$U:$U,Data!$A:$A,Data_echipe!$A32,Data!$C:$C,Data_echipe!K$1)</f>
        <v>4.375</v>
      </c>
      <c r="L32" s="124">
        <f>SUMIFS(Data!$U:$U,Data!$A:$A,Data_echipe!$A32,Data!$C:$C,Data_echipe!L$1)</f>
        <v>3.3041666666666667</v>
      </c>
      <c r="M32" s="124">
        <f>SUMIFS(Data!$U:$U,Data!$A:$A,Data_echipe!$A32,Data!$C:$C,Data_echipe!M$1)</f>
        <v>3.9080238095238098</v>
      </c>
      <c r="N32" s="124">
        <f>SUMIFS(Data!$U:$U,Data!$A:$A,Data_echipe!$A32,Data!$C:$C,Data_echipe!N$1)</f>
        <v>1.7749999999999999</v>
      </c>
      <c r="O32" s="124">
        <f>SUMIFS(Data!$U:$U,Data!$A:$A,Data_echipe!$A32,Data!$C:$C,Data_echipe!O$1)</f>
        <v>2.673976190476191</v>
      </c>
      <c r="P32" s="124">
        <f>SUMIFS(Data!$U:$U,Data!$A:$A,Data_echipe!$A32,Data!$C:$C,Data_echipe!P$1)</f>
        <v>3.7113095238095237</v>
      </c>
      <c r="R32" s="154" t="str">
        <f t="shared" si="1"/>
        <v>Road</v>
      </c>
      <c r="S32" s="71"/>
    </row>
    <row r="33" spans="1:19" s="73" customFormat="1" x14ac:dyDescent="0.3">
      <c r="A33" s="73" t="s">
        <v>219</v>
      </c>
      <c r="B33" s="156"/>
      <c r="C33" s="156"/>
      <c r="D33" s="156"/>
      <c r="E33" s="155">
        <f>SUMIFS(Data!$U:$U,Data!$A:$A,Data_echipe!$A33,Data!$C:$C,Data_echipe!E$1)</f>
        <v>0</v>
      </c>
      <c r="F33" s="124">
        <f>SUMIFS(Data!$U:$U,Data!$A:$A,Data_echipe!$A33,Data!$C:$C,Data_echipe!F$1)</f>
        <v>0</v>
      </c>
      <c r="G33" s="124">
        <f>SUMIFS(Data!$U:$U,Data!$A:$A,Data_echipe!$A33,Data!$C:$C,Data_echipe!G$1)</f>
        <v>2.7483809523809528</v>
      </c>
      <c r="H33" s="124">
        <f>SUMIFS(Data!$U:$U,Data!$A:$A,Data_echipe!$A33,Data!$C:$C,Data_echipe!H$1)</f>
        <v>0</v>
      </c>
      <c r="I33" s="124">
        <f>SUMIFS(Data!$U:$U,Data!$A:$A,Data_echipe!$A33,Data!$C:$C,Data_echipe!I$1)</f>
        <v>0</v>
      </c>
      <c r="J33" s="124">
        <f>SUMIFS(Data!$U:$U,Data!$A:$A,Data_echipe!$A33,Data!$C:$C,Data_echipe!J$1)</f>
        <v>4.0255952380952378</v>
      </c>
      <c r="K33" s="124">
        <f>SUMIFS(Data!$U:$U,Data!$A:$A,Data_echipe!$A33,Data!$C:$C,Data_echipe!K$1)</f>
        <v>2.5277142857142856</v>
      </c>
      <c r="L33" s="124">
        <f>SUMIFS(Data!$U:$U,Data!$A:$A,Data_echipe!$A33,Data!$C:$C,Data_echipe!L$1)</f>
        <v>0</v>
      </c>
      <c r="M33" s="124">
        <f>SUMIFS(Data!$U:$U,Data!$A:$A,Data_echipe!$A33,Data!$C:$C,Data_echipe!M$1)</f>
        <v>4.1072380952380954</v>
      </c>
      <c r="N33" s="124">
        <f>SUMIFS(Data!$U:$U,Data!$A:$A,Data_echipe!$A33,Data!$C:$C,Data_echipe!N$1)</f>
        <v>4.4079999999999995</v>
      </c>
      <c r="O33" s="124">
        <f>SUMIFS(Data!$U:$U,Data!$A:$A,Data_echipe!$A33,Data!$C:$C,Data_echipe!O$1)</f>
        <v>0</v>
      </c>
      <c r="P33" s="124">
        <f>SUMIFS(Data!$U:$U,Data!$A:$A,Data_echipe!$A33,Data!$C:$C,Data_echipe!P$1)</f>
        <v>0</v>
      </c>
      <c r="R33" s="154" t="str">
        <f t="shared" si="1"/>
        <v>Road</v>
      </c>
      <c r="S33" s="71"/>
    </row>
    <row r="34" spans="1:19" x14ac:dyDescent="0.3">
      <c r="A34" s="57" t="s">
        <v>66</v>
      </c>
      <c r="B34" s="157"/>
      <c r="C34" s="157"/>
      <c r="D34" s="157"/>
      <c r="E34" s="124">
        <f>SUMIFS(Data!$U:$U,Data!$A:$A,Data_echipe!$A34,Data!$C:$C,Data_echipe!E$1)</f>
        <v>2.1732142857142858</v>
      </c>
      <c r="F34" s="124">
        <f>SUMIFS(Data!$U:$U,Data!$A:$A,Data_echipe!$A34,Data!$C:$C,Data_echipe!F$1)</f>
        <v>3.9336666666666669</v>
      </c>
      <c r="G34" s="124">
        <f>SUMIFS(Data!$U:$U,Data!$A:$A,Data_echipe!$A34,Data!$C:$C,Data_echipe!G$1)</f>
        <v>2.836904761904762</v>
      </c>
      <c r="H34" s="124">
        <f>SUMIFS(Data!$U:$U,Data!$A:$A,Data_echipe!$A34,Data!$C:$C,Data_echipe!H$1)</f>
        <v>0</v>
      </c>
      <c r="I34" s="124">
        <f>SUMIFS(Data!$U:$U,Data!$A:$A,Data_echipe!$A34,Data!$C:$C,Data_echipe!I$1)</f>
        <v>2.2321428571428572</v>
      </c>
      <c r="J34" s="124">
        <f>SUMIFS(Data!$U:$U,Data!$A:$A,Data_echipe!$A34,Data!$C:$C,Data_echipe!J$1)</f>
        <v>0</v>
      </c>
      <c r="K34" s="124">
        <f>SUMIFS(Data!$U:$U,Data!$A:$A,Data_echipe!$A34,Data!$C:$C,Data_echipe!K$1)</f>
        <v>0</v>
      </c>
      <c r="L34" s="124">
        <f>SUMIFS(Data!$U:$U,Data!$A:$A,Data_echipe!$A34,Data!$C:$C,Data_echipe!L$1)</f>
        <v>1.9380952380952381</v>
      </c>
      <c r="M34" s="124">
        <f>SUMIFS(Data!$U:$U,Data!$A:$A,Data_echipe!$A34,Data!$C:$C,Data_echipe!M$1)</f>
        <v>3.625</v>
      </c>
      <c r="N34" s="155">
        <f>SUMIFS(Data!$U:$U,Data!$A:$A,Data_echipe!$A34,Data!$C:$C,Data_echipe!N$1)</f>
        <v>0</v>
      </c>
      <c r="O34" s="124">
        <f>SUMIFS(Data!$U:$U,Data!$A:$A,Data_echipe!$A34,Data!$C:$C,Data_echipe!O$1)</f>
        <v>0</v>
      </c>
      <c r="P34" s="124">
        <f>SUMIFS(Data!$U:$U,Data!$A:$A,Data_echipe!$A34,Data!$C:$C,Data_echipe!P$1)</f>
        <v>0</v>
      </c>
      <c r="R34" s="154" t="str">
        <f t="shared" si="1"/>
        <v>Road</v>
      </c>
    </row>
    <row r="35" spans="1:19" x14ac:dyDescent="0.3">
      <c r="A35" s="57" t="s">
        <v>138</v>
      </c>
      <c r="B35" s="157"/>
      <c r="C35" s="157"/>
      <c r="D35" s="157"/>
      <c r="E35" s="124">
        <f>SUMIFS(Data!$U:$U,Data!$A:$A,Data_echipe!$A35,Data!$C:$C,Data_echipe!E$1)</f>
        <v>2.8406666666666665</v>
      </c>
      <c r="F35" s="155">
        <f>SUMIFS(Data!$U:$U,Data!$A:$A,Data_echipe!$A35,Data!$C:$C,Data_echipe!F$1)</f>
        <v>0</v>
      </c>
      <c r="G35" s="155">
        <f>SUMIFS(Data!$U:$U,Data!$A:$A,Data_echipe!$A35,Data!$C:$C,Data_echipe!G$1)</f>
        <v>1.5619166666666666</v>
      </c>
      <c r="H35" s="124">
        <f>SUMIFS(Data!$U:$U,Data!$A:$A,Data_echipe!$A35,Data!$C:$C,Data_echipe!H$1)</f>
        <v>1.9723333333333333</v>
      </c>
      <c r="I35" s="124">
        <f>SUMIFS(Data!$U:$U,Data!$A:$A,Data_echipe!$A35,Data!$C:$C,Data_echipe!I$1)</f>
        <v>1.4901249999999999</v>
      </c>
      <c r="J35" s="124">
        <f>SUMIFS(Data!$U:$U,Data!$A:$A,Data_echipe!$A35,Data!$C:$C,Data_echipe!J$1)</f>
        <v>2.1744583333333334</v>
      </c>
      <c r="K35" s="124">
        <f>SUMIFS(Data!$U:$U,Data!$A:$A,Data_echipe!$A35,Data!$C:$C,Data_echipe!K$1)</f>
        <v>2.0637499999999998</v>
      </c>
      <c r="L35" s="124">
        <f>SUMIFS(Data!$U:$U,Data!$A:$A,Data_echipe!$A35,Data!$C:$C,Data_echipe!L$1)</f>
        <v>1.9774583333333333</v>
      </c>
      <c r="M35" s="124">
        <f>SUMIFS(Data!$U:$U,Data!$A:$A,Data_echipe!$A35,Data!$C:$C,Data_echipe!M$1)</f>
        <v>2.0024999999999999</v>
      </c>
      <c r="N35" s="124">
        <f>SUMIFS(Data!$U:$U,Data!$A:$A,Data_echipe!$A35,Data!$C:$C,Data_echipe!N$1)</f>
        <v>3.2503333333333333</v>
      </c>
      <c r="O35" s="124">
        <f>SUMIFS(Data!$U:$U,Data!$A:$A,Data_echipe!$A35,Data!$C:$C,Data_echipe!O$1)</f>
        <v>2.5631249999999999</v>
      </c>
      <c r="P35" s="124">
        <f>SUMIFS(Data!$U:$U,Data!$A:$A,Data_echipe!$A35,Data!$C:$C,Data_echipe!P$1)</f>
        <v>2.0024999999999999</v>
      </c>
      <c r="R35" s="154" t="str">
        <f t="shared" si="1"/>
        <v>Road</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L87"/>
  <sheetViews>
    <sheetView topLeftCell="A68" workbookViewId="0">
      <selection activeCell="E72" sqref="E72"/>
    </sheetView>
  </sheetViews>
  <sheetFormatPr defaultColWidth="9.109375" defaultRowHeight="14.4" x14ac:dyDescent="0.3"/>
  <cols>
    <col min="1" max="1" width="49.33203125" style="16" customWidth="1"/>
    <col min="2" max="2" width="34.5546875" style="16" customWidth="1"/>
    <col min="3" max="3" width="9.109375" style="16"/>
    <col min="4" max="4" width="22.33203125" style="16" customWidth="1"/>
    <col min="5" max="5" width="23.109375" style="16" customWidth="1"/>
    <col min="6" max="16384" width="9.109375" style="16"/>
  </cols>
  <sheetData>
    <row r="1" spans="1:12" x14ac:dyDescent="0.3">
      <c r="A1" s="31" t="s">
        <v>67</v>
      </c>
    </row>
    <row r="2" spans="1:12" x14ac:dyDescent="0.3">
      <c r="A2" s="68" t="s">
        <v>136</v>
      </c>
    </row>
    <row r="3" spans="1:12" x14ac:dyDescent="0.3">
      <c r="A3" s="68" t="s">
        <v>175</v>
      </c>
    </row>
    <row r="4" spans="1:12" x14ac:dyDescent="0.3">
      <c r="A4" s="29" t="s">
        <v>229</v>
      </c>
    </row>
    <row r="5" spans="1:12" s="71" customFormat="1" x14ac:dyDescent="0.3">
      <c r="A5" s="92" t="s">
        <v>261</v>
      </c>
    </row>
    <row r="6" spans="1:12" s="71" customFormat="1" x14ac:dyDescent="0.3">
      <c r="A6" s="92" t="s">
        <v>230</v>
      </c>
      <c r="B6" s="93"/>
      <c r="C6" s="93"/>
      <c r="D6" s="93"/>
    </row>
    <row r="7" spans="1:12" x14ac:dyDescent="0.3">
      <c r="A7" s="68" t="s">
        <v>226</v>
      </c>
    </row>
    <row r="8" spans="1:12" ht="15" customHeight="1" x14ac:dyDescent="0.3">
      <c r="A8" s="68" t="s">
        <v>227</v>
      </c>
    </row>
    <row r="9" spans="1:12" s="71" customFormat="1" x14ac:dyDescent="0.3">
      <c r="A9" s="92" t="s">
        <v>228</v>
      </c>
      <c r="B9" s="93"/>
      <c r="C9" s="93"/>
      <c r="D9" s="93"/>
    </row>
    <row r="10" spans="1:12" s="71" customFormat="1" x14ac:dyDescent="0.3">
      <c r="A10" s="92" t="s">
        <v>231</v>
      </c>
      <c r="B10" s="93"/>
      <c r="C10" s="93"/>
      <c r="D10" s="93"/>
    </row>
    <row r="11" spans="1:12" s="71" customFormat="1" x14ac:dyDescent="0.3">
      <c r="A11" s="92" t="s">
        <v>262</v>
      </c>
      <c r="B11" s="93"/>
      <c r="C11" s="93"/>
      <c r="D11" s="93"/>
    </row>
    <row r="12" spans="1:12" x14ac:dyDescent="0.3">
      <c r="A12" s="68" t="s">
        <v>232</v>
      </c>
    </row>
    <row r="13" spans="1:12" x14ac:dyDescent="0.3">
      <c r="A13" s="29" t="s">
        <v>233</v>
      </c>
    </row>
    <row r="14" spans="1:12" x14ac:dyDescent="0.3">
      <c r="A14" s="29" t="s">
        <v>234</v>
      </c>
    </row>
    <row r="15" spans="1:12" x14ac:dyDescent="0.3">
      <c r="A15" s="68" t="s">
        <v>176</v>
      </c>
    </row>
    <row r="16" spans="1:12" x14ac:dyDescent="0.3">
      <c r="A16" s="29" t="s">
        <v>173</v>
      </c>
      <c r="K16" s="56"/>
      <c r="L16" s="56"/>
    </row>
    <row r="17" spans="1:12" ht="14.4" customHeight="1" x14ac:dyDescent="0.3">
      <c r="A17" s="29" t="s">
        <v>174</v>
      </c>
      <c r="J17" s="71"/>
      <c r="K17" s="56"/>
      <c r="L17" s="56"/>
    </row>
    <row r="18" spans="1:12" x14ac:dyDescent="0.3">
      <c r="A18" s="29" t="s">
        <v>243</v>
      </c>
      <c r="B18" s="71"/>
      <c r="C18" s="71"/>
      <c r="D18" s="71"/>
      <c r="E18" s="71"/>
      <c r="F18" s="71"/>
      <c r="G18" s="71"/>
      <c r="H18" s="71"/>
      <c r="I18" s="71"/>
    </row>
    <row r="19" spans="1:12" x14ac:dyDescent="0.3">
      <c r="A19" s="29" t="s">
        <v>193</v>
      </c>
    </row>
    <row r="20" spans="1:12" s="71" customFormat="1" x14ac:dyDescent="0.3">
      <c r="A20" s="92" t="s">
        <v>235</v>
      </c>
      <c r="B20" s="93"/>
      <c r="C20" s="93"/>
      <c r="D20" s="93"/>
    </row>
    <row r="21" spans="1:12" x14ac:dyDescent="0.3">
      <c r="A21" s="68"/>
    </row>
    <row r="22" spans="1:12" x14ac:dyDescent="0.3">
      <c r="A22" s="29" t="s">
        <v>194</v>
      </c>
      <c r="B22" s="71"/>
      <c r="C22" s="71"/>
      <c r="D22" s="71"/>
      <c r="E22" s="71"/>
      <c r="F22" s="71"/>
      <c r="G22" s="71"/>
      <c r="H22" s="71"/>
      <c r="I22" s="71"/>
    </row>
    <row r="23" spans="1:12" x14ac:dyDescent="0.3">
      <c r="A23" s="92" t="s">
        <v>225</v>
      </c>
      <c r="B23" s="93"/>
      <c r="C23" s="93"/>
      <c r="D23" s="93"/>
    </row>
    <row r="24" spans="1:12" s="71" customFormat="1" x14ac:dyDescent="0.3">
      <c r="A24" s="29" t="s">
        <v>177</v>
      </c>
      <c r="F24" s="16"/>
      <c r="G24" s="16"/>
      <c r="H24" s="16"/>
      <c r="I24" s="16"/>
    </row>
    <row r="25" spans="1:12" x14ac:dyDescent="0.3">
      <c r="A25" s="29" t="s">
        <v>198</v>
      </c>
    </row>
    <row r="26" spans="1:12" x14ac:dyDescent="0.3">
      <c r="A26" s="29" t="s">
        <v>137</v>
      </c>
    </row>
    <row r="27" spans="1:12" x14ac:dyDescent="0.3">
      <c r="A27" s="29"/>
    </row>
    <row r="28" spans="1:12" x14ac:dyDescent="0.3">
      <c r="A28" s="29" t="s">
        <v>197</v>
      </c>
      <c r="B28" s="71"/>
      <c r="C28" s="71"/>
      <c r="D28" s="71"/>
      <c r="E28" s="71"/>
      <c r="F28" s="71"/>
      <c r="G28" s="71"/>
      <c r="H28" s="71"/>
      <c r="I28" s="71"/>
      <c r="J28" s="71"/>
    </row>
    <row r="29" spans="1:12" x14ac:dyDescent="0.3">
      <c r="A29" s="68"/>
      <c r="F29" s="183"/>
      <c r="G29" s="183"/>
    </row>
    <row r="30" spans="1:12" x14ac:dyDescent="0.3">
      <c r="A30" s="69"/>
      <c r="F30" s="183"/>
      <c r="G30" s="183"/>
    </row>
    <row r="31" spans="1:12" x14ac:dyDescent="0.3">
      <c r="A31" s="31" t="s">
        <v>83</v>
      </c>
      <c r="F31" s="183"/>
      <c r="G31" s="183"/>
    </row>
    <row r="32" spans="1:12" x14ac:dyDescent="0.3">
      <c r="A32" s="31"/>
      <c r="F32" s="183"/>
      <c r="G32" s="183"/>
    </row>
    <row r="33" spans="1:7" x14ac:dyDescent="0.3">
      <c r="A33" s="30" t="s">
        <v>11</v>
      </c>
      <c r="B33" s="56"/>
      <c r="F33" s="183"/>
      <c r="G33" s="183"/>
    </row>
    <row r="34" spans="1:7" x14ac:dyDescent="0.3">
      <c r="A34" s="87" t="s">
        <v>161</v>
      </c>
      <c r="B34" s="56"/>
      <c r="F34" s="183"/>
      <c r="G34" s="183"/>
    </row>
    <row r="35" spans="1:7" x14ac:dyDescent="0.3">
      <c r="A35" s="29" t="s">
        <v>162</v>
      </c>
      <c r="B35" s="29" t="s">
        <v>163</v>
      </c>
      <c r="F35" s="183"/>
      <c r="G35" s="183"/>
    </row>
    <row r="36" spans="1:7" x14ac:dyDescent="0.3">
      <c r="A36" s="29" t="s">
        <v>164</v>
      </c>
      <c r="B36" s="29" t="s">
        <v>165</v>
      </c>
      <c r="E36" s="86"/>
      <c r="F36" s="183"/>
      <c r="G36" s="183"/>
    </row>
    <row r="37" spans="1:7" x14ac:dyDescent="0.3">
      <c r="A37" s="29" t="s">
        <v>166</v>
      </c>
      <c r="B37" s="29" t="s">
        <v>167</v>
      </c>
      <c r="F37" s="183"/>
      <c r="G37" s="183"/>
    </row>
    <row r="38" spans="1:7" x14ac:dyDescent="0.3">
      <c r="A38" s="29"/>
      <c r="B38" s="56"/>
      <c r="F38" s="183"/>
      <c r="G38" s="183"/>
    </row>
    <row r="39" spans="1:7" x14ac:dyDescent="0.3">
      <c r="A39" s="87" t="s">
        <v>168</v>
      </c>
      <c r="B39" s="56"/>
      <c r="F39" s="183"/>
      <c r="G39" s="183"/>
    </row>
    <row r="40" spans="1:7" x14ac:dyDescent="0.3">
      <c r="A40" s="29" t="s">
        <v>169</v>
      </c>
      <c r="B40" s="29" t="s">
        <v>163</v>
      </c>
    </row>
    <row r="41" spans="1:7" x14ac:dyDescent="0.3">
      <c r="A41" s="29" t="s">
        <v>170</v>
      </c>
      <c r="B41" s="29" t="s">
        <v>171</v>
      </c>
    </row>
    <row r="42" spans="1:7" x14ac:dyDescent="0.3">
      <c r="A42" s="29" t="s">
        <v>172</v>
      </c>
      <c r="B42" s="29" t="s">
        <v>167</v>
      </c>
    </row>
    <row r="43" spans="1:7" x14ac:dyDescent="0.3">
      <c r="A43" s="29"/>
      <c r="B43" s="56"/>
    </row>
    <row r="44" spans="1:7" s="56" customFormat="1" x14ac:dyDescent="0.3">
      <c r="A44" s="29"/>
    </row>
    <row r="45" spans="1:7" x14ac:dyDescent="0.3">
      <c r="A45" s="31" t="s">
        <v>12</v>
      </c>
    </row>
    <row r="46" spans="1:7" x14ac:dyDescent="0.3">
      <c r="A46" s="68" t="s">
        <v>13</v>
      </c>
    </row>
    <row r="47" spans="1:7" x14ac:dyDescent="0.3">
      <c r="A47" s="68" t="s">
        <v>14</v>
      </c>
    </row>
    <row r="48" spans="1:7" x14ac:dyDescent="0.3">
      <c r="A48" s="68" t="s">
        <v>15</v>
      </c>
    </row>
    <row r="49" spans="1:12" x14ac:dyDescent="0.3">
      <c r="A49" s="68" t="s">
        <v>16</v>
      </c>
    </row>
    <row r="50" spans="1:12" x14ac:dyDescent="0.3">
      <c r="A50" s="68" t="s">
        <v>17</v>
      </c>
    </row>
    <row r="51" spans="1:12" x14ac:dyDescent="0.3">
      <c r="A51" s="68" t="s">
        <v>18</v>
      </c>
    </row>
    <row r="52" spans="1:12" x14ac:dyDescent="0.3">
      <c r="A52" s="68" t="s">
        <v>19</v>
      </c>
    </row>
    <row r="53" spans="1:12" x14ac:dyDescent="0.3">
      <c r="A53" s="68" t="s">
        <v>20</v>
      </c>
    </row>
    <row r="54" spans="1:12" x14ac:dyDescent="0.3">
      <c r="A54" s="68" t="s">
        <v>21</v>
      </c>
    </row>
    <row r="55" spans="1:12" x14ac:dyDescent="0.3">
      <c r="A55" s="68" t="s">
        <v>90</v>
      </c>
    </row>
    <row r="56" spans="1:12" x14ac:dyDescent="0.3">
      <c r="A56" s="68"/>
    </row>
    <row r="57" spans="1:12" x14ac:dyDescent="0.3">
      <c r="A57" s="30" t="s">
        <v>242</v>
      </c>
    </row>
    <row r="58" spans="1:12" s="71" customFormat="1" x14ac:dyDescent="0.3">
      <c r="A58" s="29" t="s">
        <v>241</v>
      </c>
      <c r="B58" s="68"/>
      <c r="C58" s="68"/>
    </row>
    <row r="59" spans="1:12" x14ac:dyDescent="0.3">
      <c r="A59" s="68"/>
      <c r="B59" s="68"/>
      <c r="C59" s="68"/>
    </row>
    <row r="60" spans="1:12" x14ac:dyDescent="0.3">
      <c r="A60" s="31" t="s">
        <v>22</v>
      </c>
    </row>
    <row r="61" spans="1:12" x14ac:dyDescent="0.3">
      <c r="A61" s="68" t="s">
        <v>23</v>
      </c>
    </row>
    <row r="62" spans="1:12" x14ac:dyDescent="0.3">
      <c r="A62" s="31" t="s">
        <v>24</v>
      </c>
    </row>
    <row r="63" spans="1:12" x14ac:dyDescent="0.3">
      <c r="A63" s="68" t="s">
        <v>77</v>
      </c>
      <c r="L63" s="71"/>
    </row>
    <row r="64" spans="1:12" x14ac:dyDescent="0.3">
      <c r="A64" s="31" t="s">
        <v>236</v>
      </c>
      <c r="B64" s="56"/>
      <c r="C64" s="56"/>
      <c r="D64" s="56"/>
      <c r="E64" s="56"/>
      <c r="F64" s="56"/>
      <c r="G64" s="56"/>
      <c r="H64" s="56"/>
      <c r="I64" s="56"/>
    </row>
    <row r="65" spans="1:9" s="71" customFormat="1" x14ac:dyDescent="0.3">
      <c r="A65" s="29" t="s">
        <v>237</v>
      </c>
      <c r="B65" s="56"/>
      <c r="C65" s="56"/>
      <c r="D65" s="56"/>
      <c r="E65" s="56"/>
      <c r="F65" s="56"/>
      <c r="G65" s="56"/>
      <c r="H65" s="56"/>
      <c r="I65" s="56"/>
    </row>
    <row r="66" spans="1:9" s="71" customFormat="1" x14ac:dyDescent="0.3">
      <c r="A66" s="68"/>
    </row>
    <row r="67" spans="1:9" x14ac:dyDescent="0.3">
      <c r="A67" s="39" t="s">
        <v>192</v>
      </c>
      <c r="D67" s="181" t="s">
        <v>288</v>
      </c>
      <c r="E67" s="180" t="s">
        <v>289</v>
      </c>
      <c r="G67" s="68"/>
    </row>
    <row r="68" spans="1:9" x14ac:dyDescent="0.3">
      <c r="A68" s="29"/>
      <c r="E68" s="68"/>
      <c r="G68" s="68"/>
    </row>
    <row r="69" spans="1:9" ht="86.4" x14ac:dyDescent="0.3">
      <c r="A69" s="30" t="s">
        <v>287</v>
      </c>
      <c r="B69" s="73" t="s">
        <v>246</v>
      </c>
      <c r="D69" s="184" t="s">
        <v>301</v>
      </c>
      <c r="E69" s="16" t="s">
        <v>295</v>
      </c>
      <c r="G69" s="68"/>
    </row>
    <row r="71" spans="1:9" x14ac:dyDescent="0.3">
      <c r="A71" s="30" t="s">
        <v>244</v>
      </c>
      <c r="B71" s="73" t="s">
        <v>247</v>
      </c>
      <c r="D71" s="16" t="s">
        <v>290</v>
      </c>
      <c r="E71" s="16" t="s">
        <v>308</v>
      </c>
    </row>
    <row r="72" spans="1:9" x14ac:dyDescent="0.3">
      <c r="A72" s="30"/>
      <c r="B72" s="73"/>
    </row>
    <row r="73" spans="1:9" x14ac:dyDescent="0.3">
      <c r="A73" s="30" t="s">
        <v>263</v>
      </c>
      <c r="B73" s="73" t="s">
        <v>247</v>
      </c>
      <c r="D73" s="16" t="s">
        <v>291</v>
      </c>
      <c r="E73" s="16" t="s">
        <v>307</v>
      </c>
    </row>
    <row r="74" spans="1:9" x14ac:dyDescent="0.3">
      <c r="A74" s="30"/>
      <c r="B74" s="73"/>
    </row>
    <row r="75" spans="1:9" x14ac:dyDescent="0.3">
      <c r="A75" s="30" t="s">
        <v>245</v>
      </c>
      <c r="B75" s="73" t="s">
        <v>248</v>
      </c>
      <c r="D75" s="16" t="s">
        <v>305</v>
      </c>
      <c r="E75" s="16" t="s">
        <v>306</v>
      </c>
    </row>
    <row r="76" spans="1:9" x14ac:dyDescent="0.3">
      <c r="A76" s="30"/>
      <c r="B76" s="73"/>
    </row>
    <row r="77" spans="1:9" x14ac:dyDescent="0.3">
      <c r="A77" s="30" t="s">
        <v>249</v>
      </c>
      <c r="B77" s="73" t="s">
        <v>250</v>
      </c>
      <c r="D77" s="16" t="s">
        <v>299</v>
      </c>
      <c r="E77" s="16" t="s">
        <v>298</v>
      </c>
    </row>
    <row r="78" spans="1:9" x14ac:dyDescent="0.3">
      <c r="A78" s="30"/>
      <c r="B78" s="73"/>
    </row>
    <row r="79" spans="1:9" x14ac:dyDescent="0.3">
      <c r="A79" s="30" t="s">
        <v>251</v>
      </c>
      <c r="B79" s="73" t="s">
        <v>252</v>
      </c>
      <c r="D79" s="16" t="s">
        <v>292</v>
      </c>
      <c r="E79" s="16" t="s">
        <v>304</v>
      </c>
    </row>
    <row r="81" spans="1:5" x14ac:dyDescent="0.3">
      <c r="A81" s="30" t="s">
        <v>258</v>
      </c>
      <c r="B81" s="73" t="s">
        <v>247</v>
      </c>
      <c r="D81" s="16" t="s">
        <v>302</v>
      </c>
      <c r="E81" s="16" t="s">
        <v>295</v>
      </c>
    </row>
    <row r="83" spans="1:5" x14ac:dyDescent="0.3">
      <c r="A83" s="30" t="s">
        <v>267</v>
      </c>
      <c r="B83" s="73" t="s">
        <v>268</v>
      </c>
      <c r="D83" s="16" t="s">
        <v>294</v>
      </c>
      <c r="E83" s="16" t="s">
        <v>296</v>
      </c>
    </row>
    <row r="85" spans="1:5" x14ac:dyDescent="0.3">
      <c r="A85" s="30" t="s">
        <v>270</v>
      </c>
      <c r="B85" s="73" t="s">
        <v>247</v>
      </c>
      <c r="D85" s="16" t="s">
        <v>303</v>
      </c>
      <c r="E85" s="16" t="s">
        <v>297</v>
      </c>
    </row>
    <row r="86" spans="1:5" x14ac:dyDescent="0.3">
      <c r="A86" s="30"/>
    </row>
    <row r="87" spans="1:5" x14ac:dyDescent="0.3">
      <c r="A87" s="30" t="s">
        <v>271</v>
      </c>
      <c r="B87" s="73" t="s">
        <v>247</v>
      </c>
      <c r="D87" s="16" t="s">
        <v>293</v>
      </c>
      <c r="E87" s="16" t="s">
        <v>295</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16"/>
  <sheetViews>
    <sheetView workbookViewId="0">
      <selection activeCell="B24" sqref="B24"/>
    </sheetView>
  </sheetViews>
  <sheetFormatPr defaultRowHeight="14.4" x14ac:dyDescent="0.3"/>
  <cols>
    <col min="1" max="1" width="23.77734375" bestFit="1" customWidth="1"/>
    <col min="3" max="3" width="32.5546875" bestFit="1" customWidth="1"/>
  </cols>
  <sheetData>
    <row r="2" spans="1:3" x14ac:dyDescent="0.3">
      <c r="A2" t="s">
        <v>142</v>
      </c>
      <c r="C2" s="96" t="s">
        <v>200</v>
      </c>
    </row>
    <row r="3" spans="1:3" x14ac:dyDescent="0.3">
      <c r="A3" t="s">
        <v>7</v>
      </c>
      <c r="C3" s="96" t="s">
        <v>201</v>
      </c>
    </row>
    <row r="4" spans="1:3" x14ac:dyDescent="0.3">
      <c r="A4" t="s">
        <v>102</v>
      </c>
      <c r="C4" s="96" t="s">
        <v>202</v>
      </c>
    </row>
    <row r="5" spans="1:3" x14ac:dyDescent="0.3">
      <c r="A5" t="s">
        <v>116</v>
      </c>
      <c r="C5" s="55" t="s">
        <v>203</v>
      </c>
    </row>
    <row r="6" spans="1:3" x14ac:dyDescent="0.3">
      <c r="A6" t="s">
        <v>66</v>
      </c>
      <c r="C6" t="s">
        <v>204</v>
      </c>
    </row>
    <row r="7" spans="1:3" x14ac:dyDescent="0.3">
      <c r="A7" t="s">
        <v>110</v>
      </c>
      <c r="C7" t="s">
        <v>205</v>
      </c>
    </row>
    <row r="8" spans="1:3" x14ac:dyDescent="0.3">
      <c r="A8" t="s">
        <v>65</v>
      </c>
      <c r="C8" t="s">
        <v>206</v>
      </c>
    </row>
    <row r="9" spans="1:3" x14ac:dyDescent="0.3">
      <c r="A9" t="s">
        <v>199</v>
      </c>
      <c r="C9" t="s">
        <v>207</v>
      </c>
    </row>
    <row r="10" spans="1:3" x14ac:dyDescent="0.3">
      <c r="A10" t="s">
        <v>179</v>
      </c>
      <c r="C10" t="s">
        <v>208</v>
      </c>
    </row>
    <row r="11" spans="1:3" x14ac:dyDescent="0.3">
      <c r="A11" t="s">
        <v>99</v>
      </c>
      <c r="C11" t="s">
        <v>209</v>
      </c>
    </row>
    <row r="12" spans="1:3" x14ac:dyDescent="0.3">
      <c r="A12" t="s">
        <v>143</v>
      </c>
      <c r="C12" t="s">
        <v>210</v>
      </c>
    </row>
    <row r="13" spans="1:3" x14ac:dyDescent="0.3">
      <c r="A13" t="s">
        <v>185</v>
      </c>
      <c r="C13" t="s">
        <v>211</v>
      </c>
    </row>
    <row r="14" spans="1:3" x14ac:dyDescent="0.3">
      <c r="A14" t="s">
        <v>64</v>
      </c>
      <c r="C14" t="s">
        <v>212</v>
      </c>
    </row>
    <row r="15" spans="1:3" x14ac:dyDescent="0.3">
      <c r="A15" t="s">
        <v>141</v>
      </c>
      <c r="C15" t="s">
        <v>213</v>
      </c>
    </row>
    <row r="16" spans="1:3" x14ac:dyDescent="0.3">
      <c r="A16" s="70" t="s">
        <v>60</v>
      </c>
      <c r="C16" t="s">
        <v>214</v>
      </c>
    </row>
  </sheetData>
  <hyperlinks>
    <hyperlink ref="A16" r:id="rId1" display="https://www.facebook.com/groups/657276174438565/user/100002019378244/?__cft__%5b0%5d=AZVPaFsLmOyBlluDtISNOcyu9_QsWia7UFhB-F1ocerC3s0ggvsgL8eqGkoLPmFdoSrMYvwie7AZI6YbS4pT_4KPQ8fzjV2DpcBFziiTpH2Tt1HEGqebpDGcIizOkhWdhORgGbPsfdwvtnWg8mM3z0tiQysFF_rOrPviF8XMjw_AdP0XesWkkt-a9ExSvMjgy7w&amp;__tn__=-UC%2CP-R"/>
  </hyperlinks>
  <pageMargins left="0.7" right="0.7" top="0.75" bottom="0.75" header="0.3" footer="0.3"/>
  <pageSetup paperSize="9"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AE146"/>
  <sheetViews>
    <sheetView workbookViewId="0">
      <selection activeCell="Q25" sqref="Q25"/>
    </sheetView>
  </sheetViews>
  <sheetFormatPr defaultColWidth="9.109375" defaultRowHeight="12" customHeight="1" x14ac:dyDescent="0.25"/>
  <cols>
    <col min="1" max="4" width="9.109375" style="1"/>
    <col min="5" max="5" width="1.88671875" style="1" customWidth="1"/>
    <col min="6" max="6" width="9.109375" style="1"/>
    <col min="7" max="7" width="9.33203125" style="1" bestFit="1" customWidth="1"/>
    <col min="8" max="9" width="9.109375" style="1"/>
    <col min="10" max="10" width="1.44140625" style="1" customWidth="1"/>
    <col min="11" max="11" width="1.6640625" style="1" customWidth="1"/>
    <col min="12" max="12" width="7.21875" style="1" bestFit="1" customWidth="1"/>
    <col min="13" max="13" width="11" style="1" customWidth="1"/>
    <col min="14" max="14" width="11.88671875" style="1" customWidth="1"/>
    <col min="15" max="16" width="9.109375" style="1"/>
    <col min="17" max="17" width="9.109375" style="74"/>
    <col min="18" max="18" width="6.109375" style="1" customWidth="1"/>
    <col min="19" max="19" width="2.33203125" style="1" customWidth="1"/>
    <col min="20" max="20" width="9.109375" style="1"/>
    <col min="21" max="21" width="9.109375" style="118"/>
    <col min="22" max="22" width="1.6640625" style="1" customWidth="1"/>
    <col min="23" max="23" width="6.44140625" style="1" customWidth="1"/>
    <col min="24" max="24" width="9.109375" style="1"/>
    <col min="25" max="25" width="9.109375" style="118"/>
    <col min="26" max="26" width="9.109375" style="1"/>
    <col min="27" max="27" width="1.88671875" style="1" customWidth="1"/>
    <col min="28" max="30" width="9.109375" style="1"/>
    <col min="31" max="31" width="9.109375" style="118"/>
    <col min="32" max="16384" width="9.109375" style="1"/>
  </cols>
  <sheetData>
    <row r="1" spans="1:31" ht="24" customHeight="1" x14ac:dyDescent="0.25">
      <c r="A1" s="18" t="s">
        <v>69</v>
      </c>
      <c r="B1" s="2" t="s">
        <v>25</v>
      </c>
      <c r="C1" s="3" t="s">
        <v>182</v>
      </c>
      <c r="D1" s="2" t="s">
        <v>27</v>
      </c>
      <c r="E1" s="4"/>
      <c r="F1" s="19" t="s">
        <v>71</v>
      </c>
      <c r="G1" s="6" t="s">
        <v>25</v>
      </c>
      <c r="H1" s="5" t="s">
        <v>28</v>
      </c>
      <c r="I1" s="6" t="s">
        <v>27</v>
      </c>
      <c r="J1" s="4"/>
      <c r="K1" s="4"/>
      <c r="L1" s="15" t="s">
        <v>29</v>
      </c>
      <c r="M1" s="15" t="s">
        <v>93</v>
      </c>
      <c r="N1" s="15" t="s">
        <v>94</v>
      </c>
      <c r="O1" s="33" t="s">
        <v>34</v>
      </c>
      <c r="P1" s="33" t="s">
        <v>36</v>
      </c>
      <c r="Q1" s="33" t="s">
        <v>240</v>
      </c>
      <c r="R1" s="33" t="s">
        <v>107</v>
      </c>
      <c r="T1" s="2" t="s">
        <v>92</v>
      </c>
      <c r="U1" s="117" t="s">
        <v>26</v>
      </c>
      <c r="W1" s="19" t="s">
        <v>91</v>
      </c>
      <c r="X1" s="6" t="s">
        <v>25</v>
      </c>
      <c r="Y1" s="119" t="s">
        <v>28</v>
      </c>
      <c r="Z1" s="6" t="s">
        <v>27</v>
      </c>
    </row>
    <row r="2" spans="1:31" ht="12" customHeight="1" x14ac:dyDescent="0.25">
      <c r="A2" s="7" t="s">
        <v>30</v>
      </c>
      <c r="B2" s="113">
        <v>0</v>
      </c>
      <c r="C2" s="113">
        <v>0</v>
      </c>
      <c r="D2" s="113">
        <v>2.4900000000000002</v>
      </c>
      <c r="E2" s="4"/>
      <c r="F2" s="8" t="s">
        <v>30</v>
      </c>
      <c r="G2" s="9">
        <v>1.1574074074074073E-5</v>
      </c>
      <c r="H2" s="115">
        <v>5</v>
      </c>
      <c r="I2" s="9">
        <v>3.1249999999999997E-3</v>
      </c>
      <c r="J2" s="4"/>
      <c r="K2" s="4"/>
      <c r="L2" s="111">
        <v>1</v>
      </c>
      <c r="M2" s="32">
        <v>44206</v>
      </c>
      <c r="N2" s="32">
        <f>M2+6</f>
        <v>44212</v>
      </c>
      <c r="O2" s="23">
        <v>0.25</v>
      </c>
      <c r="P2" s="23">
        <v>0.5</v>
      </c>
      <c r="Q2" s="23">
        <v>0.25</v>
      </c>
      <c r="R2" s="23" t="s">
        <v>109</v>
      </c>
      <c r="T2" s="121">
        <v>0</v>
      </c>
      <c r="U2" s="113">
        <v>0</v>
      </c>
      <c r="W2" s="8" t="s">
        <v>30</v>
      </c>
      <c r="X2" s="9">
        <v>2.5000000000000001E-3</v>
      </c>
      <c r="Y2" s="115">
        <v>9.8999999999999986</v>
      </c>
      <c r="Z2" s="9">
        <v>2.5462962962963E-3</v>
      </c>
      <c r="AD2" s="69"/>
      <c r="AE2" s="118">
        <v>6.6</v>
      </c>
    </row>
    <row r="3" spans="1:31" ht="12" customHeight="1" x14ac:dyDescent="0.25">
      <c r="A3" s="7" t="s">
        <v>30</v>
      </c>
      <c r="B3" s="113">
        <v>2.5</v>
      </c>
      <c r="C3" s="113" t="s">
        <v>181</v>
      </c>
      <c r="D3" s="113">
        <v>20</v>
      </c>
      <c r="E3" s="4"/>
      <c r="F3" s="8" t="s">
        <v>30</v>
      </c>
      <c r="G3" s="9">
        <v>3.1365740740740742E-3</v>
      </c>
      <c r="H3" s="115">
        <v>4.5</v>
      </c>
      <c r="I3" s="9">
        <v>3.2986111111111111E-3</v>
      </c>
      <c r="J3" s="4"/>
      <c r="K3" s="4"/>
      <c r="L3" s="111">
        <v>2</v>
      </c>
      <c r="M3" s="32">
        <f>M2+7</f>
        <v>44213</v>
      </c>
      <c r="N3" s="32">
        <f>N2+7</f>
        <v>44219</v>
      </c>
      <c r="O3" s="23">
        <v>0.25</v>
      </c>
      <c r="P3" s="23">
        <v>0.25</v>
      </c>
      <c r="Q3" s="23">
        <v>0.5</v>
      </c>
      <c r="R3" s="23" t="s">
        <v>220</v>
      </c>
      <c r="T3" s="121">
        <v>23</v>
      </c>
      <c r="U3" s="113">
        <v>0.1</v>
      </c>
      <c r="W3" s="8" t="s">
        <v>30</v>
      </c>
      <c r="X3" s="9">
        <v>2.5578703703703705E-3</v>
      </c>
      <c r="Y3" s="115">
        <v>8.25</v>
      </c>
      <c r="Z3" s="9">
        <v>2.6041666666666665E-3</v>
      </c>
      <c r="AD3" s="69"/>
      <c r="AE3" s="118">
        <v>5.5</v>
      </c>
    </row>
    <row r="4" spans="1:31" ht="12" customHeight="1" x14ac:dyDescent="0.25">
      <c r="A4" s="77" t="s">
        <v>30</v>
      </c>
      <c r="B4" s="114">
        <v>20</v>
      </c>
      <c r="C4" s="114">
        <v>5</v>
      </c>
      <c r="D4" s="114"/>
      <c r="E4" s="4"/>
      <c r="F4" s="8" t="s">
        <v>30</v>
      </c>
      <c r="G4" s="9">
        <v>3.3101851851851851E-3</v>
      </c>
      <c r="H4" s="115">
        <v>4</v>
      </c>
      <c r="I4" s="9">
        <v>3.472222222222222E-3</v>
      </c>
      <c r="J4" s="4"/>
      <c r="K4" s="4"/>
      <c r="L4" s="111">
        <v>3</v>
      </c>
      <c r="M4" s="32">
        <f t="shared" ref="M4:M16" si="0">M3+7</f>
        <v>44220</v>
      </c>
      <c r="N4" s="32">
        <f t="shared" ref="N4:N16" si="1">N3+7</f>
        <v>44226</v>
      </c>
      <c r="O4" s="23">
        <v>0.5</v>
      </c>
      <c r="P4" s="23">
        <v>0.25</v>
      </c>
      <c r="Q4" s="23">
        <v>0.25</v>
      </c>
      <c r="R4" s="23" t="s">
        <v>108</v>
      </c>
      <c r="T4" s="121">
        <f>T3+2</f>
        <v>25</v>
      </c>
      <c r="U4" s="113">
        <v>0.2</v>
      </c>
      <c r="W4" s="8" t="s">
        <v>30</v>
      </c>
      <c r="X4" s="9">
        <v>2.615740740740741E-3</v>
      </c>
      <c r="Y4" s="115">
        <v>6.75</v>
      </c>
      <c r="Z4" s="9">
        <v>2.6620370370370374E-3</v>
      </c>
      <c r="AD4" s="69"/>
      <c r="AE4" s="118">
        <v>4.5</v>
      </c>
    </row>
    <row r="5" spans="1:31" ht="12" customHeight="1" x14ac:dyDescent="0.25">
      <c r="A5" s="77" t="s">
        <v>31</v>
      </c>
      <c r="B5" s="114">
        <v>0</v>
      </c>
      <c r="C5" s="114">
        <v>0</v>
      </c>
      <c r="D5" s="114">
        <v>2.99</v>
      </c>
      <c r="E5" s="4"/>
      <c r="F5" s="8" t="s">
        <v>30</v>
      </c>
      <c r="G5" s="9">
        <v>3.483796296296296E-3</v>
      </c>
      <c r="H5" s="115">
        <v>3.5</v>
      </c>
      <c r="I5" s="9">
        <v>3.645833333333333E-3</v>
      </c>
      <c r="J5" s="4"/>
      <c r="K5" s="4"/>
      <c r="L5" s="111">
        <v>4</v>
      </c>
      <c r="M5" s="32">
        <f t="shared" si="0"/>
        <v>44227</v>
      </c>
      <c r="N5" s="32">
        <f t="shared" si="1"/>
        <v>44233</v>
      </c>
      <c r="O5" s="23">
        <v>0.25</v>
      </c>
      <c r="P5" s="23">
        <v>0.5</v>
      </c>
      <c r="Q5" s="23">
        <v>0.25</v>
      </c>
      <c r="R5" s="23" t="s">
        <v>109</v>
      </c>
      <c r="T5" s="121">
        <f>T4+2</f>
        <v>27</v>
      </c>
      <c r="U5" s="113">
        <v>0.3</v>
      </c>
      <c r="W5" s="8" t="s">
        <v>30</v>
      </c>
      <c r="X5" s="9">
        <v>2.673611111111111E-3</v>
      </c>
      <c r="Y5" s="115">
        <v>5.4</v>
      </c>
      <c r="Z5" s="9">
        <v>2.7199074074074074E-3</v>
      </c>
      <c r="AD5" s="69"/>
      <c r="AE5" s="118">
        <v>3.6</v>
      </c>
    </row>
    <row r="6" spans="1:31" ht="12" customHeight="1" x14ac:dyDescent="0.25">
      <c r="A6" s="77" t="s">
        <v>31</v>
      </c>
      <c r="B6" s="114">
        <v>3</v>
      </c>
      <c r="C6" s="114" t="s">
        <v>183</v>
      </c>
      <c r="D6" s="114">
        <v>21</v>
      </c>
      <c r="E6" s="4"/>
      <c r="F6" s="8" t="s">
        <v>30</v>
      </c>
      <c r="G6" s="9">
        <v>3.6574074074074074E-3</v>
      </c>
      <c r="H6" s="115">
        <v>3</v>
      </c>
      <c r="I6" s="9">
        <v>3.8194444444444443E-3</v>
      </c>
      <c r="J6" s="4"/>
      <c r="K6" s="4"/>
      <c r="L6" s="111">
        <v>5</v>
      </c>
      <c r="M6" s="32">
        <f t="shared" si="0"/>
        <v>44234</v>
      </c>
      <c r="N6" s="32">
        <f t="shared" si="1"/>
        <v>44240</v>
      </c>
      <c r="O6" s="23">
        <v>0.25</v>
      </c>
      <c r="P6" s="23">
        <v>0.25</v>
      </c>
      <c r="Q6" s="23">
        <v>0.5</v>
      </c>
      <c r="R6" s="23" t="s">
        <v>220</v>
      </c>
      <c r="T6" s="121">
        <f t="shared" ref="T6:T41" si="2">T5+2</f>
        <v>29</v>
      </c>
      <c r="U6" s="113">
        <v>0.4</v>
      </c>
      <c r="W6" s="8" t="s">
        <v>30</v>
      </c>
      <c r="X6" s="9">
        <v>2.7314814814814819E-3</v>
      </c>
      <c r="Y6" s="115">
        <v>4.1999999999999993</v>
      </c>
      <c r="Z6" s="9">
        <v>2.7777777777777779E-3</v>
      </c>
      <c r="AD6" s="69"/>
      <c r="AE6" s="118">
        <v>2.8</v>
      </c>
    </row>
    <row r="7" spans="1:31" ht="12" customHeight="1" x14ac:dyDescent="0.25">
      <c r="A7" s="77" t="s">
        <v>31</v>
      </c>
      <c r="B7" s="114">
        <v>21</v>
      </c>
      <c r="C7" s="114">
        <v>5</v>
      </c>
      <c r="D7" s="114"/>
      <c r="E7" s="4"/>
      <c r="F7" s="8" t="s">
        <v>30</v>
      </c>
      <c r="G7" s="9">
        <v>3.8310185185185183E-3</v>
      </c>
      <c r="H7" s="115">
        <v>2.5</v>
      </c>
      <c r="I7" s="9">
        <v>3.9930555555555561E-3</v>
      </c>
      <c r="J7" s="4"/>
      <c r="K7" s="4"/>
      <c r="L7" s="111">
        <v>6</v>
      </c>
      <c r="M7" s="32">
        <f t="shared" si="0"/>
        <v>44241</v>
      </c>
      <c r="N7" s="32">
        <f t="shared" si="1"/>
        <v>44247</v>
      </c>
      <c r="O7" s="23">
        <v>0.5</v>
      </c>
      <c r="P7" s="23">
        <v>0.25</v>
      </c>
      <c r="Q7" s="23">
        <v>0.25</v>
      </c>
      <c r="R7" s="23" t="s">
        <v>108</v>
      </c>
      <c r="T7" s="121">
        <f t="shared" si="2"/>
        <v>31</v>
      </c>
      <c r="U7" s="113">
        <v>0.5</v>
      </c>
      <c r="W7" s="8" t="s">
        <v>30</v>
      </c>
      <c r="X7" s="9">
        <v>2.7893518518518519E-3</v>
      </c>
      <c r="Y7" s="115">
        <v>3.1500000000000004</v>
      </c>
      <c r="Z7" s="9">
        <v>2.8356481481481479E-3</v>
      </c>
      <c r="AD7" s="69"/>
      <c r="AE7" s="118">
        <v>2.1</v>
      </c>
    </row>
    <row r="8" spans="1:31" s="69" customFormat="1" ht="12" customHeight="1" x14ac:dyDescent="0.25">
      <c r="A8" s="4"/>
      <c r="B8" s="4"/>
      <c r="C8" s="4"/>
      <c r="D8" s="4"/>
      <c r="E8" s="78"/>
      <c r="F8" s="79" t="s">
        <v>30</v>
      </c>
      <c r="G8" s="80">
        <v>4.0046296296296297E-3</v>
      </c>
      <c r="H8" s="116">
        <v>2</v>
      </c>
      <c r="I8" s="80">
        <v>4.1666666666666666E-3</v>
      </c>
      <c r="J8" s="78"/>
      <c r="K8" s="78"/>
      <c r="L8" s="111">
        <v>7</v>
      </c>
      <c r="M8" s="32">
        <f t="shared" si="0"/>
        <v>44248</v>
      </c>
      <c r="N8" s="32">
        <f t="shared" si="1"/>
        <v>44254</v>
      </c>
      <c r="O8" s="23">
        <v>0.25</v>
      </c>
      <c r="P8" s="23">
        <v>0.5</v>
      </c>
      <c r="Q8" s="23">
        <v>0.25</v>
      </c>
      <c r="R8" s="23" t="s">
        <v>109</v>
      </c>
      <c r="T8" s="122">
        <f t="shared" si="2"/>
        <v>33</v>
      </c>
      <c r="U8" s="114">
        <v>0.6</v>
      </c>
      <c r="W8" s="79" t="s">
        <v>30</v>
      </c>
      <c r="X8" s="80">
        <v>2.8472222222222219E-3</v>
      </c>
      <c r="Y8" s="116">
        <v>2.25</v>
      </c>
      <c r="Z8" s="80">
        <v>2.8935185185185188E-3</v>
      </c>
      <c r="AE8" s="120">
        <v>1.5</v>
      </c>
    </row>
    <row r="9" spans="1:31" s="69" customFormat="1" ht="12" customHeight="1" x14ac:dyDescent="0.25">
      <c r="A9" s="4"/>
      <c r="B9" s="4"/>
      <c r="C9" s="4"/>
      <c r="D9" s="4"/>
      <c r="E9" s="78"/>
      <c r="F9" s="79" t="s">
        <v>30</v>
      </c>
      <c r="G9" s="80">
        <v>4.1782407407407402E-3</v>
      </c>
      <c r="H9" s="116">
        <v>1.5</v>
      </c>
      <c r="I9" s="80">
        <v>4.5138888888888893E-3</v>
      </c>
      <c r="J9" s="78"/>
      <c r="K9" s="78"/>
      <c r="L9" s="111">
        <v>8</v>
      </c>
      <c r="M9" s="32">
        <f t="shared" si="0"/>
        <v>44255</v>
      </c>
      <c r="N9" s="32">
        <f t="shared" si="1"/>
        <v>44261</v>
      </c>
      <c r="O9" s="23">
        <v>0.25</v>
      </c>
      <c r="P9" s="23">
        <v>0.25</v>
      </c>
      <c r="Q9" s="23">
        <v>0.5</v>
      </c>
      <c r="R9" s="23" t="s">
        <v>220</v>
      </c>
      <c r="T9" s="122">
        <f t="shared" si="2"/>
        <v>35</v>
      </c>
      <c r="U9" s="114">
        <v>0.7</v>
      </c>
      <c r="W9" s="79" t="s">
        <v>30</v>
      </c>
      <c r="X9" s="80">
        <v>2.9050925925925928E-3</v>
      </c>
      <c r="Y9" s="116">
        <v>1.4999999999999998</v>
      </c>
      <c r="Z9" s="80">
        <v>2.9513888888888888E-3</v>
      </c>
      <c r="AE9" s="120">
        <v>0.99999999999999989</v>
      </c>
    </row>
    <row r="10" spans="1:31" s="69" customFormat="1" ht="12" customHeight="1" x14ac:dyDescent="0.25">
      <c r="A10" s="4"/>
      <c r="B10" s="4"/>
      <c r="C10" s="82"/>
      <c r="D10" s="4"/>
      <c r="E10" s="78"/>
      <c r="F10" s="79" t="s">
        <v>30</v>
      </c>
      <c r="G10" s="80">
        <v>4.5254629629629629E-3</v>
      </c>
      <c r="H10" s="116">
        <v>1</v>
      </c>
      <c r="I10" s="80">
        <v>6.2499999999999995E-3</v>
      </c>
      <c r="J10" s="78"/>
      <c r="K10" s="78"/>
      <c r="L10" s="111">
        <v>9</v>
      </c>
      <c r="M10" s="32">
        <f t="shared" si="0"/>
        <v>44262</v>
      </c>
      <c r="N10" s="32">
        <f t="shared" si="1"/>
        <v>44268</v>
      </c>
      <c r="O10" s="23">
        <v>0.5</v>
      </c>
      <c r="P10" s="23">
        <v>0.25</v>
      </c>
      <c r="Q10" s="23">
        <v>0.25</v>
      </c>
      <c r="R10" s="23" t="s">
        <v>108</v>
      </c>
      <c r="T10" s="122">
        <f t="shared" si="2"/>
        <v>37</v>
      </c>
      <c r="U10" s="114">
        <v>0.8</v>
      </c>
      <c r="W10" s="79" t="s">
        <v>30</v>
      </c>
      <c r="X10" s="80">
        <v>2.9629629629629628E-3</v>
      </c>
      <c r="Y10" s="116">
        <v>0.89999999999999991</v>
      </c>
      <c r="Z10" s="80">
        <v>3.0092592592592588E-3</v>
      </c>
      <c r="AE10" s="120">
        <v>0.6</v>
      </c>
    </row>
    <row r="11" spans="1:31" s="69" customFormat="1" ht="12" customHeight="1" x14ac:dyDescent="0.25">
      <c r="A11" s="4"/>
      <c r="B11" s="81"/>
      <c r="C11" s="81"/>
      <c r="D11" s="83"/>
      <c r="E11" s="78"/>
      <c r="F11" s="79" t="s">
        <v>30</v>
      </c>
      <c r="G11" s="80">
        <v>6.2615740740740748E-3</v>
      </c>
      <c r="H11" s="116">
        <v>0</v>
      </c>
      <c r="I11" s="79"/>
      <c r="J11" s="78"/>
      <c r="K11" s="78"/>
      <c r="L11" s="111">
        <v>10</v>
      </c>
      <c r="M11" s="32">
        <f t="shared" si="0"/>
        <v>44269</v>
      </c>
      <c r="N11" s="32">
        <f t="shared" si="1"/>
        <v>44275</v>
      </c>
      <c r="O11" s="23">
        <v>0.25</v>
      </c>
      <c r="P11" s="23">
        <v>0.5</v>
      </c>
      <c r="Q11" s="23">
        <v>0.25</v>
      </c>
      <c r="R11" s="23" t="s">
        <v>109</v>
      </c>
      <c r="T11" s="122">
        <f t="shared" si="2"/>
        <v>39</v>
      </c>
      <c r="U11" s="114">
        <v>0.9</v>
      </c>
      <c r="W11" s="79" t="s">
        <v>30</v>
      </c>
      <c r="X11" s="80">
        <v>3.0208333333333333E-3</v>
      </c>
      <c r="Y11" s="116">
        <v>0.45000000000000007</v>
      </c>
      <c r="Z11" s="80">
        <v>3.0671296296296297E-3</v>
      </c>
      <c r="AE11" s="120">
        <v>0.30000000000000004</v>
      </c>
    </row>
    <row r="12" spans="1:31" s="69" customFormat="1" ht="12" customHeight="1" x14ac:dyDescent="0.25">
      <c r="A12" s="4"/>
      <c r="B12" s="81"/>
      <c r="C12" s="81"/>
      <c r="D12" s="83"/>
      <c r="E12" s="78"/>
      <c r="F12" s="79" t="s">
        <v>31</v>
      </c>
      <c r="G12" s="80">
        <v>1.1574074074074073E-5</v>
      </c>
      <c r="H12" s="116">
        <v>5</v>
      </c>
      <c r="I12" s="80">
        <v>2.7777777777777779E-3</v>
      </c>
      <c r="J12" s="78"/>
      <c r="K12" s="78"/>
      <c r="L12" s="111">
        <v>11</v>
      </c>
      <c r="M12" s="32">
        <f t="shared" si="0"/>
        <v>44276</v>
      </c>
      <c r="N12" s="32">
        <f t="shared" si="1"/>
        <v>44282</v>
      </c>
      <c r="O12" s="23">
        <v>0.25</v>
      </c>
      <c r="P12" s="23">
        <v>0.25</v>
      </c>
      <c r="Q12" s="23">
        <v>0.5</v>
      </c>
      <c r="R12" s="23" t="s">
        <v>220</v>
      </c>
      <c r="T12" s="122">
        <f t="shared" si="2"/>
        <v>41</v>
      </c>
      <c r="U12" s="114">
        <v>1</v>
      </c>
      <c r="W12" s="79" t="s">
        <v>30</v>
      </c>
      <c r="X12" s="80">
        <v>3.0787037037037037E-3</v>
      </c>
      <c r="Y12" s="116">
        <v>0.15000000000000002</v>
      </c>
      <c r="Z12" s="80">
        <v>3.1134259259259257E-3</v>
      </c>
      <c r="AE12" s="120">
        <v>0.1</v>
      </c>
    </row>
    <row r="13" spans="1:31" s="69" customFormat="1" ht="12" customHeight="1" x14ac:dyDescent="0.25">
      <c r="A13" s="4"/>
      <c r="B13" s="81"/>
      <c r="C13" s="81"/>
      <c r="D13" s="83"/>
      <c r="E13" s="78"/>
      <c r="F13" s="79" t="s">
        <v>31</v>
      </c>
      <c r="G13" s="80">
        <v>2.7893518518518519E-3</v>
      </c>
      <c r="H13" s="116">
        <v>4.5</v>
      </c>
      <c r="I13" s="80">
        <v>2.9513888888888888E-3</v>
      </c>
      <c r="J13" s="78"/>
      <c r="K13" s="78"/>
      <c r="L13" s="111">
        <v>12</v>
      </c>
      <c r="M13" s="32">
        <f t="shared" si="0"/>
        <v>44283</v>
      </c>
      <c r="N13" s="32">
        <f t="shared" si="1"/>
        <v>44289</v>
      </c>
      <c r="O13" s="23">
        <v>0.5</v>
      </c>
      <c r="P13" s="23">
        <v>0.25</v>
      </c>
      <c r="Q13" s="23">
        <v>0.25</v>
      </c>
      <c r="R13" s="23" t="s">
        <v>108</v>
      </c>
      <c r="T13" s="122">
        <f t="shared" si="2"/>
        <v>43</v>
      </c>
      <c r="U13" s="114">
        <v>1.1000000000000001</v>
      </c>
      <c r="W13" s="79" t="s">
        <v>30</v>
      </c>
      <c r="X13" s="80">
        <v>3.1249999999999997E-3</v>
      </c>
      <c r="Y13" s="116">
        <v>0</v>
      </c>
      <c r="Z13" s="80"/>
      <c r="AE13" s="120">
        <v>0</v>
      </c>
    </row>
    <row r="14" spans="1:31" s="69" customFormat="1" ht="12" customHeight="1" x14ac:dyDescent="0.25">
      <c r="A14" s="4"/>
      <c r="B14" s="81"/>
      <c r="C14" s="81"/>
      <c r="D14" s="83"/>
      <c r="E14" s="78"/>
      <c r="F14" s="79" t="s">
        <v>31</v>
      </c>
      <c r="G14" s="80">
        <v>2.9629629629629628E-3</v>
      </c>
      <c r="H14" s="116">
        <v>4</v>
      </c>
      <c r="I14" s="80">
        <v>3.1249999999999997E-3</v>
      </c>
      <c r="J14" s="78"/>
      <c r="K14" s="78"/>
      <c r="L14" s="111">
        <v>13</v>
      </c>
      <c r="M14" s="32">
        <f t="shared" si="0"/>
        <v>44290</v>
      </c>
      <c r="N14" s="32">
        <f t="shared" si="1"/>
        <v>44296</v>
      </c>
      <c r="O14" s="23">
        <v>0.25</v>
      </c>
      <c r="P14" s="23">
        <v>0.5</v>
      </c>
      <c r="Q14" s="23">
        <v>0.25</v>
      </c>
      <c r="R14" s="23" t="s">
        <v>109</v>
      </c>
      <c r="T14" s="122">
        <f t="shared" si="2"/>
        <v>45</v>
      </c>
      <c r="U14" s="114">
        <v>1.2</v>
      </c>
      <c r="W14" s="79" t="s">
        <v>31</v>
      </c>
      <c r="X14" s="80">
        <v>2.1412037037037038E-3</v>
      </c>
      <c r="Y14" s="116">
        <v>9.8999999999999986</v>
      </c>
      <c r="Z14" s="80">
        <v>2.1990740740740742E-3</v>
      </c>
      <c r="AB14" s="74"/>
      <c r="AE14" s="120">
        <v>6.6</v>
      </c>
    </row>
    <row r="15" spans="1:31" s="69" customFormat="1" ht="12" customHeight="1" x14ac:dyDescent="0.25">
      <c r="A15" s="4"/>
      <c r="B15" s="81"/>
      <c r="C15" s="81"/>
      <c r="D15" s="83"/>
      <c r="E15" s="78"/>
      <c r="F15" s="79" t="s">
        <v>31</v>
      </c>
      <c r="G15" s="80">
        <v>3.1365740740740742E-3</v>
      </c>
      <c r="H15" s="116">
        <v>3.5</v>
      </c>
      <c r="I15" s="80">
        <v>3.2986111111111111E-3</v>
      </c>
      <c r="J15" s="78"/>
      <c r="K15" s="78"/>
      <c r="L15" s="111">
        <v>14</v>
      </c>
      <c r="M15" s="32">
        <f t="shared" si="0"/>
        <v>44297</v>
      </c>
      <c r="N15" s="32">
        <f t="shared" si="1"/>
        <v>44303</v>
      </c>
      <c r="O15" s="23">
        <v>0.25</v>
      </c>
      <c r="P15" s="23">
        <v>0.25</v>
      </c>
      <c r="Q15" s="23">
        <v>0.5</v>
      </c>
      <c r="R15" s="23" t="s">
        <v>220</v>
      </c>
      <c r="T15" s="122">
        <f t="shared" si="2"/>
        <v>47</v>
      </c>
      <c r="U15" s="114">
        <v>1.3</v>
      </c>
      <c r="W15" s="79" t="s">
        <v>31</v>
      </c>
      <c r="X15" s="80">
        <v>2.2106481481481478E-3</v>
      </c>
      <c r="Y15" s="116">
        <v>8.25</v>
      </c>
      <c r="Z15" s="80">
        <v>2.2569444444444447E-3</v>
      </c>
      <c r="AB15" s="74"/>
      <c r="AE15" s="120">
        <v>5.5</v>
      </c>
    </row>
    <row r="16" spans="1:31" ht="12" customHeight="1" x14ac:dyDescent="0.25">
      <c r="B16" s="81"/>
      <c r="C16" s="81"/>
      <c r="D16" s="83"/>
      <c r="E16" s="4"/>
      <c r="F16" s="8" t="s">
        <v>31</v>
      </c>
      <c r="G16" s="9">
        <v>3.3101851851851851E-3</v>
      </c>
      <c r="H16" s="115">
        <v>3</v>
      </c>
      <c r="I16" s="9">
        <v>3.472222222222222E-3</v>
      </c>
      <c r="J16" s="4"/>
      <c r="K16" s="4"/>
      <c r="L16" s="112">
        <v>15</v>
      </c>
      <c r="M16" s="94">
        <f t="shared" si="0"/>
        <v>44304</v>
      </c>
      <c r="N16" s="94">
        <f t="shared" si="1"/>
        <v>44310</v>
      </c>
      <c r="O16" s="95">
        <v>0.5</v>
      </c>
      <c r="P16" s="95">
        <v>0.25</v>
      </c>
      <c r="Q16" s="95">
        <v>0.25</v>
      </c>
      <c r="R16" s="95" t="s">
        <v>108</v>
      </c>
      <c r="T16" s="121">
        <f t="shared" si="2"/>
        <v>49</v>
      </c>
      <c r="U16" s="113">
        <v>1.4</v>
      </c>
      <c r="W16" s="8" t="s">
        <v>31</v>
      </c>
      <c r="X16" s="9">
        <v>2.2685185185185182E-3</v>
      </c>
      <c r="Y16" s="115">
        <v>6.75</v>
      </c>
      <c r="Z16" s="9">
        <v>2.3148148148148151E-3</v>
      </c>
      <c r="AB16" s="74"/>
      <c r="AD16" s="69"/>
      <c r="AE16" s="118">
        <v>4.5</v>
      </c>
    </row>
    <row r="17" spans="2:31" ht="12" customHeight="1" x14ac:dyDescent="0.25">
      <c r="B17" s="81"/>
      <c r="C17" s="81"/>
      <c r="D17" s="83"/>
      <c r="E17" s="4"/>
      <c r="F17" s="8" t="s">
        <v>31</v>
      </c>
      <c r="G17" s="9">
        <v>3.483796296296296E-3</v>
      </c>
      <c r="H17" s="115">
        <v>2.5</v>
      </c>
      <c r="I17" s="9">
        <v>3.645833333333333E-3</v>
      </c>
      <c r="J17" s="4"/>
      <c r="K17" s="4"/>
      <c r="L17" s="4"/>
      <c r="M17" s="4"/>
      <c r="N17" s="4"/>
      <c r="O17" s="10"/>
      <c r="P17" s="10"/>
      <c r="Q17" s="10"/>
      <c r="R17" s="10"/>
      <c r="T17" s="121">
        <f t="shared" si="2"/>
        <v>51</v>
      </c>
      <c r="U17" s="113">
        <v>1.5</v>
      </c>
      <c r="W17" s="8" t="s">
        <v>31</v>
      </c>
      <c r="X17" s="9">
        <v>2.3263888888888887E-3</v>
      </c>
      <c r="Y17" s="115">
        <v>5.4</v>
      </c>
      <c r="Z17" s="9">
        <v>2.3726851851851851E-3</v>
      </c>
      <c r="AB17" s="74"/>
      <c r="AD17" s="69"/>
      <c r="AE17" s="118">
        <v>3.6</v>
      </c>
    </row>
    <row r="18" spans="2:31" ht="12" customHeight="1" x14ac:dyDescent="0.25">
      <c r="B18" s="81"/>
      <c r="C18" s="81"/>
      <c r="D18" s="83"/>
      <c r="E18" s="4"/>
      <c r="F18" s="8" t="s">
        <v>31</v>
      </c>
      <c r="G18" s="9">
        <v>3.6574074074074074E-3</v>
      </c>
      <c r="H18" s="115">
        <v>2</v>
      </c>
      <c r="I18" s="9">
        <v>3.8194444444444443E-3</v>
      </c>
      <c r="J18" s="4"/>
      <c r="K18" s="4"/>
      <c r="L18" s="4"/>
      <c r="M18" s="4"/>
      <c r="N18" s="4"/>
      <c r="T18" s="121">
        <f t="shared" si="2"/>
        <v>53</v>
      </c>
      <c r="U18" s="113">
        <v>1.6</v>
      </c>
      <c r="W18" s="8" t="s">
        <v>31</v>
      </c>
      <c r="X18" s="9">
        <v>2.3842592592592591E-3</v>
      </c>
      <c r="Y18" s="115">
        <v>4.1999999999999993</v>
      </c>
      <c r="Z18" s="9">
        <v>2.4305555555555556E-3</v>
      </c>
      <c r="AB18" s="74"/>
      <c r="AD18" s="69"/>
      <c r="AE18" s="118">
        <v>2.8</v>
      </c>
    </row>
    <row r="19" spans="2:31" ht="12" customHeight="1" x14ac:dyDescent="0.25">
      <c r="D19" s="4"/>
      <c r="E19" s="4"/>
      <c r="F19" s="8" t="s">
        <v>31</v>
      </c>
      <c r="G19" s="9">
        <v>3.8310185185185183E-3</v>
      </c>
      <c r="H19" s="115">
        <v>1.5</v>
      </c>
      <c r="I19" s="9">
        <v>4.1666666666666666E-3</v>
      </c>
      <c r="J19" s="4"/>
      <c r="K19" s="4"/>
      <c r="L19" s="4"/>
      <c r="M19" s="4"/>
      <c r="N19" s="4"/>
      <c r="T19" s="121">
        <f t="shared" si="2"/>
        <v>55</v>
      </c>
      <c r="U19" s="113">
        <v>1.7</v>
      </c>
      <c r="W19" s="8" t="s">
        <v>31</v>
      </c>
      <c r="X19" s="9">
        <v>2.4421296296296296E-3</v>
      </c>
      <c r="Y19" s="115">
        <v>3.1500000000000004</v>
      </c>
      <c r="Z19" s="9">
        <v>2.488425925925926E-3</v>
      </c>
      <c r="AB19" s="74"/>
      <c r="AD19" s="69"/>
      <c r="AE19" s="118">
        <v>2.1</v>
      </c>
    </row>
    <row r="20" spans="2:31" ht="12" customHeight="1" x14ac:dyDescent="0.25">
      <c r="E20" s="4"/>
      <c r="F20" s="8" t="s">
        <v>31</v>
      </c>
      <c r="G20" s="9">
        <v>4.1782407407407402E-3</v>
      </c>
      <c r="H20" s="115">
        <v>1</v>
      </c>
      <c r="I20" s="9">
        <v>5.5555555555555558E-3</v>
      </c>
      <c r="J20" s="4"/>
      <c r="K20" s="4"/>
      <c r="L20" s="4"/>
      <c r="N20" s="4"/>
      <c r="T20" s="121">
        <f t="shared" si="2"/>
        <v>57</v>
      </c>
      <c r="U20" s="113">
        <v>1.8</v>
      </c>
      <c r="W20" s="8" t="s">
        <v>31</v>
      </c>
      <c r="X20" s="9">
        <v>2.5000000000000001E-3</v>
      </c>
      <c r="Y20" s="115">
        <v>2.25</v>
      </c>
      <c r="Z20" s="9">
        <v>2.5462962962962961E-3</v>
      </c>
      <c r="AB20" s="74"/>
      <c r="AD20" s="69"/>
      <c r="AE20" s="118">
        <v>1.5</v>
      </c>
    </row>
    <row r="21" spans="2:31" ht="12" customHeight="1" x14ac:dyDescent="0.25">
      <c r="E21" s="4"/>
      <c r="F21" s="8" t="s">
        <v>31</v>
      </c>
      <c r="G21" s="9">
        <v>5.5671296296296302E-3</v>
      </c>
      <c r="H21" s="115">
        <v>0</v>
      </c>
      <c r="I21" s="11"/>
      <c r="J21" s="4"/>
      <c r="K21" s="4"/>
      <c r="L21" s="4"/>
      <c r="M21" s="4"/>
      <c r="N21" s="4"/>
      <c r="T21" s="121">
        <f t="shared" si="2"/>
        <v>59</v>
      </c>
      <c r="U21" s="113">
        <v>1.9</v>
      </c>
      <c r="W21" s="8" t="s">
        <v>31</v>
      </c>
      <c r="X21" s="9">
        <v>2.5578703703703705E-3</v>
      </c>
      <c r="Y21" s="115">
        <v>1.4999999999999998</v>
      </c>
      <c r="Z21" s="9">
        <v>2.6041666666666665E-3</v>
      </c>
      <c r="AB21" s="74"/>
      <c r="AD21" s="69"/>
      <c r="AE21" s="118">
        <v>0.99999999999999989</v>
      </c>
    </row>
    <row r="22" spans="2:31" ht="12.75" customHeight="1" x14ac:dyDescent="0.25">
      <c r="T22" s="121">
        <f t="shared" si="2"/>
        <v>61</v>
      </c>
      <c r="U22" s="113">
        <v>2</v>
      </c>
      <c r="W22" s="8" t="s">
        <v>31</v>
      </c>
      <c r="X22" s="9">
        <v>2.615740740740741E-3</v>
      </c>
      <c r="Y22" s="115">
        <v>0.89999999999999991</v>
      </c>
      <c r="Z22" s="9">
        <v>2.6620370370370374E-3</v>
      </c>
      <c r="AD22" s="69"/>
      <c r="AE22" s="118">
        <v>0.6</v>
      </c>
    </row>
    <row r="23" spans="2:31" ht="12" customHeight="1" x14ac:dyDescent="0.25">
      <c r="T23" s="121">
        <f t="shared" si="2"/>
        <v>63</v>
      </c>
      <c r="U23" s="113">
        <v>2.1</v>
      </c>
      <c r="W23" s="8" t="s">
        <v>31</v>
      </c>
      <c r="X23" s="9">
        <v>2.673611111111111E-3</v>
      </c>
      <c r="Y23" s="115">
        <v>0.45000000000000007</v>
      </c>
      <c r="Z23" s="9">
        <v>2.7199074074074074E-3</v>
      </c>
      <c r="AD23" s="69"/>
      <c r="AE23" s="118">
        <v>0.30000000000000004</v>
      </c>
    </row>
    <row r="24" spans="2:31" ht="12" customHeight="1" x14ac:dyDescent="0.25">
      <c r="G24" s="85"/>
      <c r="I24" s="85"/>
      <c r="T24" s="121">
        <f t="shared" si="2"/>
        <v>65</v>
      </c>
      <c r="U24" s="113">
        <v>2.2000000000000002</v>
      </c>
      <c r="W24" s="8" t="s">
        <v>31</v>
      </c>
      <c r="X24" s="9">
        <v>2.7314814814814819E-3</v>
      </c>
      <c r="Y24" s="115">
        <v>0.15000000000000002</v>
      </c>
      <c r="Z24" s="9">
        <v>2.7662037037037034E-3</v>
      </c>
      <c r="AD24" s="69"/>
      <c r="AE24" s="118">
        <v>0.1</v>
      </c>
    </row>
    <row r="25" spans="2:31" ht="12" customHeight="1" x14ac:dyDescent="0.25">
      <c r="G25" s="85"/>
      <c r="I25" s="85"/>
      <c r="T25" s="121">
        <f t="shared" si="2"/>
        <v>67</v>
      </c>
      <c r="U25" s="113">
        <v>2.2999999999999998</v>
      </c>
      <c r="W25" s="8" t="s">
        <v>31</v>
      </c>
      <c r="X25" s="9">
        <v>2.7777777777777779E-3</v>
      </c>
      <c r="Y25" s="115">
        <v>0</v>
      </c>
      <c r="Z25" s="9"/>
      <c r="AE25" s="118">
        <v>0</v>
      </c>
    </row>
    <row r="26" spans="2:31" ht="12" customHeight="1" x14ac:dyDescent="0.25">
      <c r="G26" s="85"/>
      <c r="I26" s="85"/>
      <c r="T26" s="121">
        <f t="shared" si="2"/>
        <v>69</v>
      </c>
      <c r="U26" s="113">
        <v>2.4</v>
      </c>
    </row>
    <row r="27" spans="2:31" ht="12" customHeight="1" x14ac:dyDescent="0.25">
      <c r="G27" s="85"/>
      <c r="I27" s="85"/>
      <c r="T27" s="121">
        <f t="shared" si="2"/>
        <v>71</v>
      </c>
      <c r="U27" s="113">
        <v>2.5</v>
      </c>
    </row>
    <row r="28" spans="2:31" ht="12" customHeight="1" x14ac:dyDescent="0.25">
      <c r="G28" s="85"/>
      <c r="I28" s="85"/>
      <c r="N28" s="32"/>
      <c r="T28" s="121">
        <f t="shared" si="2"/>
        <v>73</v>
      </c>
      <c r="U28" s="113">
        <v>2.6</v>
      </c>
    </row>
    <row r="29" spans="2:31" ht="12" customHeight="1" x14ac:dyDescent="0.25">
      <c r="G29" s="85"/>
      <c r="I29" s="85"/>
      <c r="T29" s="121">
        <f t="shared" si="2"/>
        <v>75</v>
      </c>
      <c r="U29" s="113">
        <v>2.7</v>
      </c>
    </row>
    <row r="30" spans="2:31" ht="12" customHeight="1" x14ac:dyDescent="0.25">
      <c r="G30" s="85"/>
      <c r="I30" s="85"/>
      <c r="T30" s="121">
        <f t="shared" si="2"/>
        <v>77</v>
      </c>
      <c r="U30" s="113">
        <v>2.8</v>
      </c>
    </row>
    <row r="31" spans="2:31" ht="12" customHeight="1" x14ac:dyDescent="0.25">
      <c r="G31" s="85"/>
      <c r="I31" s="85"/>
      <c r="T31" s="121">
        <f t="shared" si="2"/>
        <v>79</v>
      </c>
      <c r="U31" s="113">
        <v>2.9</v>
      </c>
    </row>
    <row r="32" spans="2:31" ht="12" customHeight="1" x14ac:dyDescent="0.25">
      <c r="G32" s="85"/>
      <c r="I32" s="85"/>
      <c r="T32" s="121">
        <f t="shared" si="2"/>
        <v>81</v>
      </c>
      <c r="U32" s="113">
        <v>3</v>
      </c>
    </row>
    <row r="33" spans="7:21" ht="12" customHeight="1" x14ac:dyDescent="0.25">
      <c r="G33" s="85"/>
      <c r="I33" s="85"/>
      <c r="T33" s="121">
        <f t="shared" si="2"/>
        <v>83</v>
      </c>
      <c r="U33" s="113">
        <v>3.1</v>
      </c>
    </row>
    <row r="34" spans="7:21" ht="12" customHeight="1" x14ac:dyDescent="0.25">
      <c r="G34" s="85"/>
      <c r="T34" s="121">
        <f t="shared" si="2"/>
        <v>85</v>
      </c>
      <c r="U34" s="113">
        <v>3.2</v>
      </c>
    </row>
    <row r="35" spans="7:21" ht="12" customHeight="1" x14ac:dyDescent="0.25">
      <c r="G35" s="85"/>
      <c r="H35" s="74"/>
      <c r="I35" s="85"/>
      <c r="T35" s="121">
        <f t="shared" si="2"/>
        <v>87</v>
      </c>
      <c r="U35" s="113">
        <v>3.3</v>
      </c>
    </row>
    <row r="36" spans="7:21" ht="12" customHeight="1" x14ac:dyDescent="0.25">
      <c r="G36" s="85"/>
      <c r="H36" s="74"/>
      <c r="I36" s="85"/>
      <c r="T36" s="121">
        <f t="shared" si="2"/>
        <v>89</v>
      </c>
      <c r="U36" s="113">
        <v>3.4</v>
      </c>
    </row>
    <row r="37" spans="7:21" ht="12" customHeight="1" x14ac:dyDescent="0.25">
      <c r="G37" s="85"/>
      <c r="H37" s="74"/>
      <c r="I37" s="85"/>
      <c r="T37" s="121">
        <f t="shared" si="2"/>
        <v>91</v>
      </c>
      <c r="U37" s="113">
        <v>3.5</v>
      </c>
    </row>
    <row r="38" spans="7:21" ht="12" customHeight="1" x14ac:dyDescent="0.25">
      <c r="G38" s="85"/>
      <c r="H38" s="74"/>
      <c r="I38" s="85"/>
      <c r="T38" s="121">
        <f t="shared" si="2"/>
        <v>93</v>
      </c>
      <c r="U38" s="113">
        <v>3.6</v>
      </c>
    </row>
    <row r="39" spans="7:21" ht="12" customHeight="1" x14ac:dyDescent="0.25">
      <c r="G39" s="85"/>
      <c r="H39" s="74"/>
      <c r="I39" s="85"/>
      <c r="T39" s="121">
        <f t="shared" si="2"/>
        <v>95</v>
      </c>
      <c r="U39" s="113">
        <v>3.7</v>
      </c>
    </row>
    <row r="40" spans="7:21" ht="12" customHeight="1" x14ac:dyDescent="0.25">
      <c r="G40" s="85"/>
      <c r="H40" s="74"/>
      <c r="I40" s="85"/>
      <c r="T40" s="121">
        <f t="shared" si="2"/>
        <v>97</v>
      </c>
      <c r="U40" s="113">
        <v>3.8</v>
      </c>
    </row>
    <row r="41" spans="7:21" ht="12" customHeight="1" x14ac:dyDescent="0.25">
      <c r="G41" s="85"/>
      <c r="H41" s="74"/>
      <c r="I41" s="85"/>
      <c r="T41" s="121">
        <f t="shared" si="2"/>
        <v>99</v>
      </c>
      <c r="U41" s="113">
        <v>3.9</v>
      </c>
    </row>
    <row r="42" spans="7:21" ht="12" customHeight="1" x14ac:dyDescent="0.25">
      <c r="G42" s="85"/>
      <c r="H42" s="74"/>
      <c r="I42" s="85"/>
      <c r="T42" s="121">
        <v>103</v>
      </c>
      <c r="U42" s="113">
        <v>4</v>
      </c>
    </row>
    <row r="43" spans="7:21" ht="12" customHeight="1" x14ac:dyDescent="0.25">
      <c r="G43" s="85"/>
      <c r="H43" s="74"/>
      <c r="I43" s="85"/>
      <c r="T43" s="121">
        <v>107</v>
      </c>
      <c r="U43" s="113">
        <v>4.0999999999999996</v>
      </c>
    </row>
    <row r="44" spans="7:21" ht="12" customHeight="1" x14ac:dyDescent="0.25">
      <c r="G44" s="85"/>
      <c r="H44" s="74"/>
      <c r="I44" s="85"/>
      <c r="T44" s="121">
        <v>111</v>
      </c>
      <c r="U44" s="113">
        <v>4.2</v>
      </c>
    </row>
    <row r="45" spans="7:21" ht="12" customHeight="1" x14ac:dyDescent="0.25">
      <c r="T45" s="121">
        <v>115</v>
      </c>
      <c r="U45" s="113">
        <v>4.3</v>
      </c>
    </row>
    <row r="46" spans="7:21" ht="12" customHeight="1" x14ac:dyDescent="0.25">
      <c r="T46" s="121">
        <v>119</v>
      </c>
      <c r="U46" s="113">
        <v>4.4000000000000004</v>
      </c>
    </row>
    <row r="47" spans="7:21" ht="12" customHeight="1" x14ac:dyDescent="0.25">
      <c r="T47" s="121">
        <v>123</v>
      </c>
      <c r="U47" s="113">
        <v>4.5</v>
      </c>
    </row>
    <row r="48" spans="7:21" ht="12" customHeight="1" x14ac:dyDescent="0.25">
      <c r="T48" s="121">
        <v>127</v>
      </c>
      <c r="U48" s="113">
        <v>4.5999999999999996</v>
      </c>
    </row>
    <row r="49" spans="20:21" ht="12" customHeight="1" x14ac:dyDescent="0.25">
      <c r="T49" s="121">
        <v>131</v>
      </c>
      <c r="U49" s="113">
        <v>4.7</v>
      </c>
    </row>
    <row r="50" spans="20:21" ht="12" customHeight="1" x14ac:dyDescent="0.25">
      <c r="T50" s="121">
        <v>135</v>
      </c>
      <c r="U50" s="113">
        <v>4.8</v>
      </c>
    </row>
    <row r="51" spans="20:21" ht="12" customHeight="1" x14ac:dyDescent="0.25">
      <c r="T51" s="121">
        <v>139</v>
      </c>
      <c r="U51" s="113">
        <v>4.9000000000000004</v>
      </c>
    </row>
    <row r="52" spans="20:21" ht="12" customHeight="1" x14ac:dyDescent="0.25">
      <c r="T52" s="121">
        <v>143</v>
      </c>
      <c r="U52" s="113">
        <v>5</v>
      </c>
    </row>
    <row r="53" spans="20:21" ht="12" customHeight="1" x14ac:dyDescent="0.25">
      <c r="T53" s="121">
        <v>147</v>
      </c>
      <c r="U53" s="113">
        <v>5.0999999999999996</v>
      </c>
    </row>
    <row r="54" spans="20:21" ht="12" customHeight="1" x14ac:dyDescent="0.25">
      <c r="T54" s="121">
        <v>151</v>
      </c>
      <c r="U54" s="113">
        <v>5.2</v>
      </c>
    </row>
    <row r="55" spans="20:21" ht="12" customHeight="1" x14ac:dyDescent="0.25">
      <c r="T55" s="121">
        <v>155</v>
      </c>
      <c r="U55" s="113">
        <v>5.3</v>
      </c>
    </row>
    <row r="56" spans="20:21" ht="12" customHeight="1" x14ac:dyDescent="0.25">
      <c r="T56" s="121">
        <v>159</v>
      </c>
      <c r="U56" s="113">
        <v>5.4</v>
      </c>
    </row>
    <row r="57" spans="20:21" ht="12" customHeight="1" x14ac:dyDescent="0.25">
      <c r="T57" s="121">
        <v>163</v>
      </c>
      <c r="U57" s="113">
        <v>5.5</v>
      </c>
    </row>
    <row r="58" spans="20:21" ht="12" customHeight="1" x14ac:dyDescent="0.25">
      <c r="T58" s="121">
        <v>167</v>
      </c>
      <c r="U58" s="113">
        <v>5.6</v>
      </c>
    </row>
    <row r="59" spans="20:21" ht="12" customHeight="1" x14ac:dyDescent="0.25">
      <c r="T59" s="121">
        <v>171</v>
      </c>
      <c r="U59" s="113">
        <v>5.7</v>
      </c>
    </row>
    <row r="60" spans="20:21" ht="12" customHeight="1" x14ac:dyDescent="0.25">
      <c r="T60" s="121">
        <v>175</v>
      </c>
      <c r="U60" s="113">
        <v>5.8</v>
      </c>
    </row>
    <row r="61" spans="20:21" ht="12" customHeight="1" x14ac:dyDescent="0.25">
      <c r="T61" s="121">
        <v>179</v>
      </c>
      <c r="U61" s="113">
        <v>5.9</v>
      </c>
    </row>
    <row r="62" spans="20:21" ht="12" customHeight="1" x14ac:dyDescent="0.25">
      <c r="T62" s="121">
        <v>183</v>
      </c>
      <c r="U62" s="113">
        <v>6</v>
      </c>
    </row>
    <row r="63" spans="20:21" ht="12" customHeight="1" x14ac:dyDescent="0.25">
      <c r="T63" s="121">
        <v>187</v>
      </c>
      <c r="U63" s="113">
        <v>6.1</v>
      </c>
    </row>
    <row r="64" spans="20:21" ht="12" customHeight="1" x14ac:dyDescent="0.25">
      <c r="T64" s="121">
        <v>191</v>
      </c>
      <c r="U64" s="113">
        <v>6.2</v>
      </c>
    </row>
    <row r="65" spans="20:21" ht="12" customHeight="1" x14ac:dyDescent="0.25">
      <c r="T65" s="121">
        <v>195</v>
      </c>
      <c r="U65" s="113">
        <v>6.3</v>
      </c>
    </row>
    <row r="66" spans="20:21" ht="12" customHeight="1" x14ac:dyDescent="0.25">
      <c r="T66" s="121">
        <v>199</v>
      </c>
      <c r="U66" s="113">
        <v>6.4</v>
      </c>
    </row>
    <row r="67" spans="20:21" ht="12" customHeight="1" x14ac:dyDescent="0.25">
      <c r="T67" s="121">
        <v>207</v>
      </c>
      <c r="U67" s="113">
        <v>6.5</v>
      </c>
    </row>
    <row r="68" spans="20:21" ht="12" customHeight="1" x14ac:dyDescent="0.25">
      <c r="T68" s="121">
        <v>215</v>
      </c>
      <c r="U68" s="113">
        <v>6.6</v>
      </c>
    </row>
    <row r="69" spans="20:21" ht="12" customHeight="1" x14ac:dyDescent="0.25">
      <c r="T69" s="121">
        <v>223</v>
      </c>
      <c r="U69" s="113">
        <v>6.7</v>
      </c>
    </row>
    <row r="70" spans="20:21" ht="12" customHeight="1" x14ac:dyDescent="0.25">
      <c r="T70" s="121">
        <v>231</v>
      </c>
      <c r="U70" s="113">
        <v>6.8</v>
      </c>
    </row>
    <row r="71" spans="20:21" ht="12" customHeight="1" x14ac:dyDescent="0.25">
      <c r="T71" s="121">
        <v>239</v>
      </c>
      <c r="U71" s="113">
        <v>6.9</v>
      </c>
    </row>
    <row r="72" spans="20:21" ht="12" customHeight="1" x14ac:dyDescent="0.25">
      <c r="T72" s="121">
        <v>247</v>
      </c>
      <c r="U72" s="113">
        <v>7</v>
      </c>
    </row>
    <row r="73" spans="20:21" ht="12" customHeight="1" x14ac:dyDescent="0.25">
      <c r="T73" s="121">
        <v>255</v>
      </c>
      <c r="U73" s="113">
        <v>7.1</v>
      </c>
    </row>
    <row r="74" spans="20:21" ht="12" customHeight="1" x14ac:dyDescent="0.25">
      <c r="T74" s="121">
        <v>263</v>
      </c>
      <c r="U74" s="113">
        <v>7.2</v>
      </c>
    </row>
    <row r="75" spans="20:21" ht="12" customHeight="1" x14ac:dyDescent="0.25">
      <c r="T75" s="121">
        <v>271</v>
      </c>
      <c r="U75" s="113">
        <v>7.3</v>
      </c>
    </row>
    <row r="76" spans="20:21" ht="12" customHeight="1" x14ac:dyDescent="0.25">
      <c r="T76" s="74"/>
    </row>
    <row r="77" spans="20:21" ht="12" customHeight="1" x14ac:dyDescent="0.25">
      <c r="T77" s="74"/>
    </row>
    <row r="78" spans="20:21" ht="12" customHeight="1" x14ac:dyDescent="0.25">
      <c r="T78" s="74"/>
    </row>
    <row r="79" spans="20:21" ht="12" customHeight="1" x14ac:dyDescent="0.25">
      <c r="T79" s="74"/>
    </row>
    <row r="80" spans="20:21" ht="12" customHeight="1" x14ac:dyDescent="0.25">
      <c r="T80" s="74"/>
    </row>
    <row r="81" spans="20:20" ht="12" customHeight="1" x14ac:dyDescent="0.25">
      <c r="T81" s="74"/>
    </row>
    <row r="82" spans="20:20" ht="12" customHeight="1" x14ac:dyDescent="0.25">
      <c r="T82" s="74"/>
    </row>
    <row r="83" spans="20:20" ht="12" customHeight="1" x14ac:dyDescent="0.25">
      <c r="T83" s="74"/>
    </row>
    <row r="84" spans="20:20" ht="12" customHeight="1" x14ac:dyDescent="0.25">
      <c r="T84" s="74"/>
    </row>
    <row r="85" spans="20:20" ht="12" customHeight="1" x14ac:dyDescent="0.25">
      <c r="T85" s="74"/>
    </row>
    <row r="86" spans="20:20" ht="12" customHeight="1" x14ac:dyDescent="0.25">
      <c r="T86" s="74"/>
    </row>
    <row r="87" spans="20:20" ht="12" customHeight="1" x14ac:dyDescent="0.25">
      <c r="T87" s="74"/>
    </row>
    <row r="88" spans="20:20" ht="12" customHeight="1" x14ac:dyDescent="0.25">
      <c r="T88" s="74"/>
    </row>
    <row r="89" spans="20:20" ht="12" customHeight="1" x14ac:dyDescent="0.25">
      <c r="T89" s="74"/>
    </row>
    <row r="90" spans="20:20" ht="12" customHeight="1" x14ac:dyDescent="0.25">
      <c r="T90" s="74"/>
    </row>
    <row r="91" spans="20:20" ht="12" customHeight="1" x14ac:dyDescent="0.25">
      <c r="T91" s="74"/>
    </row>
    <row r="92" spans="20:20" ht="12" customHeight="1" x14ac:dyDescent="0.25">
      <c r="T92" s="74"/>
    </row>
    <row r="93" spans="20:20" ht="12" customHeight="1" x14ac:dyDescent="0.25">
      <c r="T93" s="74"/>
    </row>
    <row r="94" spans="20:20" ht="12" customHeight="1" x14ac:dyDescent="0.25">
      <c r="T94" s="74"/>
    </row>
    <row r="95" spans="20:20" ht="12" customHeight="1" x14ac:dyDescent="0.25">
      <c r="T95" s="74"/>
    </row>
    <row r="96" spans="20:20" ht="12" customHeight="1" x14ac:dyDescent="0.25">
      <c r="T96" s="74"/>
    </row>
    <row r="97" spans="20:20" ht="12" customHeight="1" x14ac:dyDescent="0.25">
      <c r="T97" s="74"/>
    </row>
    <row r="98" spans="20:20" ht="12" customHeight="1" x14ac:dyDescent="0.25">
      <c r="T98" s="74"/>
    </row>
    <row r="99" spans="20:20" ht="12" customHeight="1" x14ac:dyDescent="0.25">
      <c r="T99" s="74"/>
    </row>
    <row r="100" spans="20:20" ht="12" customHeight="1" x14ac:dyDescent="0.25">
      <c r="T100" s="74"/>
    </row>
    <row r="101" spans="20:20" ht="12" customHeight="1" x14ac:dyDescent="0.25">
      <c r="T101" s="74"/>
    </row>
    <row r="102" spans="20:20" ht="12" customHeight="1" x14ac:dyDescent="0.25">
      <c r="T102" s="74"/>
    </row>
    <row r="103" spans="20:20" ht="12" customHeight="1" x14ac:dyDescent="0.25">
      <c r="T103" s="74"/>
    </row>
    <row r="104" spans="20:20" ht="12" customHeight="1" x14ac:dyDescent="0.25">
      <c r="T104" s="74"/>
    </row>
    <row r="105" spans="20:20" ht="12" customHeight="1" x14ac:dyDescent="0.25">
      <c r="T105" s="74"/>
    </row>
    <row r="106" spans="20:20" ht="12" customHeight="1" x14ac:dyDescent="0.25">
      <c r="T106" s="74"/>
    </row>
    <row r="107" spans="20:20" ht="12" customHeight="1" x14ac:dyDescent="0.25">
      <c r="T107" s="74"/>
    </row>
    <row r="108" spans="20:20" ht="12" customHeight="1" x14ac:dyDescent="0.25">
      <c r="T108" s="74"/>
    </row>
    <row r="109" spans="20:20" ht="12" customHeight="1" x14ac:dyDescent="0.25">
      <c r="T109" s="74"/>
    </row>
    <row r="110" spans="20:20" ht="12" customHeight="1" x14ac:dyDescent="0.25">
      <c r="T110" s="74"/>
    </row>
    <row r="111" spans="20:20" ht="12" customHeight="1" x14ac:dyDescent="0.25">
      <c r="T111" s="74"/>
    </row>
    <row r="112" spans="20:20" ht="12" customHeight="1" x14ac:dyDescent="0.25">
      <c r="T112" s="74"/>
    </row>
    <row r="113" spans="20:20" ht="12" customHeight="1" x14ac:dyDescent="0.25">
      <c r="T113" s="74"/>
    </row>
    <row r="114" spans="20:20" ht="12" customHeight="1" x14ac:dyDescent="0.25">
      <c r="T114" s="74"/>
    </row>
    <row r="115" spans="20:20" ht="12" customHeight="1" x14ac:dyDescent="0.25">
      <c r="T115" s="74"/>
    </row>
    <row r="116" spans="20:20" ht="12" customHeight="1" x14ac:dyDescent="0.25">
      <c r="T116" s="74"/>
    </row>
    <row r="117" spans="20:20" ht="12" customHeight="1" x14ac:dyDescent="0.25">
      <c r="T117" s="74"/>
    </row>
    <row r="118" spans="20:20" ht="12" customHeight="1" x14ac:dyDescent="0.25">
      <c r="T118" s="74"/>
    </row>
    <row r="119" spans="20:20" ht="12" customHeight="1" x14ac:dyDescent="0.25">
      <c r="T119" s="74"/>
    </row>
    <row r="120" spans="20:20" ht="12" customHeight="1" x14ac:dyDescent="0.25">
      <c r="T120" s="74"/>
    </row>
    <row r="121" spans="20:20" ht="12" customHeight="1" x14ac:dyDescent="0.25">
      <c r="T121" s="74"/>
    </row>
    <row r="122" spans="20:20" ht="12" customHeight="1" x14ac:dyDescent="0.25">
      <c r="T122" s="74"/>
    </row>
    <row r="123" spans="20:20" ht="12" customHeight="1" x14ac:dyDescent="0.25">
      <c r="T123" s="74"/>
    </row>
    <row r="124" spans="20:20" ht="12" customHeight="1" x14ac:dyDescent="0.25">
      <c r="T124" s="74"/>
    </row>
    <row r="125" spans="20:20" ht="12" customHeight="1" x14ac:dyDescent="0.25">
      <c r="T125" s="74"/>
    </row>
    <row r="126" spans="20:20" ht="12" customHeight="1" x14ac:dyDescent="0.25">
      <c r="T126" s="74"/>
    </row>
    <row r="127" spans="20:20" ht="12" customHeight="1" x14ac:dyDescent="0.25">
      <c r="T127" s="74"/>
    </row>
    <row r="128" spans="20:20" ht="12" customHeight="1" x14ac:dyDescent="0.25">
      <c r="T128" s="74"/>
    </row>
    <row r="129" spans="20:20" ht="12" customHeight="1" x14ac:dyDescent="0.25">
      <c r="T129" s="74"/>
    </row>
    <row r="130" spans="20:20" ht="12" customHeight="1" x14ac:dyDescent="0.25">
      <c r="T130" s="74"/>
    </row>
    <row r="131" spans="20:20" ht="12" customHeight="1" x14ac:dyDescent="0.25">
      <c r="T131" s="74"/>
    </row>
    <row r="132" spans="20:20" ht="12" customHeight="1" x14ac:dyDescent="0.25">
      <c r="T132" s="74"/>
    </row>
    <row r="133" spans="20:20" ht="12" customHeight="1" x14ac:dyDescent="0.25">
      <c r="T133" s="74"/>
    </row>
    <row r="134" spans="20:20" ht="12" customHeight="1" x14ac:dyDescent="0.25">
      <c r="T134" s="74"/>
    </row>
    <row r="135" spans="20:20" ht="12" customHeight="1" x14ac:dyDescent="0.25">
      <c r="T135" s="74"/>
    </row>
    <row r="136" spans="20:20" ht="12" customHeight="1" x14ac:dyDescent="0.25">
      <c r="T136" s="74"/>
    </row>
    <row r="137" spans="20:20" ht="12" customHeight="1" x14ac:dyDescent="0.25">
      <c r="T137" s="74"/>
    </row>
    <row r="138" spans="20:20" ht="12" customHeight="1" x14ac:dyDescent="0.25">
      <c r="T138" s="74"/>
    </row>
    <row r="139" spans="20:20" ht="12" customHeight="1" x14ac:dyDescent="0.25">
      <c r="T139" s="74"/>
    </row>
    <row r="140" spans="20:20" ht="12" customHeight="1" x14ac:dyDescent="0.25">
      <c r="T140" s="74"/>
    </row>
    <row r="141" spans="20:20" ht="12" customHeight="1" x14ac:dyDescent="0.25">
      <c r="T141" s="74"/>
    </row>
    <row r="142" spans="20:20" ht="12" customHeight="1" x14ac:dyDescent="0.25">
      <c r="T142" s="74"/>
    </row>
    <row r="143" spans="20:20" ht="12" customHeight="1" x14ac:dyDescent="0.25">
      <c r="T143" s="74"/>
    </row>
    <row r="144" spans="20:20" ht="12" customHeight="1" x14ac:dyDescent="0.25">
      <c r="T144" s="74"/>
    </row>
    <row r="145" spans="20:20" ht="12" customHeight="1" x14ac:dyDescent="0.25">
      <c r="T145" s="74"/>
    </row>
    <row r="146" spans="20:20" ht="12" customHeight="1" x14ac:dyDescent="0.25">
      <c r="T146" s="74"/>
    </row>
  </sheetData>
  <autoFilter ref="L1:P16"/>
  <pageMargins left="0.7" right="0.7" top="0.75" bottom="0.75" header="0.3" footer="0.3"/>
  <pageSetup paperSize="9" orientation="portrait" horizontalDpi="4294967294"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D88"/>
  <sheetViews>
    <sheetView workbookViewId="0">
      <pane ySplit="1" topLeftCell="A74" activePane="bottomLeft" state="frozen"/>
      <selection pane="bottomLeft" activeCell="C111" sqref="C111"/>
    </sheetView>
  </sheetViews>
  <sheetFormatPr defaultRowHeight="14.4" x14ac:dyDescent="0.3"/>
  <cols>
    <col min="1" max="1" width="22.5546875" customWidth="1"/>
    <col min="3" max="3" width="9.109375" style="127" customWidth="1"/>
    <col min="4" max="4" width="10.5546875" bestFit="1" customWidth="1"/>
  </cols>
  <sheetData>
    <row r="1" spans="1:4" s="14" customFormat="1" x14ac:dyDescent="0.3">
      <c r="A1" s="14" t="s">
        <v>32</v>
      </c>
      <c r="B1" s="14" t="s">
        <v>74</v>
      </c>
      <c r="C1" s="128" t="s">
        <v>85</v>
      </c>
      <c r="D1" s="14" t="s">
        <v>104</v>
      </c>
    </row>
    <row r="2" spans="1:4" x14ac:dyDescent="0.3">
      <c r="A2" s="48" t="s">
        <v>95</v>
      </c>
      <c r="B2" t="s">
        <v>31</v>
      </c>
    </row>
    <row r="3" spans="1:4" x14ac:dyDescent="0.3">
      <c r="A3" t="s">
        <v>52</v>
      </c>
      <c r="B3" t="s">
        <v>31</v>
      </c>
    </row>
    <row r="4" spans="1:4" x14ac:dyDescent="0.3">
      <c r="A4" t="s">
        <v>50</v>
      </c>
      <c r="B4" t="s">
        <v>31</v>
      </c>
    </row>
    <row r="5" spans="1:4" x14ac:dyDescent="0.3">
      <c r="A5" s="48" t="s">
        <v>56</v>
      </c>
      <c r="B5" t="s">
        <v>31</v>
      </c>
    </row>
    <row r="6" spans="1:4" x14ac:dyDescent="0.3">
      <c r="A6" s="48" t="s">
        <v>98</v>
      </c>
      <c r="B6" t="s">
        <v>31</v>
      </c>
    </row>
    <row r="7" spans="1:4" x14ac:dyDescent="0.3">
      <c r="A7" t="s">
        <v>5</v>
      </c>
      <c r="B7" t="s">
        <v>30</v>
      </c>
    </row>
    <row r="8" spans="1:4" x14ac:dyDescent="0.3">
      <c r="A8" t="s">
        <v>79</v>
      </c>
      <c r="B8" t="s">
        <v>31</v>
      </c>
      <c r="C8" s="127">
        <v>0.4</v>
      </c>
    </row>
    <row r="9" spans="1:4" x14ac:dyDescent="0.3">
      <c r="A9" t="s">
        <v>64</v>
      </c>
      <c r="B9" t="s">
        <v>31</v>
      </c>
    </row>
    <row r="10" spans="1:4" x14ac:dyDescent="0.3">
      <c r="A10" t="s">
        <v>66</v>
      </c>
      <c r="B10" t="s">
        <v>31</v>
      </c>
    </row>
    <row r="11" spans="1:4" x14ac:dyDescent="0.3">
      <c r="A11" t="s">
        <v>63</v>
      </c>
      <c r="B11" t="s">
        <v>31</v>
      </c>
    </row>
    <row r="12" spans="1:4" x14ac:dyDescent="0.3">
      <c r="A12" t="s">
        <v>42</v>
      </c>
      <c r="B12" t="s">
        <v>31</v>
      </c>
    </row>
    <row r="13" spans="1:4" x14ac:dyDescent="0.3">
      <c r="A13" t="s">
        <v>47</v>
      </c>
      <c r="B13" t="s">
        <v>31</v>
      </c>
    </row>
    <row r="14" spans="1:4" x14ac:dyDescent="0.3">
      <c r="A14" t="s">
        <v>60</v>
      </c>
      <c r="B14" t="s">
        <v>31</v>
      </c>
    </row>
    <row r="15" spans="1:4" x14ac:dyDescent="0.3">
      <c r="A15" t="s">
        <v>65</v>
      </c>
      <c r="B15" t="s">
        <v>30</v>
      </c>
      <c r="C15" s="127">
        <v>0.7</v>
      </c>
    </row>
    <row r="16" spans="1:4" x14ac:dyDescent="0.3">
      <c r="A16" s="16" t="s">
        <v>57</v>
      </c>
      <c r="B16" t="s">
        <v>31</v>
      </c>
    </row>
    <row r="17" spans="1:3" x14ac:dyDescent="0.3">
      <c r="A17" s="16" t="s">
        <v>54</v>
      </c>
      <c r="B17" t="s">
        <v>31</v>
      </c>
    </row>
    <row r="18" spans="1:3" x14ac:dyDescent="0.3">
      <c r="A18" s="55" t="s">
        <v>44</v>
      </c>
      <c r="B18" t="s">
        <v>31</v>
      </c>
    </row>
    <row r="19" spans="1:3" x14ac:dyDescent="0.3">
      <c r="A19" s="48" t="s">
        <v>96</v>
      </c>
      <c r="B19" t="s">
        <v>30</v>
      </c>
    </row>
    <row r="20" spans="1:3" x14ac:dyDescent="0.3">
      <c r="A20" s="16" t="s">
        <v>59</v>
      </c>
      <c r="B20" t="s">
        <v>31</v>
      </c>
    </row>
    <row r="21" spans="1:3" x14ac:dyDescent="0.3">
      <c r="A21" s="16" t="s">
        <v>61</v>
      </c>
      <c r="B21" t="s">
        <v>31</v>
      </c>
    </row>
    <row r="22" spans="1:3" x14ac:dyDescent="0.3">
      <c r="A22" s="16" t="s">
        <v>101</v>
      </c>
      <c r="B22" t="s">
        <v>31</v>
      </c>
    </row>
    <row r="23" spans="1:3" x14ac:dyDescent="0.3">
      <c r="A23" s="16" t="s">
        <v>49</v>
      </c>
      <c r="B23" t="s">
        <v>31</v>
      </c>
      <c r="C23" s="127">
        <v>0.4</v>
      </c>
    </row>
    <row r="24" spans="1:3" x14ac:dyDescent="0.3">
      <c r="A24" s="48" t="s">
        <v>100</v>
      </c>
      <c r="B24" t="s">
        <v>31</v>
      </c>
    </row>
    <row r="25" spans="1:3" x14ac:dyDescent="0.3">
      <c r="A25" s="16" t="s">
        <v>99</v>
      </c>
      <c r="B25" t="s">
        <v>30</v>
      </c>
      <c r="C25" s="127">
        <v>0.4</v>
      </c>
    </row>
    <row r="26" spans="1:3" x14ac:dyDescent="0.3">
      <c r="A26" s="16" t="s">
        <v>51</v>
      </c>
      <c r="B26" t="s">
        <v>31</v>
      </c>
    </row>
    <row r="27" spans="1:3" x14ac:dyDescent="0.3">
      <c r="A27" s="16" t="s">
        <v>78</v>
      </c>
      <c r="B27" t="s">
        <v>31</v>
      </c>
    </row>
    <row r="28" spans="1:3" x14ac:dyDescent="0.3">
      <c r="A28" s="70" t="s">
        <v>97</v>
      </c>
      <c r="B28" t="s">
        <v>30</v>
      </c>
    </row>
    <row r="29" spans="1:3" x14ac:dyDescent="0.3">
      <c r="A29" t="s">
        <v>48</v>
      </c>
      <c r="B29" t="s">
        <v>31</v>
      </c>
    </row>
    <row r="30" spans="1:3" x14ac:dyDescent="0.3">
      <c r="A30" t="s">
        <v>62</v>
      </c>
      <c r="B30" t="s">
        <v>30</v>
      </c>
    </row>
    <row r="31" spans="1:3" x14ac:dyDescent="0.3">
      <c r="A31" t="s">
        <v>87</v>
      </c>
      <c r="B31" t="s">
        <v>31</v>
      </c>
    </row>
    <row r="32" spans="1:3" x14ac:dyDescent="0.3">
      <c r="A32" t="s">
        <v>102</v>
      </c>
      <c r="B32" t="s">
        <v>30</v>
      </c>
    </row>
    <row r="33" spans="1:2" x14ac:dyDescent="0.3">
      <c r="A33" s="48" t="s">
        <v>58</v>
      </c>
      <c r="B33" t="s">
        <v>31</v>
      </c>
    </row>
    <row r="34" spans="1:2" x14ac:dyDescent="0.3">
      <c r="A34" t="s">
        <v>55</v>
      </c>
      <c r="B34" t="s">
        <v>31</v>
      </c>
    </row>
    <row r="35" spans="1:2" x14ac:dyDescent="0.3">
      <c r="A35" s="48" t="s">
        <v>80</v>
      </c>
      <c r="B35" t="s">
        <v>31</v>
      </c>
    </row>
    <row r="36" spans="1:2" x14ac:dyDescent="0.3">
      <c r="A36" s="48" t="s">
        <v>103</v>
      </c>
      <c r="B36" t="s">
        <v>31</v>
      </c>
    </row>
    <row r="37" spans="1:2" x14ac:dyDescent="0.3">
      <c r="A37" s="48" t="s">
        <v>73</v>
      </c>
      <c r="B37" t="s">
        <v>31</v>
      </c>
    </row>
    <row r="38" spans="1:2" x14ac:dyDescent="0.3">
      <c r="A38" t="s">
        <v>46</v>
      </c>
      <c r="B38" t="s">
        <v>30</v>
      </c>
    </row>
    <row r="39" spans="1:2" x14ac:dyDescent="0.3">
      <c r="A39" t="s">
        <v>110</v>
      </c>
      <c r="B39" t="s">
        <v>31</v>
      </c>
    </row>
    <row r="40" spans="1:2" x14ac:dyDescent="0.3">
      <c r="A40" t="s">
        <v>111</v>
      </c>
      <c r="B40" t="s">
        <v>30</v>
      </c>
    </row>
    <row r="41" spans="1:2" x14ac:dyDescent="0.3">
      <c r="A41" t="s">
        <v>112</v>
      </c>
      <c r="B41" t="s">
        <v>31</v>
      </c>
    </row>
    <row r="42" spans="1:2" x14ac:dyDescent="0.3">
      <c r="A42" t="s">
        <v>113</v>
      </c>
      <c r="B42" t="s">
        <v>31</v>
      </c>
    </row>
    <row r="43" spans="1:2" x14ac:dyDescent="0.3">
      <c r="A43" t="s">
        <v>114</v>
      </c>
      <c r="B43" t="s">
        <v>31</v>
      </c>
    </row>
    <row r="44" spans="1:2" x14ac:dyDescent="0.3">
      <c r="A44" s="72" t="s">
        <v>115</v>
      </c>
      <c r="B44" t="s">
        <v>31</v>
      </c>
    </row>
    <row r="45" spans="1:2" x14ac:dyDescent="0.3">
      <c r="A45" t="s">
        <v>45</v>
      </c>
      <c r="B45" t="s">
        <v>30</v>
      </c>
    </row>
    <row r="46" spans="1:2" x14ac:dyDescent="0.3">
      <c r="A46" t="s">
        <v>116</v>
      </c>
      <c r="B46" t="s">
        <v>31</v>
      </c>
    </row>
    <row r="47" spans="1:2" x14ac:dyDescent="0.3">
      <c r="A47" t="s">
        <v>7</v>
      </c>
      <c r="B47" t="s">
        <v>31</v>
      </c>
    </row>
    <row r="48" spans="1:2" x14ac:dyDescent="0.3">
      <c r="A48" t="s">
        <v>117</v>
      </c>
      <c r="B48" t="s">
        <v>31</v>
      </c>
    </row>
    <row r="49" spans="1:4" x14ac:dyDescent="0.3">
      <c r="A49" t="s">
        <v>118</v>
      </c>
      <c r="B49" t="s">
        <v>31</v>
      </c>
    </row>
    <row r="50" spans="1:4" x14ac:dyDescent="0.3">
      <c r="A50" t="s">
        <v>119</v>
      </c>
      <c r="B50" t="s">
        <v>30</v>
      </c>
    </row>
    <row r="51" spans="1:4" x14ac:dyDescent="0.3">
      <c r="A51" t="s">
        <v>124</v>
      </c>
      <c r="B51" t="s">
        <v>30</v>
      </c>
    </row>
    <row r="52" spans="1:4" x14ac:dyDescent="0.3">
      <c r="A52" t="s">
        <v>53</v>
      </c>
      <c r="B52" t="s">
        <v>30</v>
      </c>
    </row>
    <row r="53" spans="1:4" x14ac:dyDescent="0.3">
      <c r="A53" t="s">
        <v>127</v>
      </c>
      <c r="B53" t="s">
        <v>30</v>
      </c>
    </row>
    <row r="54" spans="1:4" x14ac:dyDescent="0.3">
      <c r="A54" t="s">
        <v>129</v>
      </c>
      <c r="B54" t="s">
        <v>31</v>
      </c>
    </row>
    <row r="55" spans="1:4" x14ac:dyDescent="0.3">
      <c r="A55" t="s">
        <v>130</v>
      </c>
      <c r="B55" t="s">
        <v>31</v>
      </c>
    </row>
    <row r="56" spans="1:4" x14ac:dyDescent="0.3">
      <c r="A56" t="s">
        <v>128</v>
      </c>
      <c r="B56" t="s">
        <v>31</v>
      </c>
    </row>
    <row r="57" spans="1:4" x14ac:dyDescent="0.3">
      <c r="A57" t="s">
        <v>126</v>
      </c>
      <c r="B57" t="s">
        <v>31</v>
      </c>
    </row>
    <row r="58" spans="1:4" x14ac:dyDescent="0.3">
      <c r="A58" t="s">
        <v>131</v>
      </c>
      <c r="B58" t="s">
        <v>31</v>
      </c>
    </row>
    <row r="59" spans="1:4" x14ac:dyDescent="0.3">
      <c r="A59" t="s">
        <v>134</v>
      </c>
      <c r="B59" t="s">
        <v>31</v>
      </c>
      <c r="D59" s="70"/>
    </row>
    <row r="60" spans="1:4" x14ac:dyDescent="0.3">
      <c r="A60" t="s">
        <v>135</v>
      </c>
      <c r="B60" s="70" t="s">
        <v>31</v>
      </c>
      <c r="D60" s="70"/>
    </row>
    <row r="61" spans="1:4" x14ac:dyDescent="0.3">
      <c r="A61" t="s">
        <v>138</v>
      </c>
      <c r="B61" t="s">
        <v>30</v>
      </c>
    </row>
    <row r="62" spans="1:4" x14ac:dyDescent="0.3">
      <c r="A62" t="s">
        <v>139</v>
      </c>
      <c r="B62" t="s">
        <v>31</v>
      </c>
      <c r="C62" s="127">
        <v>0.4</v>
      </c>
      <c r="D62" s="70"/>
    </row>
    <row r="63" spans="1:4" x14ac:dyDescent="0.3">
      <c r="A63" t="s">
        <v>140</v>
      </c>
      <c r="B63" t="s">
        <v>31</v>
      </c>
      <c r="D63" s="70"/>
    </row>
    <row r="64" spans="1:4" x14ac:dyDescent="0.3">
      <c r="A64" t="s">
        <v>141</v>
      </c>
      <c r="B64" t="s">
        <v>30</v>
      </c>
      <c r="D64" s="70"/>
    </row>
    <row r="65" spans="1:4" x14ac:dyDescent="0.3">
      <c r="A65" t="s">
        <v>142</v>
      </c>
      <c r="B65" t="s">
        <v>30</v>
      </c>
      <c r="D65" s="70"/>
    </row>
    <row r="66" spans="1:4" x14ac:dyDescent="0.3">
      <c r="A66" t="s">
        <v>143</v>
      </c>
      <c r="B66" t="s">
        <v>31</v>
      </c>
      <c r="D66" s="70"/>
    </row>
    <row r="67" spans="1:4" x14ac:dyDescent="0.3">
      <c r="A67" t="s">
        <v>144</v>
      </c>
      <c r="B67" t="s">
        <v>30</v>
      </c>
      <c r="D67" s="70"/>
    </row>
    <row r="68" spans="1:4" x14ac:dyDescent="0.3">
      <c r="A68" t="s">
        <v>146</v>
      </c>
      <c r="B68" t="s">
        <v>30</v>
      </c>
      <c r="D68" s="70"/>
    </row>
    <row r="69" spans="1:4" x14ac:dyDescent="0.3">
      <c r="A69" t="s">
        <v>178</v>
      </c>
      <c r="B69" t="s">
        <v>30</v>
      </c>
    </row>
    <row r="70" spans="1:4" x14ac:dyDescent="0.3">
      <c r="A70" t="s">
        <v>179</v>
      </c>
      <c r="B70" s="70" t="s">
        <v>30</v>
      </c>
      <c r="D70" s="70"/>
    </row>
    <row r="71" spans="1:4" x14ac:dyDescent="0.3">
      <c r="A71" t="s">
        <v>180</v>
      </c>
      <c r="B71" t="s">
        <v>31</v>
      </c>
      <c r="D71" s="70"/>
    </row>
    <row r="72" spans="1:4" x14ac:dyDescent="0.3">
      <c r="A72" t="s">
        <v>184</v>
      </c>
      <c r="B72" t="s">
        <v>30</v>
      </c>
      <c r="D72" s="70"/>
    </row>
    <row r="73" spans="1:4" x14ac:dyDescent="0.3">
      <c r="A73" t="s">
        <v>185</v>
      </c>
      <c r="B73" s="70" t="s">
        <v>30</v>
      </c>
      <c r="D73" s="70"/>
    </row>
    <row r="74" spans="1:4" x14ac:dyDescent="0.3">
      <c r="A74" t="s">
        <v>186</v>
      </c>
      <c r="B74" t="s">
        <v>31</v>
      </c>
      <c r="D74" s="70"/>
    </row>
    <row r="75" spans="1:4" x14ac:dyDescent="0.3">
      <c r="A75" t="s">
        <v>187</v>
      </c>
      <c r="B75" s="70" t="s">
        <v>31</v>
      </c>
      <c r="D75" s="70"/>
    </row>
    <row r="76" spans="1:4" x14ac:dyDescent="0.3">
      <c r="A76" t="s">
        <v>190</v>
      </c>
      <c r="B76" t="s">
        <v>30</v>
      </c>
      <c r="D76" s="70"/>
    </row>
    <row r="77" spans="1:4" x14ac:dyDescent="0.3">
      <c r="A77" t="s">
        <v>215</v>
      </c>
      <c r="B77" t="s">
        <v>31</v>
      </c>
      <c r="D77" s="70"/>
    </row>
    <row r="78" spans="1:4" x14ac:dyDescent="0.3">
      <c r="A78" t="s">
        <v>216</v>
      </c>
      <c r="B78" s="70" t="s">
        <v>31</v>
      </c>
      <c r="D78" s="70"/>
    </row>
    <row r="79" spans="1:4" x14ac:dyDescent="0.3">
      <c r="A79" t="s">
        <v>217</v>
      </c>
      <c r="B79" s="70" t="s">
        <v>31</v>
      </c>
      <c r="D79" s="70"/>
    </row>
    <row r="80" spans="1:4" x14ac:dyDescent="0.3">
      <c r="A80" t="s">
        <v>218</v>
      </c>
      <c r="B80" s="70" t="s">
        <v>31</v>
      </c>
      <c r="D80" s="70"/>
    </row>
    <row r="81" spans="1:4" x14ac:dyDescent="0.3">
      <c r="A81" t="s">
        <v>219</v>
      </c>
      <c r="B81" s="70" t="s">
        <v>31</v>
      </c>
    </row>
    <row r="82" spans="1:4" x14ac:dyDescent="0.3">
      <c r="A82" t="s">
        <v>221</v>
      </c>
      <c r="B82" s="70" t="s">
        <v>31</v>
      </c>
    </row>
    <row r="83" spans="1:4" x14ac:dyDescent="0.3">
      <c r="A83" t="s">
        <v>222</v>
      </c>
      <c r="B83" t="s">
        <v>30</v>
      </c>
      <c r="D83" s="70"/>
    </row>
    <row r="84" spans="1:4" x14ac:dyDescent="0.3">
      <c r="A84" t="s">
        <v>254</v>
      </c>
      <c r="B84" t="s">
        <v>31</v>
      </c>
      <c r="D84" t="s">
        <v>105</v>
      </c>
    </row>
    <row r="85" spans="1:4" x14ac:dyDescent="0.3">
      <c r="A85" t="s">
        <v>255</v>
      </c>
      <c r="B85" t="s">
        <v>30</v>
      </c>
      <c r="D85" s="70" t="s">
        <v>105</v>
      </c>
    </row>
    <row r="86" spans="1:4" x14ac:dyDescent="0.3">
      <c r="A86" t="s">
        <v>256</v>
      </c>
      <c r="B86" t="s">
        <v>31</v>
      </c>
      <c r="D86" s="70" t="s">
        <v>105</v>
      </c>
    </row>
    <row r="87" spans="1:4" x14ac:dyDescent="0.3">
      <c r="A87" t="s">
        <v>257</v>
      </c>
      <c r="B87" s="70" t="s">
        <v>31</v>
      </c>
      <c r="D87" s="70" t="s">
        <v>105</v>
      </c>
    </row>
    <row r="88" spans="1:4" x14ac:dyDescent="0.3">
      <c r="A88" t="s">
        <v>273</v>
      </c>
      <c r="B88" t="s">
        <v>30</v>
      </c>
      <c r="D88" s="70" t="s">
        <v>105</v>
      </c>
    </row>
  </sheetData>
  <autoFilter ref="A1:D68"/>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8"/>
  <sheetViews>
    <sheetView workbookViewId="0">
      <pane ySplit="2" topLeftCell="A18" activePane="bottomLeft" state="frozen"/>
      <selection pane="bottomLeft" activeCell="H35" sqref="H35"/>
    </sheetView>
  </sheetViews>
  <sheetFormatPr defaultColWidth="9.109375" defaultRowHeight="12" x14ac:dyDescent="0.25"/>
  <cols>
    <col min="1" max="1" width="20.77734375" style="165" customWidth="1"/>
    <col min="2" max="2" width="7.88671875" style="165" customWidth="1"/>
    <col min="3" max="3" width="4.21875" style="170" customWidth="1"/>
    <col min="4" max="4" width="4.21875" style="165" customWidth="1"/>
    <col min="5" max="5" width="2.6640625" style="165" customWidth="1"/>
    <col min="6" max="6" width="10.77734375" style="165" bestFit="1" customWidth="1"/>
    <col min="7" max="16384" width="9.109375" style="165"/>
  </cols>
  <sheetData>
    <row r="1" spans="1:6" x14ac:dyDescent="0.25">
      <c r="A1" s="173" t="s">
        <v>121</v>
      </c>
      <c r="B1" s="174" t="s">
        <v>145</v>
      </c>
      <c r="C1" s="175"/>
      <c r="D1" s="175"/>
      <c r="E1" s="175"/>
      <c r="F1" s="175"/>
    </row>
    <row r="2" spans="1:6" x14ac:dyDescent="0.25">
      <c r="A2" s="173" t="s">
        <v>122</v>
      </c>
      <c r="B2" s="176" t="s">
        <v>108</v>
      </c>
      <c r="C2" s="177" t="s">
        <v>109</v>
      </c>
      <c r="D2" s="178" t="s">
        <v>220</v>
      </c>
      <c r="E2" s="178" t="s">
        <v>260</v>
      </c>
      <c r="F2" s="178" t="s">
        <v>123</v>
      </c>
    </row>
    <row r="3" spans="1:6" x14ac:dyDescent="0.25">
      <c r="A3" s="179" t="s">
        <v>52</v>
      </c>
      <c r="B3" s="171">
        <v>3</v>
      </c>
      <c r="C3" s="171">
        <v>3</v>
      </c>
      <c r="D3" s="172">
        <v>5</v>
      </c>
      <c r="E3" s="171">
        <v>1</v>
      </c>
      <c r="F3" s="171">
        <v>12</v>
      </c>
    </row>
    <row r="4" spans="1:6" x14ac:dyDescent="0.25">
      <c r="A4" s="179" t="s">
        <v>64</v>
      </c>
      <c r="B4" s="171">
        <v>5</v>
      </c>
      <c r="C4" s="171">
        <v>4</v>
      </c>
      <c r="D4" s="171">
        <v>4</v>
      </c>
      <c r="E4" s="171"/>
      <c r="F4" s="171">
        <v>13</v>
      </c>
    </row>
    <row r="5" spans="1:6" x14ac:dyDescent="0.25">
      <c r="A5" s="179" t="s">
        <v>66</v>
      </c>
      <c r="B5" s="171">
        <v>3</v>
      </c>
      <c r="C5" s="171">
        <v>4</v>
      </c>
      <c r="D5" s="171">
        <v>1</v>
      </c>
      <c r="E5" s="171"/>
      <c r="F5" s="171">
        <v>8</v>
      </c>
    </row>
    <row r="6" spans="1:6" x14ac:dyDescent="0.25">
      <c r="A6" s="179" t="s">
        <v>142</v>
      </c>
      <c r="B6" s="171">
        <v>4</v>
      </c>
      <c r="C6" s="171">
        <v>4</v>
      </c>
      <c r="D6" s="171">
        <v>4</v>
      </c>
      <c r="E6" s="171"/>
      <c r="F6" s="171">
        <v>12</v>
      </c>
    </row>
    <row r="7" spans="1:6" x14ac:dyDescent="0.25">
      <c r="A7" s="179" t="s">
        <v>49</v>
      </c>
      <c r="B7" s="172">
        <v>5</v>
      </c>
      <c r="C7" s="171">
        <v>4</v>
      </c>
      <c r="D7" s="171">
        <v>4</v>
      </c>
      <c r="E7" s="171"/>
      <c r="F7" s="171">
        <v>13</v>
      </c>
    </row>
    <row r="8" spans="1:6" x14ac:dyDescent="0.25">
      <c r="A8" s="179" t="s">
        <v>102</v>
      </c>
      <c r="B8" s="172">
        <v>5</v>
      </c>
      <c r="C8" s="172">
        <v>5</v>
      </c>
      <c r="D8" s="171">
        <v>5</v>
      </c>
      <c r="E8" s="171"/>
      <c r="F8" s="171">
        <v>15</v>
      </c>
    </row>
    <row r="9" spans="1:6" x14ac:dyDescent="0.25">
      <c r="A9" s="179" t="s">
        <v>65</v>
      </c>
      <c r="B9" s="171">
        <v>3</v>
      </c>
      <c r="C9" s="172">
        <v>5</v>
      </c>
      <c r="D9" s="171">
        <v>4</v>
      </c>
      <c r="E9" s="171"/>
      <c r="F9" s="171">
        <v>12</v>
      </c>
    </row>
    <row r="10" spans="1:6" x14ac:dyDescent="0.25">
      <c r="A10" s="179" t="s">
        <v>60</v>
      </c>
      <c r="B10" s="172">
        <v>5</v>
      </c>
      <c r="C10" s="172">
        <v>5</v>
      </c>
      <c r="D10" s="171">
        <v>1</v>
      </c>
      <c r="E10" s="171"/>
      <c r="F10" s="171">
        <v>11</v>
      </c>
    </row>
    <row r="11" spans="1:6" x14ac:dyDescent="0.25">
      <c r="A11" s="179" t="s">
        <v>110</v>
      </c>
      <c r="B11" s="172">
        <v>5</v>
      </c>
      <c r="C11" s="171">
        <v>5</v>
      </c>
      <c r="D11" s="171">
        <v>4</v>
      </c>
      <c r="E11" s="171"/>
      <c r="F11" s="171">
        <v>14</v>
      </c>
    </row>
    <row r="12" spans="1:6" x14ac:dyDescent="0.25">
      <c r="A12" s="179" t="s">
        <v>50</v>
      </c>
      <c r="B12" s="172">
        <v>5</v>
      </c>
      <c r="C12" s="171">
        <v>5</v>
      </c>
      <c r="D12" s="172">
        <v>5</v>
      </c>
      <c r="E12" s="171"/>
      <c r="F12" s="171">
        <v>15</v>
      </c>
    </row>
    <row r="13" spans="1:6" x14ac:dyDescent="0.25">
      <c r="A13" s="179" t="s">
        <v>185</v>
      </c>
      <c r="B13" s="172">
        <v>5</v>
      </c>
      <c r="C13" s="171">
        <v>5</v>
      </c>
      <c r="D13" s="172">
        <v>5</v>
      </c>
      <c r="E13" s="171"/>
      <c r="F13" s="171">
        <v>15</v>
      </c>
    </row>
    <row r="14" spans="1:6" x14ac:dyDescent="0.25">
      <c r="A14" s="179" t="s">
        <v>117</v>
      </c>
      <c r="B14" s="172">
        <v>5</v>
      </c>
      <c r="C14" s="171">
        <v>5</v>
      </c>
      <c r="D14" s="172">
        <v>5</v>
      </c>
      <c r="E14" s="171"/>
      <c r="F14" s="171">
        <v>15</v>
      </c>
    </row>
    <row r="15" spans="1:6" x14ac:dyDescent="0.25">
      <c r="A15" s="179" t="s">
        <v>143</v>
      </c>
      <c r="B15" s="172">
        <v>5</v>
      </c>
      <c r="C15" s="172">
        <v>5</v>
      </c>
      <c r="D15" s="171">
        <v>5</v>
      </c>
      <c r="E15" s="171"/>
      <c r="F15" s="171">
        <v>15</v>
      </c>
    </row>
    <row r="16" spans="1:6" x14ac:dyDescent="0.25">
      <c r="A16" s="179" t="s">
        <v>141</v>
      </c>
      <c r="B16" s="172">
        <v>5</v>
      </c>
      <c r="C16" s="171">
        <v>5</v>
      </c>
      <c r="D16" s="172">
        <v>5</v>
      </c>
      <c r="E16" s="171"/>
      <c r="F16" s="171">
        <v>15</v>
      </c>
    </row>
    <row r="17" spans="1:6" x14ac:dyDescent="0.25">
      <c r="A17" s="179" t="s">
        <v>116</v>
      </c>
      <c r="B17" s="171">
        <v>3</v>
      </c>
      <c r="C17" s="171">
        <v>3</v>
      </c>
      <c r="D17" s="171">
        <v>5</v>
      </c>
      <c r="E17" s="171">
        <v>1</v>
      </c>
      <c r="F17" s="171">
        <v>12</v>
      </c>
    </row>
    <row r="18" spans="1:6" x14ac:dyDescent="0.25">
      <c r="A18" s="179" t="s">
        <v>215</v>
      </c>
      <c r="B18" s="171">
        <v>5</v>
      </c>
      <c r="C18" s="171">
        <v>4</v>
      </c>
      <c r="D18" s="171">
        <v>4</v>
      </c>
      <c r="E18" s="171"/>
      <c r="F18" s="171">
        <v>13</v>
      </c>
    </row>
    <row r="19" spans="1:6" x14ac:dyDescent="0.25">
      <c r="A19" s="179" t="s">
        <v>216</v>
      </c>
      <c r="B19" s="171">
        <v>5</v>
      </c>
      <c r="C19" s="172">
        <v>5</v>
      </c>
      <c r="D19" s="172">
        <v>5</v>
      </c>
      <c r="E19" s="171"/>
      <c r="F19" s="171">
        <v>15</v>
      </c>
    </row>
    <row r="20" spans="1:6" x14ac:dyDescent="0.25">
      <c r="A20" s="179" t="s">
        <v>217</v>
      </c>
      <c r="B20" s="172">
        <v>5</v>
      </c>
      <c r="C20" s="172">
        <v>5</v>
      </c>
      <c r="D20" s="171">
        <v>5</v>
      </c>
      <c r="E20" s="171"/>
      <c r="F20" s="171">
        <v>15</v>
      </c>
    </row>
    <row r="21" spans="1:6" x14ac:dyDescent="0.25">
      <c r="A21" s="179" t="s">
        <v>218</v>
      </c>
      <c r="B21" s="171">
        <v>5</v>
      </c>
      <c r="C21" s="172">
        <v>5</v>
      </c>
      <c r="D21" s="172">
        <v>5</v>
      </c>
      <c r="E21" s="171"/>
      <c r="F21" s="171">
        <v>15</v>
      </c>
    </row>
    <row r="22" spans="1:6" x14ac:dyDescent="0.25">
      <c r="A22" s="179" t="s">
        <v>59</v>
      </c>
      <c r="B22" s="171">
        <v>1</v>
      </c>
      <c r="C22" s="171">
        <v>1</v>
      </c>
      <c r="D22" s="171">
        <v>2</v>
      </c>
      <c r="E22" s="171"/>
      <c r="F22" s="171">
        <v>4</v>
      </c>
    </row>
    <row r="23" spans="1:6" x14ac:dyDescent="0.25">
      <c r="A23" s="179" t="s">
        <v>222</v>
      </c>
      <c r="B23" s="171">
        <v>1</v>
      </c>
      <c r="C23" s="171">
        <v>4</v>
      </c>
      <c r="D23" s="171">
        <v>3</v>
      </c>
      <c r="E23" s="171"/>
      <c r="F23" s="171">
        <v>8</v>
      </c>
    </row>
    <row r="24" spans="1:6" x14ac:dyDescent="0.25">
      <c r="A24" s="179" t="s">
        <v>254</v>
      </c>
      <c r="B24" s="172">
        <v>5</v>
      </c>
      <c r="C24" s="172">
        <v>5</v>
      </c>
      <c r="D24" s="172">
        <v>5</v>
      </c>
      <c r="E24" s="171"/>
      <c r="F24" s="171">
        <v>15</v>
      </c>
    </row>
    <row r="25" spans="1:6" x14ac:dyDescent="0.25">
      <c r="A25" s="179" t="s">
        <v>255</v>
      </c>
      <c r="B25" s="171">
        <v>5</v>
      </c>
      <c r="C25" s="172">
        <v>5</v>
      </c>
      <c r="D25" s="172">
        <v>5</v>
      </c>
      <c r="E25" s="171"/>
      <c r="F25" s="171">
        <v>15</v>
      </c>
    </row>
    <row r="26" spans="1:6" x14ac:dyDescent="0.25">
      <c r="A26" s="179" t="s">
        <v>119</v>
      </c>
      <c r="B26" s="171">
        <v>4</v>
      </c>
      <c r="C26" s="171">
        <v>4</v>
      </c>
      <c r="D26" s="172">
        <v>5</v>
      </c>
      <c r="E26" s="171">
        <v>1</v>
      </c>
      <c r="F26" s="171">
        <v>14</v>
      </c>
    </row>
    <row r="27" spans="1:6" x14ac:dyDescent="0.25">
      <c r="A27" s="179" t="s">
        <v>256</v>
      </c>
      <c r="B27" s="172">
        <v>5</v>
      </c>
      <c r="C27" s="171">
        <v>4</v>
      </c>
      <c r="D27" s="171">
        <v>4</v>
      </c>
      <c r="E27" s="171"/>
      <c r="F27" s="171">
        <v>13</v>
      </c>
    </row>
    <row r="28" spans="1:6" ht="11.4" customHeight="1" x14ac:dyDescent="0.25">
      <c r="A28" s="179" t="s">
        <v>57</v>
      </c>
      <c r="B28" s="172">
        <v>5</v>
      </c>
      <c r="C28" s="172">
        <v>5</v>
      </c>
      <c r="D28" s="171">
        <v>5</v>
      </c>
      <c r="E28" s="171"/>
      <c r="F28" s="171">
        <v>15</v>
      </c>
    </row>
    <row r="29" spans="1:6" x14ac:dyDescent="0.25">
      <c r="A29" s="179" t="s">
        <v>257</v>
      </c>
      <c r="B29" s="172">
        <v>5</v>
      </c>
      <c r="C29" s="171">
        <v>1</v>
      </c>
      <c r="D29" s="171">
        <v>5</v>
      </c>
      <c r="E29" s="171"/>
      <c r="F29" s="171">
        <v>11</v>
      </c>
    </row>
    <row r="30" spans="1:6" x14ac:dyDescent="0.25">
      <c r="A30" s="179" t="s">
        <v>184</v>
      </c>
      <c r="B30" s="171"/>
      <c r="C30" s="171">
        <v>1</v>
      </c>
      <c r="D30" s="171">
        <v>1</v>
      </c>
      <c r="E30" s="171"/>
      <c r="F30" s="171">
        <v>2</v>
      </c>
    </row>
    <row r="31" spans="1:6" x14ac:dyDescent="0.25">
      <c r="A31" s="179" t="s">
        <v>138</v>
      </c>
      <c r="B31" s="171">
        <v>4</v>
      </c>
      <c r="C31" s="172">
        <v>5</v>
      </c>
      <c r="D31" s="171">
        <v>4</v>
      </c>
      <c r="E31" s="171">
        <v>1</v>
      </c>
      <c r="F31" s="171">
        <v>14</v>
      </c>
    </row>
    <row r="32" spans="1:6" x14ac:dyDescent="0.25">
      <c r="A32" s="179" t="s">
        <v>179</v>
      </c>
      <c r="B32" s="172">
        <v>5</v>
      </c>
      <c r="C32" s="172">
        <v>5</v>
      </c>
      <c r="D32" s="171">
        <v>4</v>
      </c>
      <c r="E32" s="171"/>
      <c r="F32" s="171">
        <v>14</v>
      </c>
    </row>
    <row r="33" spans="1:6" x14ac:dyDescent="0.25">
      <c r="A33" s="179" t="s">
        <v>48</v>
      </c>
      <c r="B33" s="171">
        <v>4</v>
      </c>
      <c r="C33" s="171">
        <v>4</v>
      </c>
      <c r="D33" s="171">
        <v>4</v>
      </c>
      <c r="E33" s="171">
        <v>1</v>
      </c>
      <c r="F33" s="171">
        <v>13</v>
      </c>
    </row>
    <row r="34" spans="1:6" x14ac:dyDescent="0.25">
      <c r="A34" s="179" t="s">
        <v>221</v>
      </c>
      <c r="B34" s="171">
        <v>3</v>
      </c>
      <c r="C34" s="171">
        <v>1</v>
      </c>
      <c r="D34" s="171"/>
      <c r="E34" s="171"/>
      <c r="F34" s="171">
        <v>4</v>
      </c>
    </row>
    <row r="35" spans="1:6" x14ac:dyDescent="0.25">
      <c r="A35" s="179" t="s">
        <v>219</v>
      </c>
      <c r="B35" s="171">
        <v>4</v>
      </c>
      <c r="C35" s="171">
        <v>1</v>
      </c>
      <c r="D35" s="171">
        <v>1</v>
      </c>
      <c r="E35" s="171"/>
      <c r="F35" s="171">
        <v>6</v>
      </c>
    </row>
    <row r="36" spans="1:6" x14ac:dyDescent="0.25">
      <c r="A36" s="179" t="s">
        <v>54</v>
      </c>
      <c r="B36" s="171">
        <v>3</v>
      </c>
      <c r="C36" s="171">
        <v>2</v>
      </c>
      <c r="D36" s="171">
        <v>2</v>
      </c>
      <c r="E36" s="171"/>
      <c r="F36" s="171">
        <v>7</v>
      </c>
    </row>
    <row r="37" spans="1:6" x14ac:dyDescent="0.25">
      <c r="A37" s="179" t="s">
        <v>273</v>
      </c>
      <c r="B37" s="171">
        <v>1</v>
      </c>
      <c r="C37" s="171">
        <v>1</v>
      </c>
      <c r="D37" s="171"/>
      <c r="E37" s="171"/>
      <c r="F37" s="171">
        <v>2</v>
      </c>
    </row>
    <row r="38" spans="1:6" x14ac:dyDescent="0.25">
      <c r="A38" s="179" t="s">
        <v>123</v>
      </c>
      <c r="B38" s="171">
        <v>141</v>
      </c>
      <c r="C38" s="171">
        <v>135</v>
      </c>
      <c r="D38" s="171">
        <v>131</v>
      </c>
      <c r="E38" s="171">
        <v>5</v>
      </c>
      <c r="F38" s="171">
        <v>412</v>
      </c>
    </row>
    <row r="39" spans="1:6" ht="14.4" x14ac:dyDescent="0.3">
      <c r="A39" s="166"/>
      <c r="B39" s="166"/>
      <c r="C39" s="166"/>
      <c r="D39" s="166"/>
      <c r="E39" s="167"/>
      <c r="F39" s="166"/>
    </row>
    <row r="40" spans="1:6" ht="14.4" x14ac:dyDescent="0.3">
      <c r="A40" s="166"/>
      <c r="B40" s="166"/>
      <c r="C40" s="166"/>
      <c r="D40" s="166"/>
      <c r="E40" s="166"/>
      <c r="F40" s="166"/>
    </row>
    <row r="41" spans="1:6" ht="14.4" x14ac:dyDescent="0.3">
      <c r="A41" s="166"/>
      <c r="B41" s="166"/>
      <c r="C41" s="166"/>
      <c r="D41" s="166"/>
      <c r="E41" s="166"/>
      <c r="F41" s="166"/>
    </row>
    <row r="42" spans="1:6" ht="14.4" x14ac:dyDescent="0.3">
      <c r="A42" s="166"/>
      <c r="B42" s="166"/>
      <c r="C42" s="166"/>
      <c r="D42" s="166"/>
      <c r="E42" s="166"/>
      <c r="F42" s="166"/>
    </row>
    <row r="43" spans="1:6" ht="14.4" x14ac:dyDescent="0.3">
      <c r="A43" s="166"/>
      <c r="B43" s="166"/>
      <c r="C43" s="168"/>
      <c r="D43" s="166"/>
      <c r="E43" s="166"/>
      <c r="F43" s="166"/>
    </row>
    <row r="44" spans="1:6" ht="14.4" x14ac:dyDescent="0.3">
      <c r="A44" s="166"/>
      <c r="B44" s="166"/>
      <c r="C44" s="168"/>
      <c r="D44" s="166"/>
      <c r="E44" s="166"/>
      <c r="F44" s="166"/>
    </row>
    <row r="45" spans="1:6" ht="14.4" x14ac:dyDescent="0.3">
      <c r="A45" s="166"/>
      <c r="B45" s="166"/>
      <c r="C45" s="168"/>
      <c r="D45" s="166"/>
      <c r="E45" s="166"/>
      <c r="F45" s="166"/>
    </row>
    <row r="46" spans="1:6" ht="14.4" x14ac:dyDescent="0.3">
      <c r="A46" s="166"/>
      <c r="B46" s="166"/>
      <c r="C46" s="168"/>
      <c r="D46" s="166"/>
      <c r="E46" s="166"/>
      <c r="F46" s="166"/>
    </row>
    <row r="47" spans="1:6" ht="14.4" x14ac:dyDescent="0.3">
      <c r="A47" s="166"/>
      <c r="B47" s="166"/>
      <c r="C47" s="168"/>
      <c r="D47" s="166"/>
      <c r="E47" s="166"/>
      <c r="F47" s="166"/>
    </row>
    <row r="48" spans="1:6" ht="14.4" x14ac:dyDescent="0.3">
      <c r="A48" s="166"/>
      <c r="B48" s="166"/>
      <c r="C48" s="168"/>
      <c r="D48" s="166"/>
      <c r="E48" s="166"/>
      <c r="F48" s="169"/>
    </row>
  </sheetData>
  <pageMargins left="0.7" right="0.7" top="0.75" bottom="0.75" header="0.3" footer="0.3"/>
  <pageSetup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sheetPr>
  <dimension ref="A1:Z413"/>
  <sheetViews>
    <sheetView zoomScaleNormal="100" workbookViewId="0">
      <pane ySplit="1" topLeftCell="A2" activePane="bottomLeft" state="frozen"/>
      <selection pane="bottomLeft" activeCell="L40" sqref="L40"/>
    </sheetView>
  </sheetViews>
  <sheetFormatPr defaultColWidth="9.109375" defaultRowHeight="12" x14ac:dyDescent="0.25"/>
  <cols>
    <col min="1" max="1" width="21.77734375" style="1" customWidth="1"/>
    <col min="2" max="2" width="3" style="1" customWidth="1"/>
    <col min="3" max="3" width="5.109375" style="99" customWidth="1"/>
    <col min="4" max="4" width="9.33203125" style="1" bestFit="1" customWidth="1"/>
    <col min="5" max="5" width="9.21875" style="1" customWidth="1"/>
    <col min="6" max="6" width="9.33203125" style="1" customWidth="1"/>
    <col min="7" max="7" width="11.109375" style="1" bestFit="1" customWidth="1"/>
    <col min="8" max="8" width="6.33203125" style="26" customWidth="1"/>
    <col min="9" max="9" width="9.109375" style="1"/>
    <col min="10" max="10" width="6.5546875" style="1" customWidth="1"/>
    <col min="11" max="11" width="6.5546875" style="74" customWidth="1"/>
    <col min="12" max="12" width="6.77734375" style="74" customWidth="1"/>
    <col min="13" max="13" width="3.44140625" style="1" customWidth="1"/>
    <col min="14" max="14" width="6.88671875" style="1" bestFit="1" customWidth="1"/>
    <col min="15" max="15" width="6.44140625" style="1" bestFit="1" customWidth="1"/>
    <col min="16" max="16" width="5.33203125" style="74" customWidth="1"/>
    <col min="17" max="18" width="6" style="25" customWidth="1"/>
    <col min="19" max="19" width="6.44140625" style="25" customWidth="1"/>
    <col min="20" max="20" width="6" style="25" customWidth="1"/>
    <col min="21" max="21" width="5.77734375" style="21" customWidth="1"/>
    <col min="22" max="22" width="10.44140625" style="22" customWidth="1"/>
    <col min="23" max="23" width="6.77734375" style="99" customWidth="1"/>
    <col min="24" max="24" width="10.6640625" style="1" bestFit="1" customWidth="1"/>
    <col min="25" max="25" width="11.77734375" style="22" customWidth="1"/>
    <col min="26" max="16384" width="9.109375" style="22"/>
  </cols>
  <sheetData>
    <row r="1" spans="1:26" ht="23.25" customHeight="1" x14ac:dyDescent="0.25">
      <c r="A1" s="45" t="s">
        <v>32</v>
      </c>
      <c r="B1" s="17" t="s">
        <v>33</v>
      </c>
      <c r="C1" s="97" t="s">
        <v>29</v>
      </c>
      <c r="D1" s="45" t="s">
        <v>34</v>
      </c>
      <c r="E1" s="126" t="s">
        <v>132</v>
      </c>
      <c r="F1" s="67" t="s">
        <v>133</v>
      </c>
      <c r="G1" s="67" t="s">
        <v>35</v>
      </c>
      <c r="H1" s="46" t="s">
        <v>86</v>
      </c>
      <c r="I1" s="12" t="s">
        <v>36</v>
      </c>
      <c r="J1" s="12" t="s">
        <v>37</v>
      </c>
      <c r="K1" s="12" t="s">
        <v>38</v>
      </c>
      <c r="L1" s="126" t="s">
        <v>239</v>
      </c>
      <c r="M1" s="129" t="s">
        <v>107</v>
      </c>
      <c r="N1" s="12" t="s">
        <v>108</v>
      </c>
      <c r="O1" s="12" t="s">
        <v>109</v>
      </c>
      <c r="P1" s="12" t="s">
        <v>220</v>
      </c>
      <c r="Q1" s="24" t="s">
        <v>72</v>
      </c>
      <c r="R1" s="24" t="s">
        <v>76</v>
      </c>
      <c r="S1" s="24" t="s">
        <v>84</v>
      </c>
      <c r="T1" s="24" t="s">
        <v>85</v>
      </c>
      <c r="U1" s="123" t="s">
        <v>39</v>
      </c>
      <c r="V1" s="45" t="s">
        <v>253</v>
      </c>
      <c r="W1" s="100" t="s">
        <v>40</v>
      </c>
      <c r="X1" s="1" t="s">
        <v>120</v>
      </c>
    </row>
    <row r="2" spans="1:26" x14ac:dyDescent="0.25">
      <c r="A2" s="61" t="s">
        <v>216</v>
      </c>
      <c r="B2" s="1" t="str">
        <f>VLOOKUP(A2,Participanti!A:B,2,0)</f>
        <v>M</v>
      </c>
      <c r="C2" s="98">
        <v>1</v>
      </c>
      <c r="D2" s="63">
        <v>8.01</v>
      </c>
      <c r="E2" s="64">
        <v>2.7442129629629632E-2</v>
      </c>
      <c r="F2" s="64">
        <v>2.7615740740740743E-2</v>
      </c>
      <c r="G2" s="90">
        <f>AVERAGE(E2:F2)</f>
        <v>2.7528935185185188E-2</v>
      </c>
      <c r="H2" s="65">
        <v>24</v>
      </c>
      <c r="I2" s="13">
        <f>G2/D2</f>
        <v>3.4368208720580761E-3</v>
      </c>
      <c r="J2" s="84">
        <f>IF(B2="F",IF(D2&lt;2.5,0,IF(D2&gt;19.99,5,D2/4)),IF(D2&lt;3,0, IF(D2&gt;20.99,5,D2/4.2)))</f>
        <v>1.907142857142857</v>
      </c>
      <c r="K2" s="84">
        <f>IF(J2=0,0,IF(B2="F",VLOOKUP(I2,Barem!$G$2:$H$11,2,1),VLOOKUP(I2,Barem!$G$12:$H$21,2,1)))</f>
        <v>3</v>
      </c>
      <c r="L2" s="63">
        <v>2</v>
      </c>
      <c r="M2" s="129" t="s">
        <v>220</v>
      </c>
      <c r="N2" s="10">
        <f>IF($M2=N$1,50%,25%)</f>
        <v>0.25</v>
      </c>
      <c r="O2" s="10">
        <f t="shared" ref="O2:P17" si="0">IF($M2=O$1,50%,25%)</f>
        <v>0.25</v>
      </c>
      <c r="P2" s="10">
        <f t="shared" si="0"/>
        <v>0.5</v>
      </c>
      <c r="Q2" s="47">
        <f>IF(H2&gt;49,H2/1500,0)</f>
        <v>0</v>
      </c>
      <c r="R2" s="25">
        <f>IF(D2&gt;21,VLOOKUP(D2,Barem!$T$1:$U$141,2,1),0)</f>
        <v>0</v>
      </c>
      <c r="S2" s="25">
        <f>IF(D2&lt;1.609,0,IF(B2="F",VLOOKUP(I2,Barem!$X$2:$Z$13,2,1),VLOOKUP(I2,Barem!$X$14:$Z$25,2,1)))</f>
        <v>0</v>
      </c>
      <c r="T2" s="25">
        <f>VLOOKUP(A2,Participanti!A:C,3,0)</f>
        <v>0</v>
      </c>
      <c r="U2" s="20">
        <f>IF(H2&lt;0,0,J2*N2+K2*O2+L2*P2+Q2+R2+S2+T2)</f>
        <v>2.2267857142857141</v>
      </c>
      <c r="V2" s="76">
        <v>44572</v>
      </c>
      <c r="W2" s="101">
        <f>COUNTIFS(A:A,A2,C:C,C2)</f>
        <v>1</v>
      </c>
      <c r="X2" s="1" t="str">
        <f>VLOOKUP(A2,Data_echipe!A:R,18,0)</f>
        <v>Road</v>
      </c>
      <c r="Y2" s="22" t="s">
        <v>238</v>
      </c>
      <c r="Z2" s="106">
        <f>IF(K2&gt;0,1,0)</f>
        <v>1</v>
      </c>
    </row>
    <row r="3" spans="1:26" x14ac:dyDescent="0.25">
      <c r="A3" s="61" t="s">
        <v>218</v>
      </c>
      <c r="B3" s="74" t="str">
        <f>VLOOKUP(A3,Participanti!A:B,2,0)</f>
        <v>M</v>
      </c>
      <c r="C3" s="98">
        <v>1</v>
      </c>
      <c r="D3" s="63">
        <v>10.01</v>
      </c>
      <c r="E3" s="64">
        <v>2.5405092592592594E-2</v>
      </c>
      <c r="F3" s="64">
        <v>2.5405092592592594E-2</v>
      </c>
      <c r="G3" s="90">
        <f t="shared" ref="G3:G30" si="1">AVERAGE(E3:F3)</f>
        <v>2.5405092592592594E-2</v>
      </c>
      <c r="H3" s="65">
        <v>52</v>
      </c>
      <c r="I3" s="13">
        <f t="shared" ref="I3:I30" si="2">G3/D3</f>
        <v>2.5379712879712883E-3</v>
      </c>
      <c r="J3" s="84">
        <f t="shared" ref="J3:J30" si="3">IF(B3="F",IF(D3&lt;2.5,0,IF(D3&gt;19.99,5,D3/4)),IF(D3&lt;3,0, IF(D3&gt;20.99,5,D3/4.2)))</f>
        <v>2.3833333333333333</v>
      </c>
      <c r="K3" s="84">
        <f>IF(J3=0,0,IF(B3="F",VLOOKUP(I3,Barem!$G$2:$H$11,2,1),VLOOKUP(I3,Barem!$G$12:$H$21,2,1)))</f>
        <v>5</v>
      </c>
      <c r="L3" s="63">
        <v>3.5</v>
      </c>
      <c r="M3" s="62" t="str">
        <f>VLOOKUP(C3,Barem!L:R,7,0)</f>
        <v>V</v>
      </c>
      <c r="N3" s="10">
        <f t="shared" ref="N3:P31" si="4">IF($M3=N$1,50%,25%)</f>
        <v>0.25</v>
      </c>
      <c r="O3" s="10">
        <f t="shared" si="0"/>
        <v>0.5</v>
      </c>
      <c r="P3" s="10">
        <f t="shared" si="0"/>
        <v>0.25</v>
      </c>
      <c r="Q3" s="47">
        <f t="shared" ref="Q3:Q30" si="5">IF(H3&gt;49,H3/1500,0)</f>
        <v>3.4666666666666665E-2</v>
      </c>
      <c r="R3" s="25">
        <f>IF(D3&gt;21,VLOOKUP(D3,Barem!$T$1:$U$141,2,1),0)</f>
        <v>0</v>
      </c>
      <c r="S3" s="25">
        <f>IF(D3&lt;1.609,0,IF(B3="F",VLOOKUP(I3,Barem!$X$2:$Z$13,2,1),VLOOKUP(I3,Barem!$X$14:$Z$25,2,1)))</f>
        <v>2.25</v>
      </c>
      <c r="T3" s="25">
        <f>VLOOKUP(A3,Participanti!A:C,3,0)</f>
        <v>0</v>
      </c>
      <c r="U3" s="20">
        <f t="shared" ref="U3:U30" si="6">IF(H3&lt;0,0,J3*N3+K3*O3+L3*P3+Q3+R3+S3+T3)</f>
        <v>6.2554999999999996</v>
      </c>
      <c r="V3" s="76">
        <v>44572</v>
      </c>
      <c r="W3" s="101">
        <f>COUNTIFS(A:A,A3,C:C,C3)</f>
        <v>1</v>
      </c>
      <c r="X3" s="74" t="str">
        <f>VLOOKUP(A3,Data_echipe!A:R,18,0)</f>
        <v>Road</v>
      </c>
      <c r="Z3" s="106">
        <f t="shared" ref="Z3:Z66" si="7">IF(K3&gt;0,1,0)</f>
        <v>1</v>
      </c>
    </row>
    <row r="4" spans="1:26" x14ac:dyDescent="0.25">
      <c r="A4" s="61" t="s">
        <v>254</v>
      </c>
      <c r="B4" s="74" t="str">
        <f>VLOOKUP(A4,Participanti!A:B,2,0)</f>
        <v>M</v>
      </c>
      <c r="C4" s="98">
        <v>1</v>
      </c>
      <c r="D4" s="63">
        <v>21.12</v>
      </c>
      <c r="E4" s="64">
        <v>7.6215277777777771E-2</v>
      </c>
      <c r="F4" s="64">
        <v>7.6249999999999998E-2</v>
      </c>
      <c r="G4" s="90">
        <f t="shared" si="1"/>
        <v>7.6232638888888885E-2</v>
      </c>
      <c r="H4" s="65">
        <v>103</v>
      </c>
      <c r="I4" s="13">
        <f t="shared" si="2"/>
        <v>3.6094999473905722E-3</v>
      </c>
      <c r="J4" s="84">
        <f t="shared" si="3"/>
        <v>5</v>
      </c>
      <c r="K4" s="84">
        <f>IF(J4=0,0,IF(B4="F",VLOOKUP(I4,Barem!$G$2:$H$11,2,1),VLOOKUP(I4,Barem!$G$12:$H$21,2,1)))</f>
        <v>2.5</v>
      </c>
      <c r="L4" s="63">
        <v>3</v>
      </c>
      <c r="M4" s="129" t="s">
        <v>108</v>
      </c>
      <c r="N4" s="10">
        <f t="shared" si="4"/>
        <v>0.5</v>
      </c>
      <c r="O4" s="10">
        <f t="shared" si="0"/>
        <v>0.25</v>
      </c>
      <c r="P4" s="10">
        <f t="shared" si="0"/>
        <v>0.25</v>
      </c>
      <c r="Q4" s="47">
        <f t="shared" si="5"/>
        <v>6.8666666666666668E-2</v>
      </c>
      <c r="R4" s="25">
        <f>IF(D4&gt;21,VLOOKUP(D4,Barem!$T$1:$U$141,2,1),0)</f>
        <v>0</v>
      </c>
      <c r="S4" s="25">
        <f>IF(D4&lt;1.609,0,IF(B4="F",VLOOKUP(I4,Barem!$X$2:$Z$13,2,1),VLOOKUP(I4,Barem!$X$14:$Z$25,2,1)))</f>
        <v>0</v>
      </c>
      <c r="T4" s="25">
        <f>VLOOKUP(A4,Participanti!A:C,3,0)</f>
        <v>0</v>
      </c>
      <c r="U4" s="20">
        <f t="shared" si="6"/>
        <v>3.9436666666666667</v>
      </c>
      <c r="V4" s="76">
        <v>44573</v>
      </c>
      <c r="W4" s="101">
        <f>COUNTIFS(A:A,A4,C:C,C4)</f>
        <v>1</v>
      </c>
      <c r="X4" s="74" t="str">
        <f>VLOOKUP(A4,Data_echipe!A:R,18,0)</f>
        <v>Trail</v>
      </c>
      <c r="Z4" s="106">
        <f t="shared" si="7"/>
        <v>1</v>
      </c>
    </row>
    <row r="5" spans="1:26" x14ac:dyDescent="0.25">
      <c r="A5" s="61" t="s">
        <v>222</v>
      </c>
      <c r="B5" s="74" t="str">
        <f>VLOOKUP(A5,Participanti!A:B,2,0)</f>
        <v>F</v>
      </c>
      <c r="C5" s="98">
        <v>1</v>
      </c>
      <c r="D5" s="63">
        <v>5.01</v>
      </c>
      <c r="E5" s="64">
        <v>1.7546296296296296E-2</v>
      </c>
      <c r="F5" s="64">
        <v>2.0891203703703703E-2</v>
      </c>
      <c r="G5" s="90">
        <f t="shared" si="1"/>
        <v>1.921875E-2</v>
      </c>
      <c r="H5" s="65">
        <v>6</v>
      </c>
      <c r="I5" s="13">
        <f t="shared" si="2"/>
        <v>3.8360778443113776E-3</v>
      </c>
      <c r="J5" s="84">
        <f t="shared" si="3"/>
        <v>1.2524999999999999</v>
      </c>
      <c r="K5" s="84">
        <f>IF(J5=0,0,IF(B5="F",VLOOKUP(I5,Barem!$G$2:$H$11,2,1),VLOOKUP(I5,Barem!$G$12:$H$21,2,1)))</f>
        <v>2.5</v>
      </c>
      <c r="L5" s="63">
        <v>2.5</v>
      </c>
      <c r="M5" s="62" t="str">
        <f>VLOOKUP(C5,Barem!L:R,7,0)</f>
        <v>V</v>
      </c>
      <c r="N5" s="10">
        <f t="shared" si="4"/>
        <v>0.25</v>
      </c>
      <c r="O5" s="10">
        <f t="shared" si="0"/>
        <v>0.5</v>
      </c>
      <c r="P5" s="10">
        <f t="shared" si="0"/>
        <v>0.25</v>
      </c>
      <c r="Q5" s="47">
        <f t="shared" si="5"/>
        <v>0</v>
      </c>
      <c r="R5" s="25">
        <f>IF(D5&gt;21,VLOOKUP(D5,Barem!$T$1:$U$141,2,1),0)</f>
        <v>0</v>
      </c>
      <c r="S5" s="25">
        <f>IF(D5&lt;1.609,0,IF(B5="F",VLOOKUP(I5,Barem!$X$2:$Z$13,2,1),VLOOKUP(I5,Barem!$X$14:$Z$25,2,1)))</f>
        <v>0</v>
      </c>
      <c r="T5" s="25">
        <f>VLOOKUP(A5,Participanti!A:C,3,0)</f>
        <v>0</v>
      </c>
      <c r="U5" s="20">
        <f t="shared" si="6"/>
        <v>2.1881249999999999</v>
      </c>
      <c r="V5" s="76">
        <v>44573</v>
      </c>
      <c r="W5" s="101">
        <f>COUNTIFS(A:A,A5,C:C,C5)</f>
        <v>1</v>
      </c>
      <c r="X5" s="74" t="e">
        <f>VLOOKUP(A5,Data_echipe!A:R,18,0)</f>
        <v>#N/A</v>
      </c>
      <c r="Z5" s="106">
        <f t="shared" si="7"/>
        <v>1</v>
      </c>
    </row>
    <row r="6" spans="1:26" x14ac:dyDescent="0.25">
      <c r="A6" s="61" t="s">
        <v>143</v>
      </c>
      <c r="B6" s="74" t="str">
        <f>VLOOKUP(A6,Participanti!A:B,2,0)</f>
        <v>M</v>
      </c>
      <c r="C6" s="98">
        <v>1</v>
      </c>
      <c r="D6" s="63">
        <v>10.02</v>
      </c>
      <c r="E6" s="64">
        <v>3.7141203703703704E-2</v>
      </c>
      <c r="F6" s="64">
        <v>4.1099537037037039E-2</v>
      </c>
      <c r="G6" s="90">
        <f t="shared" si="1"/>
        <v>3.9120370370370375E-2</v>
      </c>
      <c r="H6" s="65">
        <v>26</v>
      </c>
      <c r="I6" s="13">
        <f t="shared" si="2"/>
        <v>3.9042285798772829E-3</v>
      </c>
      <c r="J6" s="84">
        <f t="shared" si="3"/>
        <v>2.3857142857142857</v>
      </c>
      <c r="K6" s="84">
        <f>IF(J6=0,0,IF(B6="F",VLOOKUP(I6,Barem!$G$2:$H$11,2,1),VLOOKUP(I6,Barem!$G$12:$H$21,2,1)))</f>
        <v>1.5</v>
      </c>
      <c r="L6" s="63">
        <v>1.5</v>
      </c>
      <c r="M6" s="62" t="str">
        <f>VLOOKUP(C6,Barem!L:R,7,0)</f>
        <v>V</v>
      </c>
      <c r="N6" s="10">
        <f t="shared" si="4"/>
        <v>0.25</v>
      </c>
      <c r="O6" s="10">
        <f t="shared" si="0"/>
        <v>0.5</v>
      </c>
      <c r="P6" s="10">
        <f t="shared" si="0"/>
        <v>0.25</v>
      </c>
      <c r="Q6" s="47">
        <f t="shared" si="5"/>
        <v>0</v>
      </c>
      <c r="R6" s="25">
        <f>IF(D6&gt;21,VLOOKUP(D6,Barem!$T$1:$U$141,2,1),0)</f>
        <v>0</v>
      </c>
      <c r="S6" s="25">
        <f>IF(D6&lt;1.609,0,IF(B6="F",VLOOKUP(I6,Barem!$X$2:$Z$13,2,1),VLOOKUP(I6,Barem!$X$14:$Z$25,2,1)))</f>
        <v>0</v>
      </c>
      <c r="T6" s="25">
        <f>VLOOKUP(A6,Participanti!A:C,3,0)</f>
        <v>0</v>
      </c>
      <c r="U6" s="20">
        <f t="shared" si="6"/>
        <v>1.7214285714285715</v>
      </c>
      <c r="V6" s="76">
        <v>44573</v>
      </c>
      <c r="W6" s="101">
        <f>COUNTIFS(A:A,A6,C:C,C6)</f>
        <v>1</v>
      </c>
      <c r="X6" s="74" t="str">
        <f>VLOOKUP(A6,Data_echipe!A:R,18,0)</f>
        <v>Road</v>
      </c>
      <c r="Z6" s="106">
        <f t="shared" si="7"/>
        <v>1</v>
      </c>
    </row>
    <row r="7" spans="1:26" x14ac:dyDescent="0.25">
      <c r="A7" s="61" t="s">
        <v>217</v>
      </c>
      <c r="B7" s="74" t="str">
        <f>VLOOKUP(A7,Participanti!A:B,2,0)</f>
        <v>M</v>
      </c>
      <c r="C7" s="98">
        <v>1</v>
      </c>
      <c r="D7" s="63">
        <v>2.12</v>
      </c>
      <c r="E7" s="64">
        <v>6.3194444444444444E-3</v>
      </c>
      <c r="F7" s="64">
        <v>6.8865740740740736E-3</v>
      </c>
      <c r="G7" s="90">
        <f t="shared" si="1"/>
        <v>6.603009259259259E-3</v>
      </c>
      <c r="H7" s="65">
        <v>0</v>
      </c>
      <c r="I7" s="13">
        <f t="shared" si="2"/>
        <v>3.114627009084556E-3</v>
      </c>
      <c r="J7" s="84">
        <f t="shared" si="3"/>
        <v>0</v>
      </c>
      <c r="K7" s="84">
        <f>IF(J7=0,0,IF(B7="F",VLOOKUP(I7,Barem!$G$2:$H$11,2,1),VLOOKUP(I7,Barem!$G$12:$H$21,2,1)))</f>
        <v>0</v>
      </c>
      <c r="L7" s="63">
        <v>1.5</v>
      </c>
      <c r="M7" s="62" t="str">
        <f>VLOOKUP(C7,Barem!L:R,7,0)</f>
        <v>V</v>
      </c>
      <c r="N7" s="10">
        <f t="shared" si="4"/>
        <v>0.25</v>
      </c>
      <c r="O7" s="10">
        <f t="shared" si="0"/>
        <v>0.5</v>
      </c>
      <c r="P7" s="10">
        <f t="shared" si="0"/>
        <v>0.25</v>
      </c>
      <c r="Q7" s="47">
        <f t="shared" si="5"/>
        <v>0</v>
      </c>
      <c r="R7" s="25">
        <f>IF(D7&gt;21,VLOOKUP(D7,Barem!$T$1:$U$141,2,1),0)</f>
        <v>0</v>
      </c>
      <c r="S7" s="25">
        <f>IF(D7&lt;1.609,0,IF(B7="F",VLOOKUP(I7,Barem!$X$2:$Z$13,2,1),VLOOKUP(I7,Barem!$X$14:$Z$25,2,1)))</f>
        <v>0</v>
      </c>
      <c r="T7" s="25">
        <f>VLOOKUP(A7,Participanti!A:C,3,0)</f>
        <v>0</v>
      </c>
      <c r="U7" s="20">
        <f t="shared" si="6"/>
        <v>0.375</v>
      </c>
      <c r="V7" s="76">
        <v>44574</v>
      </c>
      <c r="W7" s="101">
        <f>COUNTIFS(A:A,A7,C:C,C7)</f>
        <v>1</v>
      </c>
      <c r="X7" s="74" t="e">
        <f>VLOOKUP(A7,Data_echipe!A:R,18,0)</f>
        <v>#N/A</v>
      </c>
      <c r="Z7" s="106">
        <f t="shared" si="7"/>
        <v>0</v>
      </c>
    </row>
    <row r="8" spans="1:26" x14ac:dyDescent="0.25">
      <c r="A8" s="61" t="s">
        <v>142</v>
      </c>
      <c r="B8" s="74" t="str">
        <f>VLOOKUP(A8,Participanti!A:B,2,0)</f>
        <v>F</v>
      </c>
      <c r="C8" s="98">
        <v>1</v>
      </c>
      <c r="D8" s="63">
        <v>14.02</v>
      </c>
      <c r="E8" s="64">
        <v>5.3564814814814815E-2</v>
      </c>
      <c r="F8" s="64">
        <v>5.3564814814814815E-2</v>
      </c>
      <c r="G8" s="90">
        <f t="shared" si="1"/>
        <v>5.3564814814814815E-2</v>
      </c>
      <c r="H8" s="65">
        <v>82</v>
      </c>
      <c r="I8" s="13">
        <f t="shared" si="2"/>
        <v>3.8206002007713851E-3</v>
      </c>
      <c r="J8" s="84">
        <f t="shared" si="3"/>
        <v>3.5049999999999999</v>
      </c>
      <c r="K8" s="84">
        <f>IF(J8=0,0,IF(B8="F",VLOOKUP(I8,Barem!$G$2:$H$11,2,1),VLOOKUP(I8,Barem!$G$12:$H$21,2,1)))</f>
        <v>3</v>
      </c>
      <c r="L8" s="63">
        <v>2</v>
      </c>
      <c r="M8" s="129" t="s">
        <v>108</v>
      </c>
      <c r="N8" s="10">
        <f t="shared" si="4"/>
        <v>0.5</v>
      </c>
      <c r="O8" s="10">
        <f t="shared" si="0"/>
        <v>0.25</v>
      </c>
      <c r="P8" s="10">
        <f t="shared" si="0"/>
        <v>0.25</v>
      </c>
      <c r="Q8" s="47">
        <f t="shared" si="5"/>
        <v>5.4666666666666669E-2</v>
      </c>
      <c r="R8" s="25">
        <f>IF(D8&gt;21,VLOOKUP(D8,Barem!$T$1:$U$141,2,1),0)</f>
        <v>0</v>
      </c>
      <c r="S8" s="25">
        <f>IF(D8&lt;1.609,0,IF(B8="F",VLOOKUP(I8,Barem!$X$2:$Z$13,2,1),VLOOKUP(I8,Barem!$X$14:$Z$25,2,1)))</f>
        <v>0</v>
      </c>
      <c r="T8" s="25">
        <f>VLOOKUP(A8,Participanti!A:C,3,0)</f>
        <v>0</v>
      </c>
      <c r="U8" s="20">
        <f t="shared" si="6"/>
        <v>3.0571666666666668</v>
      </c>
      <c r="V8" s="76">
        <v>44574</v>
      </c>
      <c r="W8" s="101">
        <f>COUNTIFS(A:A,A8,C:C,C8)</f>
        <v>1</v>
      </c>
      <c r="X8" s="74" t="str">
        <f>VLOOKUP(A8,Data_echipe!A:R,18,0)</f>
        <v>Trail</v>
      </c>
      <c r="Z8" s="106">
        <f t="shared" si="7"/>
        <v>1</v>
      </c>
    </row>
    <row r="9" spans="1:26" x14ac:dyDescent="0.25">
      <c r="A9" s="61" t="s">
        <v>185</v>
      </c>
      <c r="B9" s="74" t="str">
        <f>VLOOKUP(A9,Participanti!A:B,2,0)</f>
        <v>F</v>
      </c>
      <c r="C9" s="98">
        <v>1</v>
      </c>
      <c r="D9" s="63">
        <v>3</v>
      </c>
      <c r="E9" s="64">
        <v>1.1793981481481482E-2</v>
      </c>
      <c r="F9" s="64">
        <v>1.3553240740740741E-2</v>
      </c>
      <c r="G9" s="90">
        <f t="shared" si="1"/>
        <v>1.2673611111111111E-2</v>
      </c>
      <c r="H9" s="65">
        <v>8</v>
      </c>
      <c r="I9" s="13">
        <f t="shared" si="2"/>
        <v>4.2245370370370371E-3</v>
      </c>
      <c r="J9" s="84">
        <f t="shared" si="3"/>
        <v>0.75</v>
      </c>
      <c r="K9" s="84">
        <f>IF(J9=0,0,IF(B9="F",VLOOKUP(I9,Barem!$G$2:$H$11,2,1),VLOOKUP(I9,Barem!$G$12:$H$21,2,1)))</f>
        <v>1.5</v>
      </c>
      <c r="L9" s="63">
        <v>3.5</v>
      </c>
      <c r="M9" s="62" t="str">
        <f>VLOOKUP(C9,Barem!L:R,7,0)</f>
        <v>V</v>
      </c>
      <c r="N9" s="10">
        <f t="shared" si="4"/>
        <v>0.25</v>
      </c>
      <c r="O9" s="10">
        <f t="shared" si="0"/>
        <v>0.5</v>
      </c>
      <c r="P9" s="10">
        <f t="shared" si="0"/>
        <v>0.25</v>
      </c>
      <c r="Q9" s="47">
        <f t="shared" si="5"/>
        <v>0</v>
      </c>
      <c r="R9" s="25">
        <f>IF(D9&gt;21,VLOOKUP(D9,Barem!$T$1:$U$141,2,1),0)</f>
        <v>0</v>
      </c>
      <c r="S9" s="25">
        <f>IF(D9&lt;1.609,0,IF(B9="F",VLOOKUP(I9,Barem!$X$2:$Z$13,2,1),VLOOKUP(I9,Barem!$X$14:$Z$25,2,1)))</f>
        <v>0</v>
      </c>
      <c r="T9" s="25">
        <f>VLOOKUP(A9,Participanti!A:C,3,0)</f>
        <v>0</v>
      </c>
      <c r="U9" s="20">
        <f t="shared" si="6"/>
        <v>1.8125</v>
      </c>
      <c r="V9" s="76">
        <v>44574</v>
      </c>
      <c r="W9" s="101">
        <f>COUNTIFS(A:A,A9,C:C,C9)</f>
        <v>1</v>
      </c>
      <c r="X9" s="74" t="str">
        <f>VLOOKUP(A9,Data_echipe!A:R,18,0)</f>
        <v>Road</v>
      </c>
      <c r="Z9" s="106">
        <f t="shared" si="7"/>
        <v>1</v>
      </c>
    </row>
    <row r="10" spans="1:26" x14ac:dyDescent="0.25">
      <c r="A10" s="61" t="s">
        <v>65</v>
      </c>
      <c r="B10" s="74" t="str">
        <f>VLOOKUP(A10,Participanti!A:B,2,0)</f>
        <v>F</v>
      </c>
      <c r="C10" s="98">
        <v>1</v>
      </c>
      <c r="D10" s="63">
        <v>8.23</v>
      </c>
      <c r="E10" s="64">
        <v>4.0648148148148149E-2</v>
      </c>
      <c r="F10" s="64">
        <v>6.3194444444444442E-2</v>
      </c>
      <c r="G10" s="90">
        <f t="shared" si="1"/>
        <v>5.1921296296296299E-2</v>
      </c>
      <c r="H10" s="65">
        <v>0</v>
      </c>
      <c r="I10" s="13">
        <f t="shared" si="2"/>
        <v>6.3087844831465727E-3</v>
      </c>
      <c r="J10" s="84">
        <f t="shared" si="3"/>
        <v>2.0575000000000001</v>
      </c>
      <c r="K10" s="84">
        <f>IF(J10=0,0,IF(B10="F",VLOOKUP(I10,Barem!$G$2:$H$11,2,1),VLOOKUP(I10,Barem!$G$12:$H$21,2,1)))</f>
        <v>0</v>
      </c>
      <c r="L10" s="63">
        <v>2.5</v>
      </c>
      <c r="M10" s="62" t="str">
        <f>VLOOKUP(C10,Barem!L:R,7,0)</f>
        <v>V</v>
      </c>
      <c r="N10" s="10">
        <f t="shared" si="4"/>
        <v>0.25</v>
      </c>
      <c r="O10" s="10">
        <f t="shared" si="0"/>
        <v>0.5</v>
      </c>
      <c r="P10" s="10">
        <f t="shared" si="0"/>
        <v>0.25</v>
      </c>
      <c r="Q10" s="47">
        <f t="shared" si="5"/>
        <v>0</v>
      </c>
      <c r="R10" s="25">
        <f>IF(D10&gt;21,VLOOKUP(D10,Barem!$T$1:$U$141,2,1),0)</f>
        <v>0</v>
      </c>
      <c r="S10" s="25">
        <f>IF(D10&lt;1.609,0,IF(B10="F",VLOOKUP(I10,Barem!$X$2:$Z$13,2,1),VLOOKUP(I10,Barem!$X$14:$Z$25,2,1)))</f>
        <v>0</v>
      </c>
      <c r="T10" s="25">
        <f>VLOOKUP(A10,Participanti!A:C,3,0)</f>
        <v>0.7</v>
      </c>
      <c r="U10" s="20">
        <f t="shared" si="6"/>
        <v>1.839375</v>
      </c>
      <c r="V10" s="76">
        <v>44575</v>
      </c>
      <c r="W10" s="101">
        <f>COUNTIFS(A:A,A10,C:C,C10)</f>
        <v>1</v>
      </c>
      <c r="X10" s="74" t="str">
        <f>VLOOKUP(A10,Data_echipe!A:R,18,0)</f>
        <v>Road</v>
      </c>
      <c r="Z10" s="106">
        <f t="shared" si="7"/>
        <v>0</v>
      </c>
    </row>
    <row r="11" spans="1:26" ht="13.2" customHeight="1" x14ac:dyDescent="0.25">
      <c r="A11" s="61" t="s">
        <v>255</v>
      </c>
      <c r="B11" s="74" t="str">
        <f>VLOOKUP(A11,Participanti!A:B,2,0)</f>
        <v>F</v>
      </c>
      <c r="C11" s="98">
        <v>1</v>
      </c>
      <c r="D11" s="63">
        <v>14.26</v>
      </c>
      <c r="E11" s="64">
        <v>5.0497685185185187E-2</v>
      </c>
      <c r="F11" s="64">
        <v>5.5636574074074074E-2</v>
      </c>
      <c r="G11" s="90">
        <f t="shared" si="1"/>
        <v>5.3067129629629631E-2</v>
      </c>
      <c r="H11" s="65">
        <v>94</v>
      </c>
      <c r="I11" s="13">
        <f t="shared" si="2"/>
        <v>3.7213975897355984E-3</v>
      </c>
      <c r="J11" s="84">
        <f t="shared" si="3"/>
        <v>3.5649999999999999</v>
      </c>
      <c r="K11" s="84">
        <f>IF(J11=0,0,IF(B11="F",VLOOKUP(I11,Barem!$G$2:$H$11,2,1),VLOOKUP(I11,Barem!$G$12:$H$21,2,1)))</f>
        <v>3</v>
      </c>
      <c r="L11" s="63">
        <v>3.5</v>
      </c>
      <c r="M11" s="62" t="str">
        <f>VLOOKUP(C11,Barem!L:R,7,0)</f>
        <v>V</v>
      </c>
      <c r="N11" s="10">
        <f t="shared" si="4"/>
        <v>0.25</v>
      </c>
      <c r="O11" s="10">
        <f t="shared" si="0"/>
        <v>0.5</v>
      </c>
      <c r="P11" s="10">
        <f t="shared" si="0"/>
        <v>0.25</v>
      </c>
      <c r="Q11" s="47">
        <f t="shared" si="5"/>
        <v>6.2666666666666662E-2</v>
      </c>
      <c r="R11" s="25">
        <f>IF(D11&gt;21,VLOOKUP(D11,Barem!$T$1:$U$141,2,1),0)</f>
        <v>0</v>
      </c>
      <c r="S11" s="25">
        <f>IF(D11&lt;1.609,0,IF(B11="F",VLOOKUP(I11,Barem!$X$2:$Z$13,2,1),VLOOKUP(I11,Barem!$X$14:$Z$25,2,1)))</f>
        <v>0</v>
      </c>
      <c r="T11" s="25">
        <f>VLOOKUP(A11,Participanti!A:C,3,0)</f>
        <v>0</v>
      </c>
      <c r="U11" s="20">
        <f t="shared" si="6"/>
        <v>3.3289166666666667</v>
      </c>
      <c r="V11" s="76">
        <v>44576</v>
      </c>
      <c r="W11" s="101">
        <f>COUNTIFS(A:A,A11,C:C,C11)</f>
        <v>1</v>
      </c>
      <c r="X11" s="74" t="str">
        <f>VLOOKUP(A11,Data_echipe!A:R,18,0)</f>
        <v>Trail</v>
      </c>
      <c r="Z11" s="106">
        <f t="shared" si="7"/>
        <v>1</v>
      </c>
    </row>
    <row r="12" spans="1:26" x14ac:dyDescent="0.25">
      <c r="A12" s="61" t="s">
        <v>116</v>
      </c>
      <c r="B12" s="74" t="str">
        <f>VLOOKUP(A12,Participanti!A:B,2,0)</f>
        <v>M</v>
      </c>
      <c r="C12" s="98">
        <v>1</v>
      </c>
      <c r="D12" s="63">
        <v>12.56</v>
      </c>
      <c r="E12" s="64">
        <v>5.1932870370370365E-2</v>
      </c>
      <c r="F12" s="64">
        <v>5.2037037037037041E-2</v>
      </c>
      <c r="G12" s="90">
        <f t="shared" si="1"/>
        <v>5.1984953703703707E-2</v>
      </c>
      <c r="H12" s="65">
        <v>27</v>
      </c>
      <c r="I12" s="13">
        <f t="shared" si="2"/>
        <v>4.1389294350082564E-3</v>
      </c>
      <c r="J12" s="84">
        <f t="shared" si="3"/>
        <v>2.9904761904761905</v>
      </c>
      <c r="K12" s="84">
        <f>IF(J12=0,0,IF(B12="F",VLOOKUP(I12,Barem!$G$2:$H$11,2,1),VLOOKUP(I12,Barem!$G$12:$H$21,2,1)))</f>
        <v>1.5</v>
      </c>
      <c r="L12" s="63">
        <v>3.5</v>
      </c>
      <c r="M12" s="129" t="s">
        <v>108</v>
      </c>
      <c r="N12" s="10">
        <f t="shared" si="4"/>
        <v>0.5</v>
      </c>
      <c r="O12" s="10">
        <f t="shared" si="0"/>
        <v>0.25</v>
      </c>
      <c r="P12" s="10">
        <f t="shared" si="0"/>
        <v>0.25</v>
      </c>
      <c r="Q12" s="47">
        <f t="shared" si="5"/>
        <v>0</v>
      </c>
      <c r="R12" s="25">
        <f>IF(D12&gt;21,VLOOKUP(D12,Barem!$T$1:$U$141,2,1),0)</f>
        <v>0</v>
      </c>
      <c r="S12" s="25">
        <f>IF(D12&lt;1.609,0,IF(B12="F",VLOOKUP(I12,Barem!$X$2:$Z$13,2,1),VLOOKUP(I12,Barem!$X$14:$Z$25,2,1)))</f>
        <v>0</v>
      </c>
      <c r="T12" s="25">
        <f>VLOOKUP(A12,Participanti!A:C,3,0)</f>
        <v>0</v>
      </c>
      <c r="U12" s="20">
        <f t="shared" si="6"/>
        <v>2.7452380952380953</v>
      </c>
      <c r="V12" s="76">
        <v>44576</v>
      </c>
      <c r="W12" s="101">
        <f>COUNTIFS(A:A,A12,C:C,C12)</f>
        <v>1</v>
      </c>
      <c r="X12" s="74" t="str">
        <f>VLOOKUP(A12,Data_echipe!A:R,18,0)</f>
        <v>Trail</v>
      </c>
      <c r="Z12" s="106">
        <f t="shared" si="7"/>
        <v>1</v>
      </c>
    </row>
    <row r="13" spans="1:26" x14ac:dyDescent="0.25">
      <c r="A13" s="61" t="s">
        <v>119</v>
      </c>
      <c r="B13" s="74" t="str">
        <f>VLOOKUP(A13,Participanti!A:B,2,0)</f>
        <v>F</v>
      </c>
      <c r="C13" s="98">
        <v>1</v>
      </c>
      <c r="D13" s="63">
        <v>7.08</v>
      </c>
      <c r="E13" s="64">
        <v>2.6527777777777779E-2</v>
      </c>
      <c r="F13" s="64">
        <v>2.6527777777777779E-2</v>
      </c>
      <c r="G13" s="90">
        <f t="shared" si="1"/>
        <v>2.6527777777777779E-2</v>
      </c>
      <c r="H13" s="65">
        <v>17</v>
      </c>
      <c r="I13" s="13">
        <f t="shared" si="2"/>
        <v>3.7468612680477088E-3</v>
      </c>
      <c r="J13" s="84">
        <f t="shared" si="3"/>
        <v>1.77</v>
      </c>
      <c r="K13" s="84">
        <f>IF(J13=0,0,IF(B13="F",VLOOKUP(I13,Barem!$G$2:$H$11,2,1),VLOOKUP(I13,Barem!$G$12:$H$21,2,1)))</f>
        <v>3</v>
      </c>
      <c r="L13" s="63">
        <v>2</v>
      </c>
      <c r="M13" s="62" t="str">
        <f>VLOOKUP(C13,Barem!L:R,7,0)</f>
        <v>V</v>
      </c>
      <c r="N13" s="10">
        <f t="shared" si="4"/>
        <v>0.25</v>
      </c>
      <c r="O13" s="10">
        <f t="shared" si="0"/>
        <v>0.5</v>
      </c>
      <c r="P13" s="10">
        <f t="shared" si="0"/>
        <v>0.25</v>
      </c>
      <c r="Q13" s="47">
        <f t="shared" si="5"/>
        <v>0</v>
      </c>
      <c r="R13" s="25">
        <f>IF(D13&gt;21,VLOOKUP(D13,Barem!$T$1:$U$141,2,1),0)</f>
        <v>0</v>
      </c>
      <c r="S13" s="25">
        <f>IF(D13&lt;1.609,0,IF(B13="F",VLOOKUP(I13,Barem!$X$2:$Z$13,2,1),VLOOKUP(I13,Barem!$X$14:$Z$25,2,1)))</f>
        <v>0</v>
      </c>
      <c r="T13" s="25">
        <f>VLOOKUP(A13,Participanti!A:C,3,0)</f>
        <v>0</v>
      </c>
      <c r="U13" s="20">
        <f t="shared" si="6"/>
        <v>2.4424999999999999</v>
      </c>
      <c r="V13" s="76">
        <v>44576</v>
      </c>
      <c r="W13" s="101">
        <f>COUNTIFS(A:A,A13,C:C,C13)</f>
        <v>1</v>
      </c>
      <c r="X13" s="74" t="str">
        <f>VLOOKUP(A13,Data_echipe!A:R,18,0)</f>
        <v>Trail</v>
      </c>
      <c r="Z13" s="106">
        <f t="shared" si="7"/>
        <v>1</v>
      </c>
    </row>
    <row r="14" spans="1:26" x14ac:dyDescent="0.25">
      <c r="A14" s="61" t="s">
        <v>110</v>
      </c>
      <c r="B14" s="74" t="str">
        <f>VLOOKUP(A14,Participanti!A:B,2,0)</f>
        <v>M</v>
      </c>
      <c r="C14" s="98">
        <v>1</v>
      </c>
      <c r="D14" s="63">
        <v>10.09</v>
      </c>
      <c r="E14" s="64">
        <v>3.3275462962962958E-2</v>
      </c>
      <c r="F14" s="64">
        <v>3.3888888888888885E-2</v>
      </c>
      <c r="G14" s="90">
        <f t="shared" si="1"/>
        <v>3.3582175925925925E-2</v>
      </c>
      <c r="H14" s="65">
        <v>21</v>
      </c>
      <c r="I14" s="13">
        <f t="shared" si="2"/>
        <v>3.3282632235803692E-3</v>
      </c>
      <c r="J14" s="84">
        <f t="shared" si="3"/>
        <v>2.4023809523809523</v>
      </c>
      <c r="K14" s="84">
        <f>IF(J14=0,0,IF(B14="F",VLOOKUP(I14,Barem!$G$2:$H$11,2,1),VLOOKUP(I14,Barem!$G$12:$H$21,2,1)))</f>
        <v>3</v>
      </c>
      <c r="L14" s="63">
        <v>4</v>
      </c>
      <c r="M14" s="62" t="str">
        <f>VLOOKUP(C14,Barem!L:R,7,0)</f>
        <v>V</v>
      </c>
      <c r="N14" s="10">
        <f t="shared" si="4"/>
        <v>0.25</v>
      </c>
      <c r="O14" s="10">
        <f t="shared" si="0"/>
        <v>0.5</v>
      </c>
      <c r="P14" s="10">
        <f t="shared" si="0"/>
        <v>0.25</v>
      </c>
      <c r="Q14" s="47">
        <f t="shared" si="5"/>
        <v>0</v>
      </c>
      <c r="R14" s="25">
        <f>IF(D14&gt;21,VLOOKUP(D14,Barem!$T$1:$U$141,2,1),0)</f>
        <v>0</v>
      </c>
      <c r="S14" s="25">
        <f>IF(D14&lt;1.609,0,IF(B14="F",VLOOKUP(I14,Barem!$X$2:$Z$13,2,1),VLOOKUP(I14,Barem!$X$14:$Z$25,2,1)))</f>
        <v>0</v>
      </c>
      <c r="T14" s="25">
        <f>VLOOKUP(A14,Participanti!A:C,3,0)</f>
        <v>0</v>
      </c>
      <c r="U14" s="20">
        <f t="shared" si="6"/>
        <v>3.100595238095238</v>
      </c>
      <c r="V14" s="76">
        <v>44575</v>
      </c>
      <c r="W14" s="101">
        <f>COUNTIFS(A:A,A14,C:C,C14)</f>
        <v>1</v>
      </c>
      <c r="X14" s="74" t="str">
        <f>VLOOKUP(A14,Data_echipe!A:R,18,0)</f>
        <v>Road</v>
      </c>
      <c r="Z14" s="106">
        <f t="shared" si="7"/>
        <v>1</v>
      </c>
    </row>
    <row r="15" spans="1:26" x14ac:dyDescent="0.25">
      <c r="A15" s="61" t="s">
        <v>49</v>
      </c>
      <c r="B15" s="74" t="str">
        <f>VLOOKUP(A15,Participanti!A:B,2,0)</f>
        <v>M</v>
      </c>
      <c r="C15" s="98">
        <v>1</v>
      </c>
      <c r="D15" s="63">
        <v>13.2</v>
      </c>
      <c r="E15" s="64">
        <v>5.8530092592592592E-2</v>
      </c>
      <c r="F15" s="64">
        <v>6.537037037037037E-2</v>
      </c>
      <c r="G15" s="90">
        <f t="shared" si="1"/>
        <v>6.1950231481481481E-2</v>
      </c>
      <c r="H15" s="65">
        <v>150</v>
      </c>
      <c r="I15" s="13">
        <f t="shared" si="2"/>
        <v>4.6931993546576881E-3</v>
      </c>
      <c r="J15" s="84">
        <f t="shared" si="3"/>
        <v>3.1428571428571423</v>
      </c>
      <c r="K15" s="84">
        <f>IF(J15=0,0,IF(B15="F",VLOOKUP(I15,Barem!$G$2:$H$11,2,1),VLOOKUP(I15,Barem!$G$12:$H$21,2,1)))</f>
        <v>1</v>
      </c>
      <c r="L15" s="63">
        <v>2.5</v>
      </c>
      <c r="M15" s="129" t="s">
        <v>108</v>
      </c>
      <c r="N15" s="10">
        <f t="shared" si="4"/>
        <v>0.5</v>
      </c>
      <c r="O15" s="10">
        <f t="shared" si="0"/>
        <v>0.25</v>
      </c>
      <c r="P15" s="10">
        <f t="shared" si="0"/>
        <v>0.25</v>
      </c>
      <c r="Q15" s="47">
        <f t="shared" si="5"/>
        <v>0.1</v>
      </c>
      <c r="R15" s="25">
        <f>IF(D15&gt;21,VLOOKUP(D15,Barem!$T$1:$U$141,2,1),0)</f>
        <v>0</v>
      </c>
      <c r="S15" s="25">
        <f>IF(D15&lt;1.609,0,IF(B15="F",VLOOKUP(I15,Barem!$X$2:$Z$13,2,1),VLOOKUP(I15,Barem!$X$14:$Z$25,2,1)))</f>
        <v>0</v>
      </c>
      <c r="T15" s="25">
        <f>VLOOKUP(A15,Participanti!A:C,3,0)</f>
        <v>0.4</v>
      </c>
      <c r="U15" s="20">
        <f t="shared" si="6"/>
        <v>2.9464285714285712</v>
      </c>
      <c r="V15" s="76">
        <v>44577</v>
      </c>
      <c r="W15" s="101">
        <f>COUNTIFS(A:A,A15,C:C,C15)</f>
        <v>1</v>
      </c>
      <c r="X15" s="74" t="str">
        <f>VLOOKUP(A15,Data_echipe!A:R,18,0)</f>
        <v>Road</v>
      </c>
      <c r="Z15" s="106">
        <f t="shared" si="7"/>
        <v>1</v>
      </c>
    </row>
    <row r="16" spans="1:26" x14ac:dyDescent="0.25">
      <c r="A16" s="61" t="s">
        <v>66</v>
      </c>
      <c r="B16" s="74" t="str">
        <f>VLOOKUP(A16,Participanti!A:B,2,0)</f>
        <v>M</v>
      </c>
      <c r="C16" s="98">
        <v>1</v>
      </c>
      <c r="D16" s="63">
        <v>23.01</v>
      </c>
      <c r="E16" s="64">
        <v>8.5636574074074087E-2</v>
      </c>
      <c r="F16" s="64">
        <v>9.5150462962962964E-2</v>
      </c>
      <c r="G16" s="90">
        <f t="shared" si="1"/>
        <v>9.0393518518518526E-2</v>
      </c>
      <c r="H16" s="65">
        <v>27</v>
      </c>
      <c r="I16" s="13">
        <f t="shared" si="2"/>
        <v>3.9284449595184063E-3</v>
      </c>
      <c r="J16" s="84">
        <f t="shared" si="3"/>
        <v>5</v>
      </c>
      <c r="K16" s="84">
        <f>IF(J16=0,0,IF(B16="F",VLOOKUP(I16,Barem!$G$2:$H$11,2,1),VLOOKUP(I16,Barem!$G$12:$H$21,2,1)))</f>
        <v>1.5</v>
      </c>
      <c r="L16" s="63">
        <v>1.5</v>
      </c>
      <c r="M16" s="129" t="s">
        <v>108</v>
      </c>
      <c r="N16" s="10">
        <f t="shared" si="4"/>
        <v>0.5</v>
      </c>
      <c r="O16" s="10">
        <f t="shared" si="0"/>
        <v>0.25</v>
      </c>
      <c r="P16" s="10">
        <f t="shared" si="0"/>
        <v>0.25</v>
      </c>
      <c r="Q16" s="47">
        <f t="shared" si="5"/>
        <v>0</v>
      </c>
      <c r="R16" s="25">
        <f>IF(D16&gt;21,VLOOKUP(D16,Barem!$T$1:$U$141,2,1),0)</f>
        <v>0.1</v>
      </c>
      <c r="S16" s="25">
        <f>IF(D16&lt;1.609,0,IF(B16="F",VLOOKUP(I16,Barem!$X$2:$Z$13,2,1),VLOOKUP(I16,Barem!$X$14:$Z$25,2,1)))</f>
        <v>0</v>
      </c>
      <c r="T16" s="25">
        <f>VLOOKUP(A16,Participanti!A:C,3,0)</f>
        <v>0</v>
      </c>
      <c r="U16" s="20">
        <f t="shared" si="6"/>
        <v>3.35</v>
      </c>
      <c r="V16" s="76">
        <v>44577</v>
      </c>
      <c r="W16" s="101">
        <f>COUNTIFS(A:A,A16,C:C,C16)</f>
        <v>1</v>
      </c>
      <c r="X16" s="74" t="str">
        <f>VLOOKUP(A16,Data_echipe!A:R,18,0)</f>
        <v>Road</v>
      </c>
      <c r="Z16" s="106">
        <f t="shared" si="7"/>
        <v>1</v>
      </c>
    </row>
    <row r="17" spans="1:26" x14ac:dyDescent="0.25">
      <c r="A17" s="61" t="s">
        <v>256</v>
      </c>
      <c r="B17" s="74" t="str">
        <f>VLOOKUP(A17,Participanti!A:B,2,0)</f>
        <v>M</v>
      </c>
      <c r="C17" s="98">
        <v>1</v>
      </c>
      <c r="D17" s="63">
        <v>10.52</v>
      </c>
      <c r="E17" s="64">
        <v>4.4097222222222225E-2</v>
      </c>
      <c r="F17" s="64">
        <v>4.4282407407407409E-2</v>
      </c>
      <c r="G17" s="90">
        <f t="shared" si="1"/>
        <v>4.4189814814814821E-2</v>
      </c>
      <c r="H17" s="65">
        <v>4</v>
      </c>
      <c r="I17" s="13">
        <f t="shared" si="2"/>
        <v>4.2005527390508385E-3</v>
      </c>
      <c r="J17" s="84">
        <f t="shared" si="3"/>
        <v>2.5047619047619047</v>
      </c>
      <c r="K17" s="84">
        <f>IF(J17=0,0,IF(B17="F",VLOOKUP(I17,Barem!$G$2:$H$11,2,1),VLOOKUP(I17,Barem!$G$12:$H$21,2,1)))</f>
        <v>1</v>
      </c>
      <c r="L17" s="63">
        <v>1.5</v>
      </c>
      <c r="M17" s="62" t="str">
        <f>VLOOKUP(C17,Barem!L:R,7,0)</f>
        <v>V</v>
      </c>
      <c r="N17" s="10">
        <f t="shared" si="4"/>
        <v>0.25</v>
      </c>
      <c r="O17" s="10">
        <f t="shared" si="0"/>
        <v>0.5</v>
      </c>
      <c r="P17" s="10">
        <f t="shared" si="0"/>
        <v>0.25</v>
      </c>
      <c r="Q17" s="47">
        <f t="shared" si="5"/>
        <v>0</v>
      </c>
      <c r="R17" s="25">
        <f>IF(D17&gt;21,VLOOKUP(D17,Barem!$T$1:$U$141,2,1),0)</f>
        <v>0</v>
      </c>
      <c r="S17" s="25">
        <f>IF(D17&lt;1.609,0,IF(B17="F",VLOOKUP(I17,Barem!$X$2:$Z$13,2,1),VLOOKUP(I17,Barem!$X$14:$Z$25,2,1)))</f>
        <v>0</v>
      </c>
      <c r="T17" s="25">
        <f>VLOOKUP(A17,Participanti!A:C,3,0)</f>
        <v>0</v>
      </c>
      <c r="U17" s="20">
        <f t="shared" si="6"/>
        <v>1.5011904761904762</v>
      </c>
      <c r="V17" s="76">
        <v>44577</v>
      </c>
      <c r="W17" s="101">
        <f>COUNTIFS(A:A,A17,C:C,C17)</f>
        <v>1</v>
      </c>
      <c r="X17" s="74" t="str">
        <f>VLOOKUP(A17,Data_echipe!A:R,18,0)</f>
        <v>Road</v>
      </c>
      <c r="Z17" s="106">
        <f t="shared" si="7"/>
        <v>1</v>
      </c>
    </row>
    <row r="18" spans="1:26" x14ac:dyDescent="0.25">
      <c r="A18" s="61" t="s">
        <v>141</v>
      </c>
      <c r="B18" s="74" t="str">
        <f>VLOOKUP(A18,Participanti!A:B,2,0)</f>
        <v>F</v>
      </c>
      <c r="C18" s="98">
        <v>1</v>
      </c>
      <c r="D18" s="63">
        <v>15.31</v>
      </c>
      <c r="E18" s="64">
        <v>6.3796296296296295E-2</v>
      </c>
      <c r="F18" s="64">
        <v>6.6620370370370371E-2</v>
      </c>
      <c r="G18" s="90">
        <f t="shared" si="1"/>
        <v>6.520833333333334E-2</v>
      </c>
      <c r="H18" s="65">
        <v>447</v>
      </c>
      <c r="I18" s="13">
        <f t="shared" si="2"/>
        <v>4.259198780753321E-3</v>
      </c>
      <c r="J18" s="84">
        <f t="shared" si="3"/>
        <v>3.8275000000000001</v>
      </c>
      <c r="K18" s="84">
        <f>IF(J18=0,0,IF(B18="F",VLOOKUP(I18,Barem!$G$2:$H$11,2,1),VLOOKUP(I18,Barem!$G$12:$H$21,2,1)))</f>
        <v>1.5</v>
      </c>
      <c r="L18" s="63">
        <v>3</v>
      </c>
      <c r="M18" s="62" t="str">
        <f>VLOOKUP(C18,Barem!L:R,7,0)</f>
        <v>V</v>
      </c>
      <c r="N18" s="10">
        <f t="shared" si="4"/>
        <v>0.25</v>
      </c>
      <c r="O18" s="10">
        <f t="shared" si="4"/>
        <v>0.5</v>
      </c>
      <c r="P18" s="10">
        <f t="shared" si="4"/>
        <v>0.25</v>
      </c>
      <c r="Q18" s="47">
        <f t="shared" si="5"/>
        <v>0.29799999999999999</v>
      </c>
      <c r="R18" s="25">
        <f>IF(D18&gt;21,VLOOKUP(D18,Barem!$T$1:$U$141,2,1),0)</f>
        <v>0</v>
      </c>
      <c r="S18" s="25">
        <f>IF(D18&lt;1.609,0,IF(B18="F",VLOOKUP(I18,Barem!$X$2:$Z$13,2,1),VLOOKUP(I18,Barem!$X$14:$Z$25,2,1)))</f>
        <v>0</v>
      </c>
      <c r="T18" s="25">
        <f>VLOOKUP(A18,Participanti!A:C,3,0)</f>
        <v>0</v>
      </c>
      <c r="U18" s="20">
        <f t="shared" si="6"/>
        <v>2.7548750000000002</v>
      </c>
      <c r="V18" s="76">
        <v>44577</v>
      </c>
      <c r="W18" s="101">
        <f>COUNTIFS(A:A,A18,C:C,C18)</f>
        <v>1</v>
      </c>
      <c r="X18" s="74" t="str">
        <f>VLOOKUP(A18,Data_echipe!A:R,18,0)</f>
        <v>Trail</v>
      </c>
      <c r="Z18" s="106">
        <f t="shared" si="7"/>
        <v>1</v>
      </c>
    </row>
    <row r="19" spans="1:26" x14ac:dyDescent="0.25">
      <c r="A19" s="61" t="s">
        <v>52</v>
      </c>
      <c r="B19" s="74" t="str">
        <f>VLOOKUP(A19,Participanti!A:B,2,0)</f>
        <v>M</v>
      </c>
      <c r="C19" s="98">
        <v>1</v>
      </c>
      <c r="D19" s="63">
        <v>27.19</v>
      </c>
      <c r="E19" s="64">
        <v>9.8518518518518519E-2</v>
      </c>
      <c r="F19" s="64">
        <v>9.8773148148148152E-2</v>
      </c>
      <c r="G19" s="90">
        <f t="shared" si="1"/>
        <v>9.8645833333333335E-2</v>
      </c>
      <c r="H19" s="65">
        <v>670</v>
      </c>
      <c r="I19" s="13">
        <f t="shared" si="2"/>
        <v>3.6280188794900084E-3</v>
      </c>
      <c r="J19" s="84">
        <f t="shared" si="3"/>
        <v>5</v>
      </c>
      <c r="K19" s="84">
        <f>IF(J19=0,0,IF(B19="F",VLOOKUP(I19,Barem!$G$2:$H$11,2,1),VLOOKUP(I19,Barem!$G$12:$H$21,2,1)))</f>
        <v>2.5</v>
      </c>
      <c r="L19" s="63">
        <v>4</v>
      </c>
      <c r="M19" s="129" t="s">
        <v>108</v>
      </c>
      <c r="N19" s="10">
        <f t="shared" si="4"/>
        <v>0.5</v>
      </c>
      <c r="O19" s="10">
        <f t="shared" si="4"/>
        <v>0.25</v>
      </c>
      <c r="P19" s="10">
        <f t="shared" si="4"/>
        <v>0.25</v>
      </c>
      <c r="Q19" s="47">
        <f t="shared" si="5"/>
        <v>0.44666666666666666</v>
      </c>
      <c r="R19" s="25">
        <f>IF(D19&gt;21,VLOOKUP(D19,Barem!$T$1:$U$141,2,1),0)</f>
        <v>0.3</v>
      </c>
      <c r="S19" s="25">
        <f>IF(D19&lt;1.609,0,IF(B19="F",VLOOKUP(I19,Barem!$X$2:$Z$13,2,1),VLOOKUP(I19,Barem!$X$14:$Z$25,2,1)))</f>
        <v>0</v>
      </c>
      <c r="T19" s="25">
        <f>VLOOKUP(A19,Participanti!A:C,3,0)</f>
        <v>0</v>
      </c>
      <c r="U19" s="20">
        <f t="shared" si="6"/>
        <v>4.8716666666666661</v>
      </c>
      <c r="V19" s="76">
        <v>44577</v>
      </c>
      <c r="W19" s="101">
        <f>COUNTIFS(A:A,A19,C:C,C19)</f>
        <v>1</v>
      </c>
      <c r="X19" s="74" t="str">
        <f>VLOOKUP(A19,Data_echipe!A:R,18,0)</f>
        <v>Trail</v>
      </c>
      <c r="Z19" s="106">
        <f t="shared" si="7"/>
        <v>1</v>
      </c>
    </row>
    <row r="20" spans="1:26" x14ac:dyDescent="0.25">
      <c r="A20" s="61" t="s">
        <v>60</v>
      </c>
      <c r="B20" s="74" t="str">
        <f>VLOOKUP(A20,Participanti!A:B,2,0)</f>
        <v>M</v>
      </c>
      <c r="C20" s="98">
        <v>1</v>
      </c>
      <c r="D20" s="63">
        <v>12.01</v>
      </c>
      <c r="E20" s="64">
        <v>4.2835648148148144E-2</v>
      </c>
      <c r="F20" s="64">
        <v>4.3738425925925924E-2</v>
      </c>
      <c r="G20" s="90">
        <f t="shared" si="1"/>
        <v>4.3287037037037034E-2</v>
      </c>
      <c r="H20" s="65">
        <v>92</v>
      </c>
      <c r="I20" s="13">
        <f t="shared" si="2"/>
        <v>3.6042495451321429E-3</v>
      </c>
      <c r="J20" s="84">
        <f t="shared" si="3"/>
        <v>2.8595238095238091</v>
      </c>
      <c r="K20" s="84">
        <f>IF(J20=0,0,IF(B20="F",VLOOKUP(I20,Barem!$G$2:$H$11,2,1),VLOOKUP(I20,Barem!$G$12:$H$21,2,1)))</f>
        <v>2.5</v>
      </c>
      <c r="L20" s="63">
        <v>3.5</v>
      </c>
      <c r="M20" s="129" t="s">
        <v>108</v>
      </c>
      <c r="N20" s="10">
        <f t="shared" si="4"/>
        <v>0.5</v>
      </c>
      <c r="O20" s="10">
        <f t="shared" si="4"/>
        <v>0.25</v>
      </c>
      <c r="P20" s="10">
        <f t="shared" si="4"/>
        <v>0.25</v>
      </c>
      <c r="Q20" s="47">
        <f t="shared" si="5"/>
        <v>6.133333333333333E-2</v>
      </c>
      <c r="R20" s="25">
        <f>IF(D20&gt;21,VLOOKUP(D20,Barem!$T$1:$U$141,2,1),0)</f>
        <v>0</v>
      </c>
      <c r="S20" s="25">
        <f>IF(D20&lt;1.609,0,IF(B20="F",VLOOKUP(I20,Barem!$X$2:$Z$13,2,1),VLOOKUP(I20,Barem!$X$14:$Z$25,2,1)))</f>
        <v>0</v>
      </c>
      <c r="T20" s="25">
        <f>VLOOKUP(A20,Participanti!A:C,3,0)</f>
        <v>0</v>
      </c>
      <c r="U20" s="20">
        <f t="shared" si="6"/>
        <v>2.9910952380952378</v>
      </c>
      <c r="V20" s="76">
        <v>44577</v>
      </c>
      <c r="W20" s="101">
        <f>COUNTIFS(A:A,A20,C:C,C20)</f>
        <v>1</v>
      </c>
      <c r="X20" s="74" t="str">
        <f>VLOOKUP(A20,Data_echipe!A:R,18,0)</f>
        <v>Road</v>
      </c>
      <c r="Z20" s="106">
        <f t="shared" si="7"/>
        <v>1</v>
      </c>
    </row>
    <row r="21" spans="1:26" x14ac:dyDescent="0.25">
      <c r="A21" s="61" t="s">
        <v>102</v>
      </c>
      <c r="B21" s="74" t="str">
        <f>VLOOKUP(A21,Participanti!A:B,2,0)</f>
        <v>F</v>
      </c>
      <c r="C21" s="98">
        <v>1</v>
      </c>
      <c r="D21" s="63">
        <v>3</v>
      </c>
      <c r="E21" s="64">
        <v>1.1666666666666667E-2</v>
      </c>
      <c r="F21" s="64">
        <v>1.1886574074074075E-2</v>
      </c>
      <c r="G21" s="90">
        <f t="shared" si="1"/>
        <v>1.1776620370370371E-2</v>
      </c>
      <c r="H21" s="65">
        <v>0</v>
      </c>
      <c r="I21" s="13">
        <f t="shared" si="2"/>
        <v>3.9255401234567907E-3</v>
      </c>
      <c r="J21" s="84">
        <f t="shared" si="3"/>
        <v>0.75</v>
      </c>
      <c r="K21" s="84">
        <f>IF(J21=0,0,IF(B21="F",VLOOKUP(I21,Barem!$G$2:$H$11,2,1),VLOOKUP(I21,Barem!$G$12:$H$21,2,1)))</f>
        <v>2.5</v>
      </c>
      <c r="L21" s="63">
        <v>3.5</v>
      </c>
      <c r="M21" s="62" t="str">
        <f>VLOOKUP(C21,Barem!L:R,7,0)</f>
        <v>V</v>
      </c>
      <c r="N21" s="10">
        <f t="shared" si="4"/>
        <v>0.25</v>
      </c>
      <c r="O21" s="10">
        <f t="shared" si="4"/>
        <v>0.5</v>
      </c>
      <c r="P21" s="10">
        <f t="shared" si="4"/>
        <v>0.25</v>
      </c>
      <c r="Q21" s="47">
        <f t="shared" si="5"/>
        <v>0</v>
      </c>
      <c r="R21" s="25">
        <f>IF(D21&gt;21,VLOOKUP(D21,Barem!$T$1:$U$141,2,1),0)</f>
        <v>0</v>
      </c>
      <c r="S21" s="25">
        <f>IF(D21&lt;1.609,0,IF(B21="F",VLOOKUP(I21,Barem!$X$2:$Z$13,2,1),VLOOKUP(I21,Barem!$X$14:$Z$25,2,1)))</f>
        <v>0</v>
      </c>
      <c r="T21" s="25">
        <f>VLOOKUP(A21,Participanti!A:C,3,0)</f>
        <v>0</v>
      </c>
      <c r="U21" s="20">
        <f t="shared" si="6"/>
        <v>2.3125</v>
      </c>
      <c r="V21" s="76">
        <v>44577</v>
      </c>
      <c r="W21" s="101">
        <f>COUNTIFS(A:A,A21,C:C,C21)</f>
        <v>1</v>
      </c>
      <c r="X21" s="74" t="str">
        <f>VLOOKUP(A21,Data_echipe!A:R,18,0)</f>
        <v>Trail</v>
      </c>
      <c r="Z21" s="106">
        <f t="shared" si="7"/>
        <v>1</v>
      </c>
    </row>
    <row r="22" spans="1:26" x14ac:dyDescent="0.25">
      <c r="A22" s="61" t="s">
        <v>57</v>
      </c>
      <c r="B22" s="74" t="str">
        <f>VLOOKUP(A22,Participanti!A:B,2,0)</f>
        <v>M</v>
      </c>
      <c r="C22" s="98">
        <v>1</v>
      </c>
      <c r="D22" s="63">
        <v>10.57</v>
      </c>
      <c r="E22" s="64">
        <v>5.1215277777777783E-2</v>
      </c>
      <c r="F22" s="64">
        <v>5.5682870370370369E-2</v>
      </c>
      <c r="G22" s="90">
        <f t="shared" si="1"/>
        <v>5.3449074074074079E-2</v>
      </c>
      <c r="H22" s="65">
        <v>109</v>
      </c>
      <c r="I22" s="13">
        <f t="shared" si="2"/>
        <v>5.0566768282000072E-3</v>
      </c>
      <c r="J22" s="84">
        <f t="shared" si="3"/>
        <v>2.5166666666666666</v>
      </c>
      <c r="K22" s="84">
        <f>IF(J22=0,0,IF(B22="F",VLOOKUP(I22,Barem!$G$2:$H$11,2,1),VLOOKUP(I22,Barem!$G$12:$H$21,2,1)))</f>
        <v>1</v>
      </c>
      <c r="L22" s="63">
        <v>3.5</v>
      </c>
      <c r="M22" s="129" t="s">
        <v>108</v>
      </c>
      <c r="N22" s="10">
        <f t="shared" si="4"/>
        <v>0.5</v>
      </c>
      <c r="O22" s="10">
        <f t="shared" si="4"/>
        <v>0.25</v>
      </c>
      <c r="P22" s="10">
        <f t="shared" si="4"/>
        <v>0.25</v>
      </c>
      <c r="Q22" s="47">
        <f t="shared" si="5"/>
        <v>7.2666666666666671E-2</v>
      </c>
      <c r="R22" s="25">
        <f>IF(D22&gt;21,VLOOKUP(D22,Barem!$T$1:$U$141,2,1),0)</f>
        <v>0</v>
      </c>
      <c r="S22" s="25">
        <f>IF(D22&lt;1.609,0,IF(B22="F",VLOOKUP(I22,Barem!$X$2:$Z$13,2,1),VLOOKUP(I22,Barem!$X$14:$Z$25,2,1)))</f>
        <v>0</v>
      </c>
      <c r="T22" s="25">
        <f>VLOOKUP(A22,Participanti!A:C,3,0)</f>
        <v>0</v>
      </c>
      <c r="U22" s="20">
        <f t="shared" si="6"/>
        <v>2.456</v>
      </c>
      <c r="V22" s="76">
        <v>44577</v>
      </c>
      <c r="W22" s="101">
        <f>COUNTIFS(A:A,A22,C:C,C22)</f>
        <v>1</v>
      </c>
      <c r="X22" s="74" t="str">
        <f>VLOOKUP(A22,Data_echipe!A:R,18,0)</f>
        <v>Trail</v>
      </c>
      <c r="Z22" s="106">
        <f t="shared" si="7"/>
        <v>1</v>
      </c>
    </row>
    <row r="23" spans="1:26" x14ac:dyDescent="0.25">
      <c r="A23" s="61" t="s">
        <v>215</v>
      </c>
      <c r="B23" s="74" t="str">
        <f>VLOOKUP(A23,Participanti!A:B,2,0)</f>
        <v>M</v>
      </c>
      <c r="C23" s="98">
        <v>1</v>
      </c>
      <c r="D23" s="63">
        <v>10.47</v>
      </c>
      <c r="E23" s="64">
        <v>3.4849537037037033E-2</v>
      </c>
      <c r="F23" s="64">
        <v>3.4849537037037033E-2</v>
      </c>
      <c r="G23" s="90">
        <f t="shared" si="1"/>
        <v>3.4849537037037033E-2</v>
      </c>
      <c r="H23" s="65">
        <v>186</v>
      </c>
      <c r="I23" s="13">
        <f t="shared" si="2"/>
        <v>3.3285135660971374E-3</v>
      </c>
      <c r="J23" s="84">
        <f t="shared" si="3"/>
        <v>2.4928571428571429</v>
      </c>
      <c r="K23" s="84">
        <f>IF(J23=0,0,IF(B23="F",VLOOKUP(I23,Barem!$G$2:$H$11,2,1),VLOOKUP(I23,Barem!$G$12:$H$21,2,1)))</f>
        <v>3</v>
      </c>
      <c r="L23" s="63">
        <v>2</v>
      </c>
      <c r="M23" s="62" t="str">
        <f>VLOOKUP(C23,Barem!L:R,7,0)</f>
        <v>V</v>
      </c>
      <c r="N23" s="10">
        <f t="shared" si="4"/>
        <v>0.25</v>
      </c>
      <c r="O23" s="10">
        <f t="shared" si="4"/>
        <v>0.5</v>
      </c>
      <c r="P23" s="10">
        <f t="shared" si="4"/>
        <v>0.25</v>
      </c>
      <c r="Q23" s="47">
        <f t="shared" si="5"/>
        <v>0.124</v>
      </c>
      <c r="R23" s="25">
        <f>IF(D23&gt;21,VLOOKUP(D23,Barem!$T$1:$U$141,2,1),0)</f>
        <v>0</v>
      </c>
      <c r="S23" s="25">
        <f>IF(D23&lt;1.609,0,IF(B23="F",VLOOKUP(I23,Barem!$X$2:$Z$13,2,1),VLOOKUP(I23,Barem!$X$14:$Z$25,2,1)))</f>
        <v>0</v>
      </c>
      <c r="T23" s="25">
        <f>VLOOKUP(A23,Participanti!A:C,3,0)</f>
        <v>0</v>
      </c>
      <c r="U23" s="20">
        <f t="shared" si="6"/>
        <v>2.7472142857142861</v>
      </c>
      <c r="V23" s="76">
        <v>44576</v>
      </c>
      <c r="W23" s="101">
        <f>COUNTIFS(A:A,A23,C:C,C23)</f>
        <v>1</v>
      </c>
      <c r="X23" s="74" t="str">
        <f>VLOOKUP(A23,Data_echipe!A:R,18,0)</f>
        <v>Trail</v>
      </c>
      <c r="Z23" s="106">
        <f t="shared" si="7"/>
        <v>1</v>
      </c>
    </row>
    <row r="24" spans="1:26" x14ac:dyDescent="0.25">
      <c r="A24" s="61" t="s">
        <v>50</v>
      </c>
      <c r="B24" s="74" t="str">
        <f>VLOOKUP(A24,Participanti!A:B,2,0)</f>
        <v>M</v>
      </c>
      <c r="C24" s="98">
        <v>1</v>
      </c>
      <c r="D24" s="63">
        <v>44.18</v>
      </c>
      <c r="E24" s="64">
        <v>0.25946759259259261</v>
      </c>
      <c r="F24" s="64">
        <v>0.2953587962962963</v>
      </c>
      <c r="G24" s="90">
        <f t="shared" si="1"/>
        <v>0.27741319444444446</v>
      </c>
      <c r="H24" s="65">
        <v>1951</v>
      </c>
      <c r="I24" s="13">
        <f t="shared" si="2"/>
        <v>6.2791578642925408E-3</v>
      </c>
      <c r="J24" s="84">
        <f t="shared" si="3"/>
        <v>5</v>
      </c>
      <c r="K24" s="84">
        <f>IF(J24=0,0,IF(B24="F",VLOOKUP(I24,Barem!$G$2:$H$11,2,1),VLOOKUP(I24,Barem!$G$12:$H$21,2,1)))</f>
        <v>0</v>
      </c>
      <c r="L24" s="63">
        <v>4.5</v>
      </c>
      <c r="M24" s="129" t="s">
        <v>108</v>
      </c>
      <c r="N24" s="10">
        <f t="shared" si="4"/>
        <v>0.5</v>
      </c>
      <c r="O24" s="10">
        <f t="shared" si="4"/>
        <v>0.25</v>
      </c>
      <c r="P24" s="10">
        <f t="shared" si="4"/>
        <v>0.25</v>
      </c>
      <c r="Q24" s="47">
        <f t="shared" si="5"/>
        <v>1.3006666666666666</v>
      </c>
      <c r="R24" s="25">
        <f>IF(D24&gt;21,VLOOKUP(D24,Barem!$T$1:$U$141,2,1),0)</f>
        <v>1.1000000000000001</v>
      </c>
      <c r="S24" s="25">
        <f>IF(D24&lt;1.609,0,IF(B24="F",VLOOKUP(I24,Barem!$X$2:$Z$13,2,1),VLOOKUP(I24,Barem!$X$14:$Z$25,2,1)))</f>
        <v>0</v>
      </c>
      <c r="T24" s="25">
        <f>VLOOKUP(A24,Participanti!A:C,3,0)</f>
        <v>0</v>
      </c>
      <c r="U24" s="20">
        <f t="shared" si="6"/>
        <v>6.0256666666666661</v>
      </c>
      <c r="V24" s="76">
        <v>44577</v>
      </c>
      <c r="W24" s="101">
        <f>COUNTIFS(A:A,A24,C:C,C24)</f>
        <v>1</v>
      </c>
      <c r="X24" s="74" t="str">
        <f>VLOOKUP(A24,Data_echipe!A:R,18,0)</f>
        <v>Trail</v>
      </c>
      <c r="Z24" s="106">
        <f t="shared" si="7"/>
        <v>0</v>
      </c>
    </row>
    <row r="25" spans="1:26" x14ac:dyDescent="0.25">
      <c r="A25" s="61" t="s">
        <v>257</v>
      </c>
      <c r="B25" s="74" t="str">
        <f>VLOOKUP(A25,Participanti!A:B,2,0)</f>
        <v>M</v>
      </c>
      <c r="C25" s="98">
        <v>1</v>
      </c>
      <c r="D25" s="63">
        <v>21.21</v>
      </c>
      <c r="E25" s="64">
        <v>9.2800925925925926E-2</v>
      </c>
      <c r="F25" s="64">
        <v>9.7187499999999996E-2</v>
      </c>
      <c r="G25" s="90">
        <f t="shared" si="1"/>
        <v>9.4994212962962954E-2</v>
      </c>
      <c r="H25" s="65">
        <v>540</v>
      </c>
      <c r="I25" s="13">
        <f t="shared" si="2"/>
        <v>4.4787464857596864E-3</v>
      </c>
      <c r="J25" s="84">
        <f t="shared" si="3"/>
        <v>5</v>
      </c>
      <c r="K25" s="84">
        <f>IF(J25=0,0,IF(B25="F",VLOOKUP(I25,Barem!$G$2:$H$11,2,1),VLOOKUP(I25,Barem!$G$12:$H$21,2,1)))</f>
        <v>1</v>
      </c>
      <c r="L25" s="63">
        <v>2.5</v>
      </c>
      <c r="M25" s="129" t="s">
        <v>108</v>
      </c>
      <c r="N25" s="10">
        <f t="shared" si="4"/>
        <v>0.5</v>
      </c>
      <c r="O25" s="10">
        <f t="shared" si="4"/>
        <v>0.25</v>
      </c>
      <c r="P25" s="10">
        <f t="shared" si="4"/>
        <v>0.25</v>
      </c>
      <c r="Q25" s="47">
        <f t="shared" si="5"/>
        <v>0.36</v>
      </c>
      <c r="R25" s="25">
        <f>IF(D25&gt;21,VLOOKUP(D25,Barem!$T$1:$U$141,2,1),0)</f>
        <v>0</v>
      </c>
      <c r="S25" s="25">
        <f>IF(D25&lt;1.609,0,IF(B25="F",VLOOKUP(I25,Barem!$X$2:$Z$13,2,1),VLOOKUP(I25,Barem!$X$14:$Z$25,2,1)))</f>
        <v>0</v>
      </c>
      <c r="T25" s="25">
        <f>VLOOKUP(A25,Participanti!A:C,3,0)</f>
        <v>0</v>
      </c>
      <c r="U25" s="20">
        <f t="shared" si="6"/>
        <v>3.7349999999999999</v>
      </c>
      <c r="V25" s="76">
        <v>44576</v>
      </c>
      <c r="W25" s="101">
        <f>COUNTIFS(A:A,A25,C:C,C25)</f>
        <v>1</v>
      </c>
      <c r="X25" s="74" t="str">
        <f>VLOOKUP(A25,Data_echipe!A:R,18,0)</f>
        <v>Road</v>
      </c>
      <c r="Z25" s="106">
        <f t="shared" si="7"/>
        <v>1</v>
      </c>
    </row>
    <row r="26" spans="1:26" x14ac:dyDescent="0.25">
      <c r="A26" s="61" t="s">
        <v>184</v>
      </c>
      <c r="B26" s="74" t="str">
        <f>VLOOKUP(A26,Participanti!A:B,2,0)</f>
        <v>F</v>
      </c>
      <c r="C26" s="98">
        <v>1</v>
      </c>
      <c r="D26" s="63">
        <v>7.01</v>
      </c>
      <c r="E26" s="64">
        <v>3.2499999999999994E-2</v>
      </c>
      <c r="F26" s="64">
        <v>3.2534722222222222E-2</v>
      </c>
      <c r="G26" s="90">
        <f t="shared" si="1"/>
        <v>3.2517361111111108E-2</v>
      </c>
      <c r="H26" s="65">
        <v>6</v>
      </c>
      <c r="I26" s="13">
        <f t="shared" si="2"/>
        <v>4.6387105721984465E-3</v>
      </c>
      <c r="J26" s="84">
        <f t="shared" si="3"/>
        <v>1.7524999999999999</v>
      </c>
      <c r="K26" s="84">
        <f>IF(J26=0,0,IF(B26="F",VLOOKUP(I26,Barem!$G$2:$H$11,2,1),VLOOKUP(I26,Barem!$G$12:$H$21,2,1)))</f>
        <v>1</v>
      </c>
      <c r="L26" s="63">
        <v>1.5</v>
      </c>
      <c r="M26" s="62" t="str">
        <f>VLOOKUP(C26,Barem!L:R,7,0)</f>
        <v>V</v>
      </c>
      <c r="N26" s="10">
        <f t="shared" si="4"/>
        <v>0.25</v>
      </c>
      <c r="O26" s="10">
        <f t="shared" si="4"/>
        <v>0.5</v>
      </c>
      <c r="P26" s="10">
        <f t="shared" si="4"/>
        <v>0.25</v>
      </c>
      <c r="Q26" s="47">
        <f t="shared" si="5"/>
        <v>0</v>
      </c>
      <c r="R26" s="25">
        <f>IF(D26&gt;21,VLOOKUP(D26,Barem!$T$1:$U$141,2,1),0)</f>
        <v>0</v>
      </c>
      <c r="S26" s="25">
        <f>IF(D26&lt;1.609,0,IF(B26="F",VLOOKUP(I26,Barem!$X$2:$Z$13,2,1),VLOOKUP(I26,Barem!$X$14:$Z$25,2,1)))</f>
        <v>0</v>
      </c>
      <c r="T26" s="25">
        <f>VLOOKUP(A26,Participanti!A:C,3,0)</f>
        <v>0</v>
      </c>
      <c r="U26" s="20">
        <f t="shared" si="6"/>
        <v>1.3131249999999999</v>
      </c>
      <c r="V26" s="76">
        <v>44577</v>
      </c>
      <c r="W26" s="101">
        <f>COUNTIFS(A:A,A26,C:C,C26)</f>
        <v>1</v>
      </c>
      <c r="X26" s="74" t="e">
        <f>VLOOKUP(A26,Data_echipe!A:R,18,0)</f>
        <v>#N/A</v>
      </c>
      <c r="Z26" s="106">
        <f t="shared" si="7"/>
        <v>1</v>
      </c>
    </row>
    <row r="27" spans="1:26" x14ac:dyDescent="0.25">
      <c r="A27" s="61" t="s">
        <v>59</v>
      </c>
      <c r="B27" s="74" t="str">
        <f>VLOOKUP(A27,Participanti!A:B,2,0)</f>
        <v>M</v>
      </c>
      <c r="C27" s="98">
        <v>1</v>
      </c>
      <c r="D27" s="63">
        <v>10.029999999999999</v>
      </c>
      <c r="E27" s="64">
        <v>4.3055555555555562E-2</v>
      </c>
      <c r="F27" s="64">
        <v>4.3090277777777776E-2</v>
      </c>
      <c r="G27" s="90">
        <f t="shared" si="1"/>
        <v>4.3072916666666669E-2</v>
      </c>
      <c r="H27" s="65">
        <v>9</v>
      </c>
      <c r="I27" s="13">
        <f t="shared" si="2"/>
        <v>4.2944084413426391E-3</v>
      </c>
      <c r="J27" s="84">
        <f t="shared" si="3"/>
        <v>2.388095238095238</v>
      </c>
      <c r="K27" s="84">
        <f>IF(J27=0,0,IF(B27="F",VLOOKUP(I27,Barem!$G$2:$H$11,2,1),VLOOKUP(I27,Barem!$G$12:$H$21,2,1)))</f>
        <v>1</v>
      </c>
      <c r="L27" s="63">
        <v>2.5</v>
      </c>
      <c r="M27" s="62" t="str">
        <f>VLOOKUP(C27,Barem!L:R,7,0)</f>
        <v>V</v>
      </c>
      <c r="N27" s="10">
        <f t="shared" si="4"/>
        <v>0.25</v>
      </c>
      <c r="O27" s="10">
        <f t="shared" si="4"/>
        <v>0.5</v>
      </c>
      <c r="P27" s="10">
        <f t="shared" si="4"/>
        <v>0.25</v>
      </c>
      <c r="Q27" s="47">
        <f t="shared" si="5"/>
        <v>0</v>
      </c>
      <c r="R27" s="25">
        <f>IF(D27&gt;21,VLOOKUP(D27,Barem!$T$1:$U$141,2,1),0)</f>
        <v>0</v>
      </c>
      <c r="S27" s="25">
        <f>IF(D27&lt;1.609,0,IF(B27="F",VLOOKUP(I27,Barem!$X$2:$Z$13,2,1),VLOOKUP(I27,Barem!$X$14:$Z$25,2,1)))</f>
        <v>0</v>
      </c>
      <c r="T27" s="25">
        <f>VLOOKUP(A27,Participanti!A:C,3,0)</f>
        <v>0</v>
      </c>
      <c r="U27" s="20">
        <f t="shared" si="6"/>
        <v>1.7220238095238094</v>
      </c>
      <c r="V27" s="76">
        <v>44574</v>
      </c>
      <c r="W27" s="101">
        <f>COUNTIFS(A:A,A27,C:C,C27)</f>
        <v>1</v>
      </c>
      <c r="X27" s="74" t="e">
        <f>VLOOKUP(A27,Data_echipe!A:R,18,0)</f>
        <v>#N/A</v>
      </c>
      <c r="Z27" s="106">
        <f t="shared" si="7"/>
        <v>1</v>
      </c>
    </row>
    <row r="28" spans="1:26" x14ac:dyDescent="0.25">
      <c r="A28" s="61" t="s">
        <v>64</v>
      </c>
      <c r="B28" s="74" t="str">
        <f>VLOOKUP(A28,Participanti!A:B,2,0)</f>
        <v>M</v>
      </c>
      <c r="C28" s="98">
        <v>1</v>
      </c>
      <c r="D28" s="63">
        <v>44.29</v>
      </c>
      <c r="E28" s="64">
        <v>0.26230324074074074</v>
      </c>
      <c r="F28" s="64">
        <v>0.29518518518518516</v>
      </c>
      <c r="G28" s="90">
        <f t="shared" si="1"/>
        <v>0.27874421296296292</v>
      </c>
      <c r="H28" s="65">
        <v>1989</v>
      </c>
      <c r="I28" s="13">
        <f t="shared" si="2"/>
        <v>6.2936151041535996E-3</v>
      </c>
      <c r="J28" s="84">
        <f t="shared" si="3"/>
        <v>5</v>
      </c>
      <c r="K28" s="84">
        <f>IF(J28=0,0,IF(B28="F",VLOOKUP(I28,Barem!$G$2:$H$11,2,1),VLOOKUP(I28,Barem!$G$12:$H$21,2,1)))</f>
        <v>0</v>
      </c>
      <c r="L28" s="63">
        <v>4.5</v>
      </c>
      <c r="M28" s="129" t="s">
        <v>220</v>
      </c>
      <c r="N28" s="10">
        <f t="shared" si="4"/>
        <v>0.25</v>
      </c>
      <c r="O28" s="10">
        <f t="shared" si="4"/>
        <v>0.25</v>
      </c>
      <c r="P28" s="10">
        <f t="shared" si="4"/>
        <v>0.5</v>
      </c>
      <c r="Q28" s="47">
        <f t="shared" si="5"/>
        <v>1.3260000000000001</v>
      </c>
      <c r="R28" s="25">
        <f>IF(D28&gt;21,VLOOKUP(D28,Barem!$T$1:$U$141,2,1),0)</f>
        <v>1.1000000000000001</v>
      </c>
      <c r="S28" s="25">
        <f>IF(D28&lt;1.609,0,IF(B28="F",VLOOKUP(I28,Barem!$X$2:$Z$13,2,1),VLOOKUP(I28,Barem!$X$14:$Z$25,2,1)))</f>
        <v>0</v>
      </c>
      <c r="T28" s="25">
        <f>VLOOKUP(A28,Participanti!A:C,3,0)</f>
        <v>0</v>
      </c>
      <c r="U28" s="20">
        <f t="shared" si="6"/>
        <v>5.9260000000000002</v>
      </c>
      <c r="V28" s="76">
        <v>44577</v>
      </c>
      <c r="W28" s="101">
        <f>COUNTIFS(A:A,A28,C:C,C28)</f>
        <v>1</v>
      </c>
      <c r="X28" s="74" t="str">
        <f>VLOOKUP(A28,Data_echipe!A:R,18,0)</f>
        <v>Trail</v>
      </c>
      <c r="Z28" s="106">
        <f t="shared" si="7"/>
        <v>0</v>
      </c>
    </row>
    <row r="29" spans="1:26" x14ac:dyDescent="0.25">
      <c r="A29" s="61" t="s">
        <v>117</v>
      </c>
      <c r="B29" s="74" t="str">
        <f>VLOOKUP(A29,Participanti!A:B,2,0)</f>
        <v>M</v>
      </c>
      <c r="C29" s="98">
        <v>1</v>
      </c>
      <c r="D29" s="63">
        <v>22</v>
      </c>
      <c r="E29" s="64">
        <v>7.2453703703703701E-2</v>
      </c>
      <c r="F29" s="64">
        <v>7.6516203703703697E-2</v>
      </c>
      <c r="G29" s="90">
        <f t="shared" si="1"/>
        <v>7.4484953703703699E-2</v>
      </c>
      <c r="H29" s="65">
        <v>111</v>
      </c>
      <c r="I29" s="13">
        <f t="shared" si="2"/>
        <v>3.3856797138047136E-3</v>
      </c>
      <c r="J29" s="84">
        <f t="shared" si="3"/>
        <v>5</v>
      </c>
      <c r="K29" s="84">
        <f>IF(J29=0,0,IF(B29="F",VLOOKUP(I29,Barem!$G$2:$H$11,2,1),VLOOKUP(I29,Barem!$G$12:$H$21,2,1)))</f>
        <v>3</v>
      </c>
      <c r="L29" s="63">
        <v>3.5</v>
      </c>
      <c r="M29" s="129" t="s">
        <v>108</v>
      </c>
      <c r="N29" s="10">
        <f t="shared" si="4"/>
        <v>0.5</v>
      </c>
      <c r="O29" s="10">
        <f t="shared" si="4"/>
        <v>0.25</v>
      </c>
      <c r="P29" s="10">
        <f t="shared" si="4"/>
        <v>0.25</v>
      </c>
      <c r="Q29" s="47">
        <f t="shared" si="5"/>
        <v>7.3999999999999996E-2</v>
      </c>
      <c r="R29" s="25">
        <f>IF(D29&gt;21,VLOOKUP(D29,Barem!$T$1:$U$141,2,1),0)</f>
        <v>0</v>
      </c>
      <c r="S29" s="25">
        <f>IF(D29&lt;1.609,0,IF(B29="F",VLOOKUP(I29,Barem!$X$2:$Z$13,2,1),VLOOKUP(I29,Barem!$X$14:$Z$25,2,1)))</f>
        <v>0</v>
      </c>
      <c r="T29" s="25">
        <f>VLOOKUP(A29,Participanti!A:C,3,0)</f>
        <v>0</v>
      </c>
      <c r="U29" s="20">
        <f t="shared" si="6"/>
        <v>4.1989999999999998</v>
      </c>
      <c r="V29" s="76">
        <v>44577</v>
      </c>
      <c r="W29" s="101">
        <f>COUNTIFS(A:A,A29,C:C,C29)</f>
        <v>1</v>
      </c>
      <c r="X29" s="74" t="str">
        <f>VLOOKUP(A29,Data_echipe!A:R,18,0)</f>
        <v>Trail</v>
      </c>
      <c r="Z29" s="106">
        <f t="shared" si="7"/>
        <v>1</v>
      </c>
    </row>
    <row r="30" spans="1:26" ht="12.6" thickBot="1" x14ac:dyDescent="0.3">
      <c r="A30" s="130" t="s">
        <v>138</v>
      </c>
      <c r="B30" s="131" t="str">
        <f>VLOOKUP(A30,Participanti!A:B,2,0)</f>
        <v>F</v>
      </c>
      <c r="C30" s="132">
        <v>1</v>
      </c>
      <c r="D30" s="133">
        <v>8.06</v>
      </c>
      <c r="E30" s="134">
        <v>3.4918981481481481E-2</v>
      </c>
      <c r="F30" s="134">
        <v>3.6157407407407409E-2</v>
      </c>
      <c r="G30" s="135">
        <f t="shared" si="1"/>
        <v>3.5538194444444449E-2</v>
      </c>
      <c r="H30" s="136">
        <v>135</v>
      </c>
      <c r="I30" s="137">
        <f t="shared" si="2"/>
        <v>4.4092052660601047E-3</v>
      </c>
      <c r="J30" s="138">
        <f t="shared" si="3"/>
        <v>2.0150000000000001</v>
      </c>
      <c r="K30" s="138">
        <f>IF(J30=0,0,IF(B30="F",VLOOKUP(I30,Barem!$G$2:$H$11,2,1),VLOOKUP(I30,Barem!$G$12:$H$21,2,1)))</f>
        <v>1.5</v>
      </c>
      <c r="L30" s="133">
        <v>1.5</v>
      </c>
      <c r="M30" s="139" t="str">
        <f>VLOOKUP(C30,Barem!L:R,7,0)</f>
        <v>V</v>
      </c>
      <c r="N30" s="140">
        <f t="shared" si="4"/>
        <v>0.25</v>
      </c>
      <c r="O30" s="140">
        <f t="shared" si="4"/>
        <v>0.5</v>
      </c>
      <c r="P30" s="140">
        <f t="shared" si="4"/>
        <v>0.25</v>
      </c>
      <c r="Q30" s="141">
        <f t="shared" si="5"/>
        <v>0.09</v>
      </c>
      <c r="R30" s="142">
        <f>IF(D30&gt;21,VLOOKUP(D30,Barem!$T$1:$U$141,2,1),0)</f>
        <v>0</v>
      </c>
      <c r="S30" s="142">
        <f>IF(D30&lt;1.609,0,IF(B30="F",VLOOKUP(I30,Barem!$X$2:$Z$13,2,1),VLOOKUP(I30,Barem!$X$14:$Z$25,2,1)))</f>
        <v>0</v>
      </c>
      <c r="T30" s="142">
        <f>VLOOKUP(A30,Participanti!A:C,3,0)</f>
        <v>0</v>
      </c>
      <c r="U30" s="143">
        <f t="shared" si="6"/>
        <v>1.7187500000000002</v>
      </c>
      <c r="V30" s="144">
        <v>44577</v>
      </c>
      <c r="W30" s="145">
        <f>COUNTIFS(A:A,A30,C:C,C30)</f>
        <v>1</v>
      </c>
      <c r="X30" s="131" t="str">
        <f>VLOOKUP(A30,Data_echipe!A:R,18,0)</f>
        <v>Road</v>
      </c>
      <c r="Y30" s="146"/>
      <c r="Z30" s="106">
        <f t="shared" si="7"/>
        <v>1</v>
      </c>
    </row>
    <row r="31" spans="1:26" x14ac:dyDescent="0.25">
      <c r="A31" s="61" t="s">
        <v>216</v>
      </c>
      <c r="B31" s="74" t="str">
        <f>VLOOKUP(A31,Participanti!A:B,2,0)</f>
        <v>M</v>
      </c>
      <c r="C31" s="98">
        <v>2</v>
      </c>
      <c r="D31" s="63">
        <v>7</v>
      </c>
      <c r="E31" s="64">
        <v>2.2708333333333334E-2</v>
      </c>
      <c r="F31" s="64">
        <v>2.2847222222222224E-2</v>
      </c>
      <c r="G31" s="90">
        <f t="shared" ref="G31:G58" si="8">AVERAGE(E31:F31)</f>
        <v>2.2777777777777779E-2</v>
      </c>
      <c r="H31" s="65">
        <v>11</v>
      </c>
      <c r="I31" s="13">
        <f t="shared" ref="I31:I58" si="9">G31/D31</f>
        <v>3.2539682539682543E-3</v>
      </c>
      <c r="J31" s="84">
        <f t="shared" ref="J31:J59" si="10">IF(B31="F",IF(D31&lt;2.5,0,IF(D31&gt;19.99,5,D31/4)),IF(D31&lt;3,0, IF(D31&gt;20.99,5,D31/4.2)))</f>
        <v>1.6666666666666665</v>
      </c>
      <c r="K31" s="84">
        <f>IF(J31=0,0,IF(B31="F",VLOOKUP(I31,Barem!$G$2:$H$11,2,1),VLOOKUP(I31,Barem!$G$12:$H$21,2,1)))</f>
        <v>3.5</v>
      </c>
      <c r="L31" s="63">
        <v>2</v>
      </c>
      <c r="M31" s="129" t="s">
        <v>109</v>
      </c>
      <c r="N31" s="10">
        <f t="shared" si="4"/>
        <v>0.25</v>
      </c>
      <c r="O31" s="10">
        <f t="shared" si="4"/>
        <v>0.5</v>
      </c>
      <c r="P31" s="10">
        <f t="shared" si="4"/>
        <v>0.25</v>
      </c>
      <c r="Q31" s="47">
        <f t="shared" ref="Q31:Q59" si="11">IF(H31&gt;49,H31/1500,0)</f>
        <v>0</v>
      </c>
      <c r="R31" s="25">
        <f>IF(D31&gt;21,VLOOKUP(D31,Barem!$T$1:$U$141,2,1),0)</f>
        <v>0</v>
      </c>
      <c r="S31" s="25">
        <f>IF(D31&lt;1.609,0,IF(B31="F",VLOOKUP(I31,Barem!$X$2:$Z$13,2,1),VLOOKUP(I31,Barem!$X$14:$Z$25,2,1)))</f>
        <v>0</v>
      </c>
      <c r="T31" s="25">
        <f>VLOOKUP(A31,Participanti!A:C,3,0)</f>
        <v>0</v>
      </c>
      <c r="U31" s="20">
        <f t="shared" ref="U31:U58" si="12">IF(H31&lt;0,0,J31*N31+K31*O31+L31*P31+Q31+R31+S31+T31)</f>
        <v>2.6666666666666665</v>
      </c>
      <c r="V31" s="76">
        <v>44579</v>
      </c>
      <c r="W31" s="101">
        <f>COUNTIFS(A:A,A31,C:C,C31)</f>
        <v>1</v>
      </c>
      <c r="X31" s="74" t="str">
        <f>VLOOKUP(A31,Data_echipe!A:R,18,0)</f>
        <v>Road</v>
      </c>
      <c r="Y31" s="22" t="s">
        <v>259</v>
      </c>
      <c r="Z31" s="106">
        <f t="shared" si="7"/>
        <v>1</v>
      </c>
    </row>
    <row r="32" spans="1:26" x14ac:dyDescent="0.25">
      <c r="A32" s="61" t="s">
        <v>218</v>
      </c>
      <c r="B32" s="74" t="str">
        <f>VLOOKUP(A32,Participanti!A:B,2,0)</f>
        <v>M</v>
      </c>
      <c r="C32" s="98">
        <v>2</v>
      </c>
      <c r="D32" s="63">
        <v>42.21</v>
      </c>
      <c r="E32" s="64">
        <v>0.12612268518518518</v>
      </c>
      <c r="F32" s="64">
        <v>0.12620370370370371</v>
      </c>
      <c r="G32" s="90">
        <f t="shared" si="8"/>
        <v>0.12616319444444446</v>
      </c>
      <c r="H32" s="65">
        <v>382</v>
      </c>
      <c r="I32" s="13">
        <f t="shared" si="9"/>
        <v>2.9889408776224697E-3</v>
      </c>
      <c r="J32" s="84">
        <f t="shared" si="10"/>
        <v>5</v>
      </c>
      <c r="K32" s="84">
        <f>IF(J32=0,0,IF(B32="F",VLOOKUP(I32,Barem!$G$2:$H$11,2,1),VLOOKUP(I32,Barem!$G$12:$H$21,2,1)))</f>
        <v>4</v>
      </c>
      <c r="L32" s="63">
        <v>3.75</v>
      </c>
      <c r="M32" s="129" t="s">
        <v>108</v>
      </c>
      <c r="N32" s="10">
        <f t="shared" ref="N32:P60" si="13">IF($M32=N$1,50%,25%)</f>
        <v>0.5</v>
      </c>
      <c r="O32" s="10">
        <f t="shared" si="13"/>
        <v>0.25</v>
      </c>
      <c r="P32" s="10">
        <f t="shared" si="13"/>
        <v>0.25</v>
      </c>
      <c r="Q32" s="47">
        <f t="shared" si="11"/>
        <v>0.25466666666666665</v>
      </c>
      <c r="R32" s="25">
        <f>IF(D32&gt;21,VLOOKUP(D32,Barem!$T$1:$U$141,2,1),0)</f>
        <v>1</v>
      </c>
      <c r="S32" s="25">
        <f>IF(D32&lt;1.609,0,IF(B32="F",VLOOKUP(I32,Barem!$X$2:$Z$13,2,1),VLOOKUP(I32,Barem!$X$14:$Z$25,2,1)))</f>
        <v>0</v>
      </c>
      <c r="T32" s="25">
        <f>VLOOKUP(A32,Participanti!A:C,3,0)</f>
        <v>0</v>
      </c>
      <c r="U32" s="20">
        <f t="shared" si="12"/>
        <v>5.692166666666667</v>
      </c>
      <c r="V32" s="76">
        <v>44579</v>
      </c>
      <c r="W32" s="101">
        <f>COUNTIFS(A:A,A32,C:C,C32)</f>
        <v>1</v>
      </c>
      <c r="X32" s="74" t="str">
        <f>VLOOKUP(A32,Data_echipe!A:R,18,0)</f>
        <v>Road</v>
      </c>
      <c r="Z32" s="106">
        <f t="shared" si="7"/>
        <v>1</v>
      </c>
    </row>
    <row r="33" spans="1:26" x14ac:dyDescent="0.25">
      <c r="A33" s="61" t="s">
        <v>254</v>
      </c>
      <c r="B33" s="74" t="str">
        <f>VLOOKUP(A33,Participanti!A:B,2,0)</f>
        <v>M</v>
      </c>
      <c r="C33" s="98">
        <v>2</v>
      </c>
      <c r="D33" s="63">
        <v>17.14</v>
      </c>
      <c r="E33" s="64">
        <v>6.9548611111111117E-2</v>
      </c>
      <c r="F33" s="64">
        <v>6.9664351851851852E-2</v>
      </c>
      <c r="G33" s="90">
        <f t="shared" si="8"/>
        <v>6.9606481481481491E-2</v>
      </c>
      <c r="H33" s="65">
        <v>429</v>
      </c>
      <c r="I33" s="13">
        <f t="shared" si="9"/>
        <v>4.0610549289079052E-3</v>
      </c>
      <c r="J33" s="84">
        <f t="shared" si="10"/>
        <v>4.0809523809523807</v>
      </c>
      <c r="K33" s="84">
        <f>IF(J33=0,0,IF(B33="F",VLOOKUP(I33,Barem!$G$2:$H$11,2,1),VLOOKUP(I33,Barem!$G$12:$H$21,2,1)))</f>
        <v>1.5</v>
      </c>
      <c r="L33" s="63">
        <v>3.5</v>
      </c>
      <c r="M33" s="62" t="str">
        <f>VLOOKUP(C33,Barem!L:R,7,0)</f>
        <v>P</v>
      </c>
      <c r="N33" s="10">
        <f t="shared" si="13"/>
        <v>0.25</v>
      </c>
      <c r="O33" s="10">
        <f t="shared" si="13"/>
        <v>0.25</v>
      </c>
      <c r="P33" s="10">
        <f t="shared" si="13"/>
        <v>0.5</v>
      </c>
      <c r="Q33" s="47">
        <f t="shared" si="11"/>
        <v>0.28599999999999998</v>
      </c>
      <c r="R33" s="25">
        <f>IF(D33&gt;21,VLOOKUP(D33,Barem!$T$1:$U$141,2,1),0)</f>
        <v>0</v>
      </c>
      <c r="S33" s="25">
        <f>IF(D33&lt;1.609,0,IF(B33="F",VLOOKUP(I33,Barem!$X$2:$Z$13,2,1),VLOOKUP(I33,Barem!$X$14:$Z$25,2,1)))</f>
        <v>0</v>
      </c>
      <c r="T33" s="25">
        <f>VLOOKUP(A33,Participanti!A:C,3,0)</f>
        <v>0</v>
      </c>
      <c r="U33" s="20">
        <f t="shared" si="12"/>
        <v>3.4312380952380952</v>
      </c>
      <c r="V33" s="76">
        <v>44578</v>
      </c>
      <c r="W33" s="101">
        <f>COUNTIFS(A:A,A33,C:C,C33)</f>
        <v>1</v>
      </c>
      <c r="X33" s="74" t="str">
        <f>VLOOKUP(A33,Data_echipe!A:R,18,0)</f>
        <v>Trail</v>
      </c>
      <c r="Z33" s="106">
        <f t="shared" si="7"/>
        <v>1</v>
      </c>
    </row>
    <row r="34" spans="1:26" x14ac:dyDescent="0.25">
      <c r="A34" s="61" t="s">
        <v>143</v>
      </c>
      <c r="B34" s="74" t="str">
        <f>VLOOKUP(A34,Participanti!A:B,2,0)</f>
        <v>M</v>
      </c>
      <c r="C34" s="98">
        <v>2</v>
      </c>
      <c r="D34" s="63">
        <v>16</v>
      </c>
      <c r="E34" s="64">
        <v>5.3449074074074072E-2</v>
      </c>
      <c r="F34" s="64">
        <v>5.7175925925925929E-2</v>
      </c>
      <c r="G34" s="90">
        <f t="shared" si="8"/>
        <v>5.5312500000000001E-2</v>
      </c>
      <c r="H34" s="65">
        <v>37</v>
      </c>
      <c r="I34" s="13">
        <f t="shared" si="9"/>
        <v>3.45703125E-3</v>
      </c>
      <c r="J34" s="84">
        <f t="shared" si="10"/>
        <v>3.8095238095238093</v>
      </c>
      <c r="K34" s="84">
        <f>IF(J34=0,0,IF(B34="F",VLOOKUP(I34,Barem!$G$2:$H$11,2,1),VLOOKUP(I34,Barem!$G$12:$H$21,2,1)))</f>
        <v>3</v>
      </c>
      <c r="L34" s="63">
        <v>0.5</v>
      </c>
      <c r="M34" s="129" t="s">
        <v>109</v>
      </c>
      <c r="N34" s="10">
        <f t="shared" si="13"/>
        <v>0.25</v>
      </c>
      <c r="O34" s="10">
        <f t="shared" si="13"/>
        <v>0.5</v>
      </c>
      <c r="P34" s="10">
        <f t="shared" si="13"/>
        <v>0.25</v>
      </c>
      <c r="Q34" s="47">
        <f t="shared" si="11"/>
        <v>0</v>
      </c>
      <c r="R34" s="25">
        <f>IF(D34&gt;21,VLOOKUP(D34,Barem!$T$1:$U$141,2,1),0)</f>
        <v>0</v>
      </c>
      <c r="S34" s="25">
        <f>IF(D34&lt;1.609,0,IF(B34="F",VLOOKUP(I34,Barem!$X$2:$Z$13,2,1),VLOOKUP(I34,Barem!$X$14:$Z$25,2,1)))</f>
        <v>0</v>
      </c>
      <c r="T34" s="25">
        <f>VLOOKUP(A34,Participanti!A:C,3,0)</f>
        <v>0</v>
      </c>
      <c r="U34" s="20">
        <f t="shared" si="12"/>
        <v>2.5773809523809526</v>
      </c>
      <c r="V34" s="76">
        <v>44583</v>
      </c>
      <c r="W34" s="101">
        <f>COUNTIFS(A:A,A34,C:C,C34)</f>
        <v>1</v>
      </c>
      <c r="X34" s="74" t="str">
        <f>VLOOKUP(A34,Data_echipe!A:R,18,0)</f>
        <v>Road</v>
      </c>
      <c r="Z34" s="106">
        <f t="shared" si="7"/>
        <v>1</v>
      </c>
    </row>
    <row r="35" spans="1:26" x14ac:dyDescent="0.25">
      <c r="A35" s="61" t="s">
        <v>217</v>
      </c>
      <c r="B35" s="74" t="str">
        <f>VLOOKUP(A35,Participanti!A:B,2,0)</f>
        <v>M</v>
      </c>
      <c r="C35" s="98">
        <v>2</v>
      </c>
      <c r="D35" s="63">
        <v>10.3</v>
      </c>
      <c r="E35" s="64">
        <v>3.0810185185185187E-2</v>
      </c>
      <c r="F35" s="64">
        <v>3.0937499999999996E-2</v>
      </c>
      <c r="G35" s="90">
        <f t="shared" si="8"/>
        <v>3.0873842592592592E-2</v>
      </c>
      <c r="H35" s="65">
        <v>0</v>
      </c>
      <c r="I35" s="13">
        <f t="shared" si="9"/>
        <v>2.9974604458827755E-3</v>
      </c>
      <c r="J35" s="84">
        <f t="shared" si="10"/>
        <v>2.4523809523809526</v>
      </c>
      <c r="K35" s="84">
        <f>IF(J35=0,0,IF(B35="F",VLOOKUP(I35,Barem!$G$2:$H$11,2,1),VLOOKUP(I35,Barem!$G$12:$H$21,2,1)))</f>
        <v>4</v>
      </c>
      <c r="L35" s="63">
        <v>1</v>
      </c>
      <c r="M35" s="129" t="s">
        <v>109</v>
      </c>
      <c r="N35" s="10">
        <f t="shared" si="13"/>
        <v>0.25</v>
      </c>
      <c r="O35" s="10">
        <f t="shared" si="13"/>
        <v>0.5</v>
      </c>
      <c r="P35" s="10">
        <f t="shared" si="13"/>
        <v>0.25</v>
      </c>
      <c r="Q35" s="47">
        <f t="shared" si="11"/>
        <v>0</v>
      </c>
      <c r="R35" s="25">
        <f>IF(D35&gt;21,VLOOKUP(D35,Barem!$T$1:$U$141,2,1),0)</f>
        <v>0</v>
      </c>
      <c r="S35" s="25">
        <f>IF(D35&lt;1.609,0,IF(B35="F",VLOOKUP(I35,Barem!$X$2:$Z$13,2,1),VLOOKUP(I35,Barem!$X$14:$Z$25,2,1)))</f>
        <v>0</v>
      </c>
      <c r="T35" s="25">
        <f>VLOOKUP(A35,Participanti!A:C,3,0)</f>
        <v>0</v>
      </c>
      <c r="U35" s="20">
        <f t="shared" si="12"/>
        <v>2.8630952380952381</v>
      </c>
      <c r="V35" s="76">
        <v>44581</v>
      </c>
      <c r="W35" s="101">
        <f>COUNTIFS(A:A,A35,C:C,C35)</f>
        <v>1</v>
      </c>
      <c r="X35" s="74" t="e">
        <f>VLOOKUP(A35,Data_echipe!A:R,18,0)</f>
        <v>#N/A</v>
      </c>
      <c r="Z35" s="106">
        <f t="shared" si="7"/>
        <v>1</v>
      </c>
    </row>
    <row r="36" spans="1:26" x14ac:dyDescent="0.25">
      <c r="A36" s="61" t="s">
        <v>142</v>
      </c>
      <c r="B36" s="74" t="str">
        <f>VLOOKUP(A36,Participanti!A:B,2,0)</f>
        <v>F</v>
      </c>
      <c r="C36" s="98">
        <v>2</v>
      </c>
      <c r="D36" s="63">
        <v>10.5</v>
      </c>
      <c r="E36" s="64">
        <v>4.2141203703703702E-2</v>
      </c>
      <c r="F36" s="64">
        <v>4.221064814814815E-2</v>
      </c>
      <c r="G36" s="90">
        <f t="shared" si="8"/>
        <v>4.2175925925925922E-2</v>
      </c>
      <c r="H36" s="65">
        <v>72</v>
      </c>
      <c r="I36" s="13">
        <f t="shared" si="9"/>
        <v>4.016754850088183E-3</v>
      </c>
      <c r="J36" s="84">
        <f t="shared" si="10"/>
        <v>2.625</v>
      </c>
      <c r="K36" s="84">
        <f>IF(J36=0,0,IF(B36="F",VLOOKUP(I36,Barem!$G$2:$H$11,2,1),VLOOKUP(I36,Barem!$G$12:$H$21,2,1)))</f>
        <v>2</v>
      </c>
      <c r="L36" s="63">
        <v>2.5</v>
      </c>
      <c r="M36" s="129" t="s">
        <v>108</v>
      </c>
      <c r="N36" s="10">
        <f t="shared" si="13"/>
        <v>0.5</v>
      </c>
      <c r="O36" s="10">
        <f t="shared" si="13"/>
        <v>0.25</v>
      </c>
      <c r="P36" s="10">
        <f t="shared" si="13"/>
        <v>0.25</v>
      </c>
      <c r="Q36" s="47">
        <f t="shared" si="11"/>
        <v>4.8000000000000001E-2</v>
      </c>
      <c r="R36" s="25">
        <f>IF(D36&gt;21,VLOOKUP(D36,Barem!$T$1:$U$141,2,1),0)</f>
        <v>0</v>
      </c>
      <c r="S36" s="25">
        <f>IF(D36&lt;1.609,0,IF(B36="F",VLOOKUP(I36,Barem!$X$2:$Z$13,2,1),VLOOKUP(I36,Barem!$X$14:$Z$25,2,1)))</f>
        <v>0</v>
      </c>
      <c r="T36" s="25">
        <f>VLOOKUP(A36,Participanti!A:C,3,0)</f>
        <v>0</v>
      </c>
      <c r="U36" s="20">
        <f t="shared" si="12"/>
        <v>2.4855</v>
      </c>
      <c r="V36" s="76">
        <v>44580</v>
      </c>
      <c r="W36" s="101">
        <f>COUNTIFS(A:A,A36,C:C,C36)</f>
        <v>1</v>
      </c>
      <c r="X36" s="74" t="str">
        <f>VLOOKUP(A36,Data_echipe!A:R,18,0)</f>
        <v>Trail</v>
      </c>
      <c r="Z36" s="106">
        <f t="shared" si="7"/>
        <v>1</v>
      </c>
    </row>
    <row r="37" spans="1:26" x14ac:dyDescent="0.25">
      <c r="A37" s="61" t="s">
        <v>185</v>
      </c>
      <c r="B37" s="74" t="str">
        <f>VLOOKUP(A37,Participanti!A:B,2,0)</f>
        <v>F</v>
      </c>
      <c r="C37" s="98">
        <v>2</v>
      </c>
      <c r="D37" s="63">
        <v>3.12</v>
      </c>
      <c r="E37" s="64">
        <v>1.4756944444444446E-2</v>
      </c>
      <c r="F37" s="64">
        <v>1.5069444444444443E-2</v>
      </c>
      <c r="G37" s="90">
        <f t="shared" si="8"/>
        <v>1.4913194444444444E-2</v>
      </c>
      <c r="H37" s="65">
        <v>8</v>
      </c>
      <c r="I37" s="13">
        <f t="shared" si="9"/>
        <v>4.7798700142450143E-3</v>
      </c>
      <c r="J37" s="84">
        <f t="shared" si="10"/>
        <v>0.78</v>
      </c>
      <c r="K37" s="84">
        <f>IF(J37=0,0,IF(B37="F",VLOOKUP(I37,Barem!$G$2:$H$11,2,1),VLOOKUP(I37,Barem!$G$12:$H$21,2,1)))</f>
        <v>1</v>
      </c>
      <c r="L37" s="63">
        <v>4</v>
      </c>
      <c r="M37" s="62" t="str">
        <f>VLOOKUP(C37,Barem!L:R,7,0)</f>
        <v>P</v>
      </c>
      <c r="N37" s="10">
        <f t="shared" si="13"/>
        <v>0.25</v>
      </c>
      <c r="O37" s="10">
        <f t="shared" si="13"/>
        <v>0.25</v>
      </c>
      <c r="P37" s="10">
        <f t="shared" si="13"/>
        <v>0.5</v>
      </c>
      <c r="Q37" s="47">
        <f t="shared" si="11"/>
        <v>0</v>
      </c>
      <c r="R37" s="25">
        <f>IF(D37&gt;21,VLOOKUP(D37,Barem!$T$1:$U$141,2,1),0)</f>
        <v>0</v>
      </c>
      <c r="S37" s="25">
        <f>IF(D37&lt;1.609,0,IF(B37="F",VLOOKUP(I37,Barem!$X$2:$Z$13,2,1),VLOOKUP(I37,Barem!$X$14:$Z$25,2,1)))</f>
        <v>0</v>
      </c>
      <c r="T37" s="25">
        <f>VLOOKUP(A37,Participanti!A:C,3,0)</f>
        <v>0</v>
      </c>
      <c r="U37" s="20">
        <f t="shared" si="12"/>
        <v>2.4449999999999998</v>
      </c>
      <c r="V37" s="76">
        <v>44584</v>
      </c>
      <c r="W37" s="101">
        <f>COUNTIFS(A:A,A37,C:C,C37)</f>
        <v>1</v>
      </c>
      <c r="X37" s="74" t="str">
        <f>VLOOKUP(A37,Data_echipe!A:R,18,0)</f>
        <v>Road</v>
      </c>
      <c r="Z37" s="106">
        <f t="shared" si="7"/>
        <v>1</v>
      </c>
    </row>
    <row r="38" spans="1:26" x14ac:dyDescent="0.25">
      <c r="A38" s="61" t="s">
        <v>65</v>
      </c>
      <c r="B38" s="74" t="str">
        <f>VLOOKUP(A38,Participanti!A:B,2,0)</f>
        <v>F</v>
      </c>
      <c r="C38" s="98">
        <v>2</v>
      </c>
      <c r="D38" s="63">
        <v>8.2799999999999994</v>
      </c>
      <c r="E38" s="64">
        <v>4.0694444444444443E-2</v>
      </c>
      <c r="F38" s="64">
        <v>7.0659722222222221E-2</v>
      </c>
      <c r="G38" s="90">
        <f t="shared" si="8"/>
        <v>5.5677083333333335E-2</v>
      </c>
      <c r="H38" s="65">
        <v>0</v>
      </c>
      <c r="I38" s="13">
        <f t="shared" si="9"/>
        <v>6.7242854267310793E-3</v>
      </c>
      <c r="J38" s="84">
        <f t="shared" si="10"/>
        <v>2.0699999999999998</v>
      </c>
      <c r="K38" s="84">
        <f>IF(J38=0,0,IF(B38="F",VLOOKUP(I38,Barem!$G$2:$H$11,2,1),VLOOKUP(I38,Barem!$G$12:$H$21,2,1)))</f>
        <v>0</v>
      </c>
      <c r="L38" s="63">
        <v>3.5</v>
      </c>
      <c r="M38" s="62" t="str">
        <f>VLOOKUP(C38,Barem!L:R,7,0)</f>
        <v>P</v>
      </c>
      <c r="N38" s="10">
        <f t="shared" si="13"/>
        <v>0.25</v>
      </c>
      <c r="O38" s="10">
        <f t="shared" si="13"/>
        <v>0.25</v>
      </c>
      <c r="P38" s="10">
        <f t="shared" si="13"/>
        <v>0.5</v>
      </c>
      <c r="Q38" s="47">
        <f t="shared" si="11"/>
        <v>0</v>
      </c>
      <c r="R38" s="25">
        <f>IF(D38&gt;21,VLOOKUP(D38,Barem!$T$1:$U$141,2,1),0)</f>
        <v>0</v>
      </c>
      <c r="S38" s="25">
        <f>IF(D38&lt;1.609,0,IF(B38="F",VLOOKUP(I38,Barem!$X$2:$Z$13,2,1),VLOOKUP(I38,Barem!$X$14:$Z$25,2,1)))</f>
        <v>0</v>
      </c>
      <c r="T38" s="25">
        <f>VLOOKUP(A38,Participanti!A:C,3,0)</f>
        <v>0.7</v>
      </c>
      <c r="U38" s="20">
        <f t="shared" si="12"/>
        <v>2.9675000000000002</v>
      </c>
      <c r="V38" s="76">
        <v>44580</v>
      </c>
      <c r="W38" s="101">
        <f>COUNTIFS(A:A,A38,C:C,C38)</f>
        <v>1</v>
      </c>
      <c r="X38" s="74" t="str">
        <f>VLOOKUP(A38,Data_echipe!A:R,18,0)</f>
        <v>Road</v>
      </c>
      <c r="Z38" s="106">
        <f t="shared" si="7"/>
        <v>0</v>
      </c>
    </row>
    <row r="39" spans="1:26" ht="13.2" customHeight="1" x14ac:dyDescent="0.25">
      <c r="A39" s="61" t="s">
        <v>255</v>
      </c>
      <c r="B39" s="74" t="str">
        <f>VLOOKUP(A39,Participanti!A:B,2,0)</f>
        <v>F</v>
      </c>
      <c r="C39" s="98">
        <v>2</v>
      </c>
      <c r="D39" s="63">
        <v>15.09</v>
      </c>
      <c r="E39" s="64">
        <v>8.1759259259259254E-2</v>
      </c>
      <c r="F39" s="64">
        <v>8.9212962962962952E-2</v>
      </c>
      <c r="G39" s="90">
        <f t="shared" si="8"/>
        <v>8.5486111111111096E-2</v>
      </c>
      <c r="H39" s="65">
        <v>601</v>
      </c>
      <c r="I39" s="13">
        <f t="shared" si="9"/>
        <v>5.6650835726382437E-3</v>
      </c>
      <c r="J39" s="84">
        <f t="shared" si="10"/>
        <v>3.7725</v>
      </c>
      <c r="K39" s="84">
        <f>IF(J39=0,0,IF(B39="F",VLOOKUP(I39,Barem!$G$2:$H$11,2,1),VLOOKUP(I39,Barem!$G$12:$H$21,2,1)))</f>
        <v>1</v>
      </c>
      <c r="L39" s="63">
        <v>3</v>
      </c>
      <c r="M39" s="62" t="str">
        <f>VLOOKUP(C39,Barem!L:R,7,0)</f>
        <v>P</v>
      </c>
      <c r="N39" s="10">
        <f t="shared" si="13"/>
        <v>0.25</v>
      </c>
      <c r="O39" s="10">
        <f t="shared" si="13"/>
        <v>0.25</v>
      </c>
      <c r="P39" s="10">
        <f t="shared" si="13"/>
        <v>0.5</v>
      </c>
      <c r="Q39" s="47">
        <f t="shared" si="11"/>
        <v>0.40066666666666667</v>
      </c>
      <c r="R39" s="25">
        <f>IF(D39&gt;21,VLOOKUP(D39,Barem!$T$1:$U$141,2,1),0)</f>
        <v>0</v>
      </c>
      <c r="S39" s="25">
        <f>IF(D39&lt;1.609,0,IF(B39="F",VLOOKUP(I39,Barem!$X$2:$Z$13,2,1),VLOOKUP(I39,Barem!$X$14:$Z$25,2,1)))</f>
        <v>0</v>
      </c>
      <c r="T39" s="25">
        <f>VLOOKUP(A39,Participanti!A:C,3,0)</f>
        <v>0</v>
      </c>
      <c r="U39" s="20">
        <f t="shared" si="12"/>
        <v>3.0937916666666667</v>
      </c>
      <c r="V39" s="76">
        <v>44584</v>
      </c>
      <c r="W39" s="101">
        <f>COUNTIFS(A:A,A39,C:C,C39)</f>
        <v>1</v>
      </c>
      <c r="X39" s="74" t="str">
        <f>VLOOKUP(A39,Data_echipe!A:R,18,0)</f>
        <v>Trail</v>
      </c>
      <c r="Z39" s="106">
        <f t="shared" si="7"/>
        <v>1</v>
      </c>
    </row>
    <row r="40" spans="1:26" x14ac:dyDescent="0.25">
      <c r="A40" s="61" t="s">
        <v>116</v>
      </c>
      <c r="B40" s="74" t="str">
        <f>VLOOKUP(A40,Participanti!A:B,2,0)</f>
        <v>M</v>
      </c>
      <c r="C40" s="98">
        <v>2</v>
      </c>
      <c r="D40" s="63"/>
      <c r="E40" s="64"/>
      <c r="F40" s="64"/>
      <c r="G40" s="90"/>
      <c r="H40" s="65"/>
      <c r="I40" s="13"/>
      <c r="J40" s="84">
        <f t="shared" si="10"/>
        <v>0</v>
      </c>
      <c r="K40" s="84">
        <f>IF(J40=0,0,IF(B40="F",VLOOKUP(I40,Barem!$G$2:$H$11,2,1),VLOOKUP(I40,Barem!$G$12:$H$21,2,1)))</f>
        <v>0</v>
      </c>
      <c r="L40" s="63"/>
      <c r="M40" s="150" t="s">
        <v>260</v>
      </c>
      <c r="N40" s="10">
        <f t="shared" si="13"/>
        <v>0.25</v>
      </c>
      <c r="O40" s="10">
        <f t="shared" si="13"/>
        <v>0.25</v>
      </c>
      <c r="P40" s="10">
        <f t="shared" si="13"/>
        <v>0.25</v>
      </c>
      <c r="Q40" s="47">
        <f t="shared" si="11"/>
        <v>0</v>
      </c>
      <c r="R40" s="25">
        <f>IF(D40&gt;21,VLOOKUP(D40,Barem!$T$1:$U$141,2,1),0)</f>
        <v>0</v>
      </c>
      <c r="S40" s="25">
        <f>IF(D40&lt;1.609,0,IF(B40="F",VLOOKUP(I40,Barem!$X$2:$Z$13,2,1),VLOOKUP(I40,Barem!$X$14:$Z$25,2,1)))</f>
        <v>0</v>
      </c>
      <c r="T40" s="25">
        <f>VLOOKUP(A40,Participanti!A:C,3,0)</f>
        <v>0</v>
      </c>
      <c r="U40" s="148">
        <v>1.5</v>
      </c>
      <c r="V40" s="76"/>
      <c r="W40" s="101">
        <f>COUNTIFS(A:A,A40,C:C,C40)</f>
        <v>1</v>
      </c>
      <c r="X40" s="74" t="str">
        <f>VLOOKUP(A40,Data_echipe!A:R,18,0)</f>
        <v>Trail</v>
      </c>
      <c r="Z40" s="106">
        <f t="shared" si="7"/>
        <v>0</v>
      </c>
    </row>
    <row r="41" spans="1:26" x14ac:dyDescent="0.25">
      <c r="A41" s="61" t="s">
        <v>119</v>
      </c>
      <c r="B41" s="74" t="str">
        <f>VLOOKUP(A41,Participanti!A:B,2,0)</f>
        <v>F</v>
      </c>
      <c r="C41" s="98">
        <v>2</v>
      </c>
      <c r="D41" s="63">
        <v>10</v>
      </c>
      <c r="E41" s="64">
        <v>3.9675925925925927E-2</v>
      </c>
      <c r="F41" s="64">
        <v>4.223379629629629E-2</v>
      </c>
      <c r="G41" s="90">
        <f t="shared" si="8"/>
        <v>4.0954861111111109E-2</v>
      </c>
      <c r="H41" s="65">
        <v>73</v>
      </c>
      <c r="I41" s="13">
        <f t="shared" si="9"/>
        <v>4.0954861111111105E-3</v>
      </c>
      <c r="J41" s="84">
        <f t="shared" si="10"/>
        <v>2.5</v>
      </c>
      <c r="K41" s="84">
        <f>IF(J41=0,0,IF(B41="F",VLOOKUP(I41,Barem!$G$2:$H$11,2,1),VLOOKUP(I41,Barem!$G$12:$H$21,2,1)))</f>
        <v>2</v>
      </c>
      <c r="L41" s="63">
        <v>2</v>
      </c>
      <c r="M41" s="149" t="s">
        <v>108</v>
      </c>
      <c r="N41" s="10">
        <f t="shared" si="13"/>
        <v>0.5</v>
      </c>
      <c r="O41" s="10">
        <f t="shared" si="13"/>
        <v>0.25</v>
      </c>
      <c r="P41" s="10">
        <f t="shared" si="13"/>
        <v>0.25</v>
      </c>
      <c r="Q41" s="47">
        <f t="shared" si="11"/>
        <v>4.8666666666666664E-2</v>
      </c>
      <c r="R41" s="25">
        <f>IF(D41&gt;21,VLOOKUP(D41,Barem!$T$1:$U$141,2,1),0)</f>
        <v>0</v>
      </c>
      <c r="S41" s="25">
        <f>IF(D41&lt;1.609,0,IF(B41="F",VLOOKUP(I41,Barem!$X$2:$Z$13,2,1),VLOOKUP(I41,Barem!$X$14:$Z$25,2,1)))</f>
        <v>0</v>
      </c>
      <c r="T41" s="25">
        <f>VLOOKUP(A41,Participanti!A:C,3,0)</f>
        <v>0</v>
      </c>
      <c r="U41" s="20">
        <f t="shared" si="12"/>
        <v>2.2986666666666666</v>
      </c>
      <c r="V41" s="76">
        <v>44580</v>
      </c>
      <c r="W41" s="101">
        <f>COUNTIFS(A:A,A41,C:C,C41)</f>
        <v>1</v>
      </c>
      <c r="X41" s="74" t="str">
        <f>VLOOKUP(A41,Data_echipe!A:R,18,0)</f>
        <v>Trail</v>
      </c>
      <c r="Z41" s="106">
        <f t="shared" si="7"/>
        <v>1</v>
      </c>
    </row>
    <row r="42" spans="1:26" x14ac:dyDescent="0.25">
      <c r="A42" s="61" t="s">
        <v>110</v>
      </c>
      <c r="B42" s="74" t="str">
        <f>VLOOKUP(A42,Participanti!A:B,2,0)</f>
        <v>M</v>
      </c>
      <c r="C42" s="98">
        <v>2</v>
      </c>
      <c r="D42" s="63">
        <v>35</v>
      </c>
      <c r="E42" s="64">
        <v>0.15228009259259259</v>
      </c>
      <c r="F42" s="64">
        <v>0.1711111111111111</v>
      </c>
      <c r="G42" s="90">
        <f t="shared" si="8"/>
        <v>0.16169560185185183</v>
      </c>
      <c r="H42" s="65">
        <v>936</v>
      </c>
      <c r="I42" s="13">
        <f t="shared" si="9"/>
        <v>4.6198743386243381E-3</v>
      </c>
      <c r="J42" s="84">
        <f t="shared" si="10"/>
        <v>5</v>
      </c>
      <c r="K42" s="84">
        <f>IF(J42=0,0,IF(B42="F",VLOOKUP(I42,Barem!$G$2:$H$11,2,1),VLOOKUP(I42,Barem!$G$12:$H$21,2,1)))</f>
        <v>1</v>
      </c>
      <c r="L42" s="63">
        <v>4.5</v>
      </c>
      <c r="M42" s="62" t="str">
        <f>VLOOKUP(C42,Barem!L:R,7,0)</f>
        <v>P</v>
      </c>
      <c r="N42" s="10">
        <f t="shared" si="13"/>
        <v>0.25</v>
      </c>
      <c r="O42" s="10">
        <f t="shared" si="13"/>
        <v>0.25</v>
      </c>
      <c r="P42" s="10">
        <f t="shared" si="13"/>
        <v>0.5</v>
      </c>
      <c r="Q42" s="47">
        <f t="shared" si="11"/>
        <v>0.624</v>
      </c>
      <c r="R42" s="25">
        <f>IF(D42&gt;21,VLOOKUP(D42,Barem!$T$1:$U$141,2,1),0)</f>
        <v>0.7</v>
      </c>
      <c r="S42" s="25">
        <f>IF(D42&lt;1.609,0,IF(B42="F",VLOOKUP(I42,Barem!$X$2:$Z$13,2,1),VLOOKUP(I42,Barem!$X$14:$Z$25,2,1)))</f>
        <v>0</v>
      </c>
      <c r="T42" s="25">
        <f>VLOOKUP(A42,Participanti!A:C,3,0)</f>
        <v>0</v>
      </c>
      <c r="U42" s="20">
        <f t="shared" si="12"/>
        <v>5.0739999999999998</v>
      </c>
      <c r="V42" s="76">
        <v>44583</v>
      </c>
      <c r="W42" s="101">
        <f>COUNTIFS(A:A,A42,C:C,C42)</f>
        <v>1</v>
      </c>
      <c r="X42" s="74" t="str">
        <f>VLOOKUP(A42,Data_echipe!A:R,18,0)</f>
        <v>Road</v>
      </c>
      <c r="Z42" s="106">
        <f t="shared" si="7"/>
        <v>1</v>
      </c>
    </row>
    <row r="43" spans="1:26" x14ac:dyDescent="0.25">
      <c r="A43" s="61" t="s">
        <v>49</v>
      </c>
      <c r="B43" s="74" t="str">
        <f>VLOOKUP(A43,Participanti!A:B,2,0)</f>
        <v>M</v>
      </c>
      <c r="C43" s="98">
        <v>2</v>
      </c>
      <c r="D43" s="63">
        <v>11.73</v>
      </c>
      <c r="E43" s="64">
        <v>4.6550925925925919E-2</v>
      </c>
      <c r="F43" s="64">
        <v>5.3414351851851859E-2</v>
      </c>
      <c r="G43" s="90">
        <f t="shared" si="8"/>
        <v>4.9982638888888889E-2</v>
      </c>
      <c r="H43" s="65">
        <v>192</v>
      </c>
      <c r="I43" s="13">
        <f t="shared" si="9"/>
        <v>4.2610945344321305E-3</v>
      </c>
      <c r="J43" s="84">
        <f t="shared" si="10"/>
        <v>2.7928571428571427</v>
      </c>
      <c r="K43" s="84">
        <f>IF(J43=0,0,IF(B43="F",VLOOKUP(I43,Barem!$G$2:$H$11,2,1),VLOOKUP(I43,Barem!$G$12:$H$21,2,1)))</f>
        <v>1</v>
      </c>
      <c r="L43" s="63">
        <v>3</v>
      </c>
      <c r="M43" s="62" t="str">
        <f>VLOOKUP(C43,Barem!L:R,7,0)</f>
        <v>P</v>
      </c>
      <c r="N43" s="10">
        <f t="shared" si="13"/>
        <v>0.25</v>
      </c>
      <c r="O43" s="10">
        <f t="shared" si="13"/>
        <v>0.25</v>
      </c>
      <c r="P43" s="10">
        <f t="shared" si="13"/>
        <v>0.5</v>
      </c>
      <c r="Q43" s="47">
        <f t="shared" si="11"/>
        <v>0.128</v>
      </c>
      <c r="R43" s="25">
        <f>IF(D43&gt;21,VLOOKUP(D43,Barem!$T$1:$U$141,2,1),0)</f>
        <v>0</v>
      </c>
      <c r="S43" s="25">
        <f>IF(D43&lt;1.609,0,IF(B43="F",VLOOKUP(I43,Barem!$X$2:$Z$13,2,1),VLOOKUP(I43,Barem!$X$14:$Z$25,2,1)))</f>
        <v>0</v>
      </c>
      <c r="T43" s="25">
        <f>VLOOKUP(A43,Participanti!A:C,3,0)</f>
        <v>0.4</v>
      </c>
      <c r="U43" s="20">
        <f t="shared" si="12"/>
        <v>2.9762142857142857</v>
      </c>
      <c r="V43" s="76">
        <v>44580</v>
      </c>
      <c r="W43" s="101">
        <f>COUNTIFS(A:A,A43,C:C,C43)</f>
        <v>1</v>
      </c>
      <c r="X43" s="74" t="str">
        <f>VLOOKUP(A43,Data_echipe!A:R,18,0)</f>
        <v>Road</v>
      </c>
      <c r="Z43" s="106">
        <f t="shared" si="7"/>
        <v>1</v>
      </c>
    </row>
    <row r="44" spans="1:26" x14ac:dyDescent="0.25">
      <c r="A44" s="61" t="s">
        <v>256</v>
      </c>
      <c r="B44" s="74" t="str">
        <f>VLOOKUP(A44,Participanti!A:B,2,0)</f>
        <v>M</v>
      </c>
      <c r="C44" s="98">
        <v>2</v>
      </c>
      <c r="D44" s="63">
        <v>21.11</v>
      </c>
      <c r="E44" s="64">
        <v>0.10283564814814815</v>
      </c>
      <c r="F44" s="64">
        <v>0.10534722222222222</v>
      </c>
      <c r="G44" s="90">
        <f t="shared" si="8"/>
        <v>0.10409143518518518</v>
      </c>
      <c r="H44" s="65">
        <v>24</v>
      </c>
      <c r="I44" s="13">
        <f t="shared" si="9"/>
        <v>4.9309064512167303E-3</v>
      </c>
      <c r="J44" s="84">
        <f t="shared" si="10"/>
        <v>5</v>
      </c>
      <c r="K44" s="84">
        <f>IF(J44=0,0,IF(B44="F",VLOOKUP(I44,Barem!$G$2:$H$11,2,1),VLOOKUP(I44,Barem!$G$12:$H$21,2,1)))</f>
        <v>1</v>
      </c>
      <c r="L44" s="63">
        <v>2</v>
      </c>
      <c r="M44" s="62" t="str">
        <f>VLOOKUP(C44,Barem!L:R,7,0)</f>
        <v>P</v>
      </c>
      <c r="N44" s="10">
        <f t="shared" si="13"/>
        <v>0.25</v>
      </c>
      <c r="O44" s="10">
        <f t="shared" si="13"/>
        <v>0.25</v>
      </c>
      <c r="P44" s="10">
        <f t="shared" si="13"/>
        <v>0.5</v>
      </c>
      <c r="Q44" s="47">
        <f t="shared" si="11"/>
        <v>0</v>
      </c>
      <c r="R44" s="25">
        <f>IF(D44&gt;21,VLOOKUP(D44,Barem!$T$1:$U$141,2,1),0)</f>
        <v>0</v>
      </c>
      <c r="S44" s="25">
        <f>IF(D44&lt;1.609,0,IF(B44="F",VLOOKUP(I44,Barem!$X$2:$Z$13,2,1),VLOOKUP(I44,Barem!$X$14:$Z$25,2,1)))</f>
        <v>0</v>
      </c>
      <c r="T44" s="25">
        <f>VLOOKUP(A44,Participanti!A:C,3,0)</f>
        <v>0</v>
      </c>
      <c r="U44" s="20">
        <f t="shared" si="12"/>
        <v>2.5</v>
      </c>
      <c r="V44" s="76">
        <v>44584</v>
      </c>
      <c r="W44" s="101">
        <f>COUNTIFS(A:A,A44,C:C,C44)</f>
        <v>1</v>
      </c>
      <c r="X44" s="74" t="str">
        <f>VLOOKUP(A44,Data_echipe!A:R,18,0)</f>
        <v>Road</v>
      </c>
      <c r="Z44" s="106">
        <f t="shared" si="7"/>
        <v>1</v>
      </c>
    </row>
    <row r="45" spans="1:26" x14ac:dyDescent="0.25">
      <c r="A45" s="61" t="s">
        <v>141</v>
      </c>
      <c r="B45" s="74" t="str">
        <f>VLOOKUP(A45,Participanti!A:B,2,0)</f>
        <v>F</v>
      </c>
      <c r="C45" s="98">
        <v>2</v>
      </c>
      <c r="D45" s="63">
        <v>21.19</v>
      </c>
      <c r="E45" s="64">
        <v>8.0474537037037039E-2</v>
      </c>
      <c r="F45" s="64">
        <v>8.1064814814814812E-2</v>
      </c>
      <c r="G45" s="90">
        <f t="shared" si="8"/>
        <v>8.0769675925925932E-2</v>
      </c>
      <c r="H45" s="65">
        <v>114</v>
      </c>
      <c r="I45" s="13">
        <f t="shared" si="9"/>
        <v>3.8116883400625733E-3</v>
      </c>
      <c r="J45" s="84">
        <f t="shared" si="10"/>
        <v>5</v>
      </c>
      <c r="K45" s="84">
        <f>IF(J45=0,0,IF(B45="F",VLOOKUP(I45,Barem!$G$2:$H$11,2,1),VLOOKUP(I45,Barem!$G$12:$H$21,2,1)))</f>
        <v>3</v>
      </c>
      <c r="L45" s="63">
        <v>3.5</v>
      </c>
      <c r="M45" s="149" t="s">
        <v>108</v>
      </c>
      <c r="N45" s="10">
        <f t="shared" si="13"/>
        <v>0.5</v>
      </c>
      <c r="O45" s="10">
        <f t="shared" si="13"/>
        <v>0.25</v>
      </c>
      <c r="P45" s="10">
        <f t="shared" si="13"/>
        <v>0.25</v>
      </c>
      <c r="Q45" s="47">
        <f t="shared" si="11"/>
        <v>7.5999999999999998E-2</v>
      </c>
      <c r="R45" s="25">
        <f>IF(D45&gt;21,VLOOKUP(D45,Barem!$T$1:$U$141,2,1),0)</f>
        <v>0</v>
      </c>
      <c r="S45" s="25">
        <f>IF(D45&lt;1.609,0,IF(B45="F",VLOOKUP(I45,Barem!$X$2:$Z$13,2,1),VLOOKUP(I45,Barem!$X$14:$Z$25,2,1)))</f>
        <v>0</v>
      </c>
      <c r="T45" s="25">
        <f>VLOOKUP(A45,Participanti!A:C,3,0)</f>
        <v>0</v>
      </c>
      <c r="U45" s="20">
        <f t="shared" si="12"/>
        <v>4.2009999999999996</v>
      </c>
      <c r="V45" s="76">
        <v>44584</v>
      </c>
      <c r="W45" s="101">
        <f>COUNTIFS(A:A,A45,C:C,C45)</f>
        <v>1</v>
      </c>
      <c r="X45" s="74" t="str">
        <f>VLOOKUP(A45,Data_echipe!A:R,18,0)</f>
        <v>Trail</v>
      </c>
      <c r="Z45" s="106">
        <f t="shared" si="7"/>
        <v>1</v>
      </c>
    </row>
    <row r="46" spans="1:26" x14ac:dyDescent="0.25">
      <c r="A46" s="61" t="s">
        <v>52</v>
      </c>
      <c r="B46" s="74" t="str">
        <f>VLOOKUP(A46,Participanti!A:B,2,0)</f>
        <v>M</v>
      </c>
      <c r="C46" s="98">
        <v>2</v>
      </c>
      <c r="D46" s="63">
        <v>20.54</v>
      </c>
      <c r="E46" s="64">
        <v>8.0023148148148149E-2</v>
      </c>
      <c r="F46" s="64">
        <v>8.0277777777777781E-2</v>
      </c>
      <c r="G46" s="90">
        <f t="shared" si="8"/>
        <v>8.0150462962962965E-2</v>
      </c>
      <c r="H46" s="65">
        <v>797</v>
      </c>
      <c r="I46" s="13">
        <f t="shared" si="9"/>
        <v>3.9021647012153346E-3</v>
      </c>
      <c r="J46" s="84">
        <f t="shared" si="10"/>
        <v>4.89047619047619</v>
      </c>
      <c r="K46" s="84">
        <f>IF(J46=0,0,IF(B46="F",VLOOKUP(I46,Barem!$G$2:$H$11,2,1),VLOOKUP(I46,Barem!$G$12:$H$21,2,1)))</f>
        <v>1.5</v>
      </c>
      <c r="L46" s="63">
        <v>4.25</v>
      </c>
      <c r="M46" s="62" t="str">
        <f>VLOOKUP(C46,Barem!L:R,7,0)</f>
        <v>P</v>
      </c>
      <c r="N46" s="10">
        <f t="shared" si="13"/>
        <v>0.25</v>
      </c>
      <c r="O46" s="10">
        <f t="shared" si="13"/>
        <v>0.25</v>
      </c>
      <c r="P46" s="10">
        <f t="shared" si="13"/>
        <v>0.5</v>
      </c>
      <c r="Q46" s="47">
        <f t="shared" si="11"/>
        <v>0.53133333333333332</v>
      </c>
      <c r="R46" s="25">
        <f>IF(D46&gt;21,VLOOKUP(D46,Barem!$T$1:$U$141,2,1),0)</f>
        <v>0</v>
      </c>
      <c r="S46" s="25">
        <f>IF(D46&lt;1.609,0,IF(B46="F",VLOOKUP(I46,Barem!$X$2:$Z$13,2,1),VLOOKUP(I46,Barem!$X$14:$Z$25,2,1)))</f>
        <v>0</v>
      </c>
      <c r="T46" s="25">
        <f>VLOOKUP(A46,Participanti!A:C,3,0)</f>
        <v>0</v>
      </c>
      <c r="U46" s="20">
        <f t="shared" si="12"/>
        <v>4.2539523809523807</v>
      </c>
      <c r="V46" s="76">
        <v>44583</v>
      </c>
      <c r="W46" s="101">
        <f>COUNTIFS(A:A,A46,C:C,C46)</f>
        <v>1</v>
      </c>
      <c r="X46" s="74" t="str">
        <f>VLOOKUP(A46,Data_echipe!A:R,18,0)</f>
        <v>Trail</v>
      </c>
      <c r="Z46" s="106">
        <f t="shared" si="7"/>
        <v>1</v>
      </c>
    </row>
    <row r="47" spans="1:26" x14ac:dyDescent="0.25">
      <c r="A47" s="61" t="s">
        <v>60</v>
      </c>
      <c r="B47" s="74" t="str">
        <f>VLOOKUP(A47,Participanti!A:B,2,0)</f>
        <v>M</v>
      </c>
      <c r="C47" s="98">
        <v>2</v>
      </c>
      <c r="D47" s="63">
        <v>3.11</v>
      </c>
      <c r="E47" s="64">
        <v>1.3078703703703703E-2</v>
      </c>
      <c r="F47" s="64">
        <v>1.3078703703703703E-2</v>
      </c>
      <c r="G47" s="90">
        <f t="shared" si="8"/>
        <v>1.3078703703703703E-2</v>
      </c>
      <c r="H47" s="65">
        <v>0</v>
      </c>
      <c r="I47" s="13">
        <f t="shared" si="9"/>
        <v>4.205370965821127E-3</v>
      </c>
      <c r="J47" s="84">
        <f t="shared" si="10"/>
        <v>0.7404761904761904</v>
      </c>
      <c r="K47" s="84">
        <f>IF(J47=0,0,IF(B47="F",VLOOKUP(I47,Barem!$G$2:$H$11,2,1),VLOOKUP(I47,Barem!$G$12:$H$21,2,1)))</f>
        <v>1</v>
      </c>
      <c r="L47" s="63">
        <v>1</v>
      </c>
      <c r="M47" s="149" t="s">
        <v>109</v>
      </c>
      <c r="N47" s="10">
        <f t="shared" si="13"/>
        <v>0.25</v>
      </c>
      <c r="O47" s="10">
        <f t="shared" si="13"/>
        <v>0.5</v>
      </c>
      <c r="P47" s="10">
        <f t="shared" si="13"/>
        <v>0.25</v>
      </c>
      <c r="Q47" s="47">
        <f t="shared" si="11"/>
        <v>0</v>
      </c>
      <c r="R47" s="25">
        <f>IF(D47&gt;21,VLOOKUP(D47,Barem!$T$1:$U$141,2,1),0)</f>
        <v>0</v>
      </c>
      <c r="S47" s="25">
        <f>IF(D47&lt;1.609,0,IF(B47="F",VLOOKUP(I47,Barem!$X$2:$Z$13,2,1),VLOOKUP(I47,Barem!$X$14:$Z$25,2,1)))</f>
        <v>0</v>
      </c>
      <c r="T47" s="25">
        <f>VLOOKUP(A47,Participanti!A:C,3,0)</f>
        <v>0</v>
      </c>
      <c r="U47" s="20">
        <f t="shared" si="12"/>
        <v>0.93511904761904763</v>
      </c>
      <c r="V47" s="76">
        <v>44583</v>
      </c>
      <c r="W47" s="101">
        <f>COUNTIFS(A:A,A47,C:C,C47)</f>
        <v>1</v>
      </c>
      <c r="X47" s="74" t="str">
        <f>VLOOKUP(A47,Data_echipe!A:R,18,0)</f>
        <v>Road</v>
      </c>
      <c r="Z47" s="106">
        <f t="shared" si="7"/>
        <v>1</v>
      </c>
    </row>
    <row r="48" spans="1:26" x14ac:dyDescent="0.25">
      <c r="A48" s="61" t="s">
        <v>102</v>
      </c>
      <c r="B48" s="74" t="str">
        <f>VLOOKUP(A48,Participanti!A:B,2,0)</f>
        <v>F</v>
      </c>
      <c r="C48" s="98">
        <v>2</v>
      </c>
      <c r="D48" s="63">
        <v>5.01</v>
      </c>
      <c r="E48" s="64">
        <v>2.1377314814814818E-2</v>
      </c>
      <c r="F48" s="64">
        <v>2.1770833333333336E-2</v>
      </c>
      <c r="G48" s="90">
        <f t="shared" si="8"/>
        <v>2.1574074074074079E-2</v>
      </c>
      <c r="H48" s="65">
        <v>39</v>
      </c>
      <c r="I48" s="13">
        <f t="shared" si="9"/>
        <v>4.3062024099948266E-3</v>
      </c>
      <c r="J48" s="84">
        <f t="shared" si="10"/>
        <v>1.2524999999999999</v>
      </c>
      <c r="K48" s="84">
        <f>IF(J48=0,0,IF(B48="F",VLOOKUP(I48,Barem!$G$2:$H$11,2,1),VLOOKUP(I48,Barem!$G$12:$H$21,2,1)))</f>
        <v>1.5</v>
      </c>
      <c r="L48" s="63">
        <v>3.5</v>
      </c>
      <c r="M48" s="62" t="str">
        <f>VLOOKUP(C48,Barem!L:R,7,0)</f>
        <v>P</v>
      </c>
      <c r="N48" s="10">
        <f t="shared" si="13"/>
        <v>0.25</v>
      </c>
      <c r="O48" s="10">
        <f t="shared" si="13"/>
        <v>0.25</v>
      </c>
      <c r="P48" s="10">
        <f t="shared" si="13"/>
        <v>0.5</v>
      </c>
      <c r="Q48" s="47">
        <f t="shared" si="11"/>
        <v>0</v>
      </c>
      <c r="R48" s="25">
        <f>IF(D48&gt;21,VLOOKUP(D48,Barem!$T$1:$U$141,2,1),0)</f>
        <v>0</v>
      </c>
      <c r="S48" s="25">
        <f>IF(D48&lt;1.609,0,IF(B48="F",VLOOKUP(I48,Barem!$X$2:$Z$13,2,1),VLOOKUP(I48,Barem!$X$14:$Z$25,2,1)))</f>
        <v>0</v>
      </c>
      <c r="T48" s="25">
        <f>VLOOKUP(A48,Participanti!A:C,3,0)</f>
        <v>0</v>
      </c>
      <c r="U48" s="20">
        <f t="shared" si="12"/>
        <v>2.4381249999999999</v>
      </c>
      <c r="V48" s="76">
        <v>44583</v>
      </c>
      <c r="W48" s="101">
        <f>COUNTIFS(A:A,A48,C:C,C48)</f>
        <v>1</v>
      </c>
      <c r="X48" s="74" t="str">
        <f>VLOOKUP(A48,Data_echipe!A:R,18,0)</f>
        <v>Trail</v>
      </c>
      <c r="Z48" s="106">
        <f t="shared" si="7"/>
        <v>1</v>
      </c>
    </row>
    <row r="49" spans="1:26" x14ac:dyDescent="0.25">
      <c r="A49" s="61" t="s">
        <v>57</v>
      </c>
      <c r="B49" s="74" t="str">
        <f>VLOOKUP(A49,Participanti!A:B,2,0)</f>
        <v>M</v>
      </c>
      <c r="C49" s="98">
        <v>2</v>
      </c>
      <c r="D49" s="63">
        <v>12.01</v>
      </c>
      <c r="E49" s="64">
        <v>7.2268518518518524E-2</v>
      </c>
      <c r="F49" s="64">
        <v>7.3032407407407407E-2</v>
      </c>
      <c r="G49" s="90">
        <f t="shared" si="8"/>
        <v>7.2650462962962958E-2</v>
      </c>
      <c r="H49" s="65">
        <v>411</v>
      </c>
      <c r="I49" s="13">
        <f t="shared" si="9"/>
        <v>6.0491642766830108E-3</v>
      </c>
      <c r="J49" s="84">
        <f t="shared" si="10"/>
        <v>2.8595238095238091</v>
      </c>
      <c r="K49" s="84">
        <f>IF(J49=0,0,IF(B49="F",VLOOKUP(I49,Barem!$G$2:$H$11,2,1),VLOOKUP(I49,Barem!$G$12:$H$21,2,1)))</f>
        <v>0</v>
      </c>
      <c r="L49" s="63">
        <v>3.75</v>
      </c>
      <c r="M49" s="62" t="str">
        <f>VLOOKUP(C49,Barem!L:R,7,0)</f>
        <v>P</v>
      </c>
      <c r="N49" s="10">
        <f t="shared" si="13"/>
        <v>0.25</v>
      </c>
      <c r="O49" s="10">
        <f t="shared" si="13"/>
        <v>0.25</v>
      </c>
      <c r="P49" s="10">
        <f t="shared" si="13"/>
        <v>0.5</v>
      </c>
      <c r="Q49" s="47">
        <f t="shared" si="11"/>
        <v>0.27400000000000002</v>
      </c>
      <c r="R49" s="25">
        <f>IF(D49&gt;21,VLOOKUP(D49,Barem!$T$1:$U$141,2,1),0)</f>
        <v>0</v>
      </c>
      <c r="S49" s="25">
        <f>IF(D49&lt;1.609,0,IF(B49="F",VLOOKUP(I49,Barem!$X$2:$Z$13,2,1),VLOOKUP(I49,Barem!$X$14:$Z$25,2,1)))</f>
        <v>0</v>
      </c>
      <c r="T49" s="25">
        <f>VLOOKUP(A49,Participanti!A:C,3,0)</f>
        <v>0</v>
      </c>
      <c r="U49" s="20">
        <f t="shared" si="12"/>
        <v>2.8638809523809523</v>
      </c>
      <c r="V49" s="76">
        <v>44583</v>
      </c>
      <c r="W49" s="101">
        <f>COUNTIFS(A:A,A49,C:C,C49)</f>
        <v>1</v>
      </c>
      <c r="X49" s="74" t="str">
        <f>VLOOKUP(A49,Data_echipe!A:R,18,0)</f>
        <v>Trail</v>
      </c>
      <c r="Z49" s="106">
        <f t="shared" si="7"/>
        <v>0</v>
      </c>
    </row>
    <row r="50" spans="1:26" x14ac:dyDescent="0.25">
      <c r="A50" s="61" t="s">
        <v>215</v>
      </c>
      <c r="B50" s="74" t="str">
        <f>VLOOKUP(A50,Participanti!A:B,2,0)</f>
        <v>M</v>
      </c>
      <c r="C50" s="98">
        <v>2</v>
      </c>
      <c r="D50" s="63">
        <v>13.87</v>
      </c>
      <c r="E50" s="64">
        <v>5.424768518518519E-2</v>
      </c>
      <c r="F50" s="64">
        <v>5.4386574074074073E-2</v>
      </c>
      <c r="G50" s="90">
        <f>AVERAGE(E50:F50)</f>
        <v>5.4317129629629632E-2</v>
      </c>
      <c r="H50" s="65">
        <v>516</v>
      </c>
      <c r="I50" s="13">
        <f>G50/D50</f>
        <v>3.9161593099949271E-3</v>
      </c>
      <c r="J50" s="84">
        <f>IF(B50="F",IF(D50&lt;2.5,0,IF(D50&gt;19.99,5,D50/4)),IF(D50&lt;3,0, IF(D50&gt;20.99,5,D50/4.2)))</f>
        <v>3.3023809523809522</v>
      </c>
      <c r="K50" s="84">
        <f>IF(J50=0,0,IF(B50="F",VLOOKUP(I50,Barem!$G$2:$H$11,2,1),VLOOKUP(I50,Barem!$G$12:$H$21,2,1)))</f>
        <v>1.5</v>
      </c>
      <c r="L50" s="63">
        <v>2</v>
      </c>
      <c r="M50" s="62" t="str">
        <f>VLOOKUP(C50,Barem!L:R,7,0)</f>
        <v>P</v>
      </c>
      <c r="N50" s="10">
        <f t="shared" si="13"/>
        <v>0.25</v>
      </c>
      <c r="O50" s="10">
        <f t="shared" si="13"/>
        <v>0.25</v>
      </c>
      <c r="P50" s="10">
        <f t="shared" si="13"/>
        <v>0.5</v>
      </c>
      <c r="Q50" s="47">
        <f>IF(H50&gt;49,H50/1500,0)</f>
        <v>0.34399999999999997</v>
      </c>
      <c r="R50" s="25">
        <f>IF(D50&gt;21,VLOOKUP(D50,Barem!$T$1:$U$141,2,1),0)</f>
        <v>0</v>
      </c>
      <c r="S50" s="25">
        <f>IF(D50&lt;1.609,0,IF(B50="F",VLOOKUP(I50,Barem!$X$2:$Z$13,2,1),VLOOKUP(I50,Barem!$X$14:$Z$25,2,1)))</f>
        <v>0</v>
      </c>
      <c r="T50" s="25">
        <f>VLOOKUP(A50,Participanti!A:C,3,0)</f>
        <v>0</v>
      </c>
      <c r="U50" s="20">
        <f>IF(H50&lt;0,0,J50*N50+K50*O50+L50*P50+Q50+R50+S50+T50)</f>
        <v>2.5445952380952379</v>
      </c>
      <c r="V50" s="76">
        <v>44583</v>
      </c>
      <c r="W50" s="101">
        <f>COUNTIFS(A:A,A50,C:C,C50)</f>
        <v>1</v>
      </c>
      <c r="X50" s="74" t="str">
        <f>VLOOKUP(A50,Data_echipe!A:R,18,0)</f>
        <v>Trail</v>
      </c>
      <c r="Z50" s="106">
        <f t="shared" si="7"/>
        <v>1</v>
      </c>
    </row>
    <row r="51" spans="1:26" x14ac:dyDescent="0.25">
      <c r="A51" s="61" t="s">
        <v>179</v>
      </c>
      <c r="B51" s="74" t="str">
        <f>VLOOKUP(A51,Participanti!A:B,2,0)</f>
        <v>F</v>
      </c>
      <c r="C51" s="98">
        <v>2</v>
      </c>
      <c r="D51" s="63">
        <v>10.01</v>
      </c>
      <c r="E51" s="64">
        <v>4.2615740740740739E-2</v>
      </c>
      <c r="F51" s="64">
        <v>4.7129629629629632E-2</v>
      </c>
      <c r="G51" s="90">
        <f t="shared" si="8"/>
        <v>4.4872685185185182E-2</v>
      </c>
      <c r="H51" s="65">
        <v>8</v>
      </c>
      <c r="I51" s="13">
        <f t="shared" si="9"/>
        <v>4.4827857327857327E-3</v>
      </c>
      <c r="J51" s="84">
        <f t="shared" si="10"/>
        <v>2.5024999999999999</v>
      </c>
      <c r="K51" s="84">
        <f>IF(J51=0,0,IF(B51="F",VLOOKUP(I51,Barem!$G$2:$H$11,2,1),VLOOKUP(I51,Barem!$G$12:$H$21,2,1)))</f>
        <v>1.5</v>
      </c>
      <c r="L51" s="63">
        <v>2</v>
      </c>
      <c r="M51" s="149" t="s">
        <v>108</v>
      </c>
      <c r="N51" s="10">
        <f t="shared" si="13"/>
        <v>0.5</v>
      </c>
      <c r="O51" s="10">
        <f t="shared" si="13"/>
        <v>0.25</v>
      </c>
      <c r="P51" s="10">
        <f t="shared" si="13"/>
        <v>0.25</v>
      </c>
      <c r="Q51" s="47">
        <f t="shared" si="11"/>
        <v>0</v>
      </c>
      <c r="R51" s="25">
        <f>IF(D51&gt;21,VLOOKUP(D51,Barem!$T$1:$U$141,2,1),0)</f>
        <v>0</v>
      </c>
      <c r="S51" s="25">
        <f>IF(D51&lt;1.609,0,IF(B51="F",VLOOKUP(I51,Barem!$X$2:$Z$13,2,1),VLOOKUP(I51,Barem!$X$14:$Z$25,2,1)))</f>
        <v>0</v>
      </c>
      <c r="T51" s="25">
        <f>VLOOKUP(A51,Participanti!A:C,3,0)</f>
        <v>0</v>
      </c>
      <c r="U51" s="20">
        <f t="shared" si="12"/>
        <v>2.1262499999999998</v>
      </c>
      <c r="V51" s="76">
        <v>44583</v>
      </c>
      <c r="W51" s="101">
        <f>COUNTIFS(A:A,A51,C:C,C51)</f>
        <v>1</v>
      </c>
      <c r="X51" s="74" t="str">
        <f>VLOOKUP(A51,Data_echipe!A:R,18,0)</f>
        <v>Trail</v>
      </c>
      <c r="Z51" s="106">
        <f t="shared" si="7"/>
        <v>1</v>
      </c>
    </row>
    <row r="52" spans="1:26" x14ac:dyDescent="0.25">
      <c r="A52" s="61" t="s">
        <v>50</v>
      </c>
      <c r="B52" s="74" t="str">
        <f>VLOOKUP(A52,Participanti!A:B,2,0)</f>
        <v>M</v>
      </c>
      <c r="C52" s="98">
        <v>2</v>
      </c>
      <c r="D52" s="63">
        <v>10</v>
      </c>
      <c r="E52" s="64">
        <v>3.4039351851851855E-2</v>
      </c>
      <c r="F52" s="64">
        <v>3.4039351851851855E-2</v>
      </c>
      <c r="G52" s="90">
        <f t="shared" si="8"/>
        <v>3.4039351851851855E-2</v>
      </c>
      <c r="H52" s="65">
        <v>89</v>
      </c>
      <c r="I52" s="13">
        <f t="shared" si="9"/>
        <v>3.4039351851851856E-3</v>
      </c>
      <c r="J52" s="84">
        <f t="shared" si="10"/>
        <v>2.3809523809523809</v>
      </c>
      <c r="K52" s="84">
        <f>IF(J52=0,0,IF(B52="F",VLOOKUP(I52,Barem!$G$2:$H$11,2,1),VLOOKUP(I52,Barem!$G$12:$H$21,2,1)))</f>
        <v>3</v>
      </c>
      <c r="L52" s="63">
        <v>4.5</v>
      </c>
      <c r="M52" s="62" t="str">
        <f>VLOOKUP(C52,Barem!L:R,7,0)</f>
        <v>P</v>
      </c>
      <c r="N52" s="10">
        <f t="shared" si="13"/>
        <v>0.25</v>
      </c>
      <c r="O52" s="10">
        <f t="shared" si="13"/>
        <v>0.25</v>
      </c>
      <c r="P52" s="10">
        <f t="shared" si="13"/>
        <v>0.5</v>
      </c>
      <c r="Q52" s="47">
        <f t="shared" si="11"/>
        <v>5.9333333333333335E-2</v>
      </c>
      <c r="R52" s="25">
        <f>IF(D52&gt;21,VLOOKUP(D52,Barem!$T$1:$U$141,2,1),0)</f>
        <v>0</v>
      </c>
      <c r="S52" s="25">
        <f>IF(D52&lt;1.609,0,IF(B52="F",VLOOKUP(I52,Barem!$X$2:$Z$13,2,1),VLOOKUP(I52,Barem!$X$14:$Z$25,2,1)))</f>
        <v>0</v>
      </c>
      <c r="T52" s="25">
        <f>VLOOKUP(A52,Participanti!A:C,3,0)</f>
        <v>0</v>
      </c>
      <c r="U52" s="20">
        <f t="shared" si="12"/>
        <v>3.6545714285714288</v>
      </c>
      <c r="V52" s="76">
        <v>44584</v>
      </c>
      <c r="W52" s="101">
        <f>COUNTIFS(A:A,A52,C:C,C52)</f>
        <v>1</v>
      </c>
      <c r="X52" s="74" t="str">
        <f>VLOOKUP(A52,Data_echipe!A:R,18,0)</f>
        <v>Trail</v>
      </c>
      <c r="Z52" s="106">
        <f t="shared" si="7"/>
        <v>1</v>
      </c>
    </row>
    <row r="53" spans="1:26" x14ac:dyDescent="0.25">
      <c r="A53" s="61" t="s">
        <v>48</v>
      </c>
      <c r="B53" s="74" t="str">
        <f>VLOOKUP(A53,Participanti!A:B,2,0)</f>
        <v>M</v>
      </c>
      <c r="C53" s="98">
        <v>2</v>
      </c>
      <c r="D53" s="63">
        <v>14.17</v>
      </c>
      <c r="E53" s="64">
        <v>4.8969907407407413E-2</v>
      </c>
      <c r="F53" s="64">
        <v>4.9004629629629627E-2</v>
      </c>
      <c r="G53" s="90">
        <f t="shared" si="8"/>
        <v>4.898726851851852E-2</v>
      </c>
      <c r="H53" s="65">
        <v>27</v>
      </c>
      <c r="I53" s="13">
        <f t="shared" si="9"/>
        <v>3.4571113986251603E-3</v>
      </c>
      <c r="J53" s="84">
        <f t="shared" si="10"/>
        <v>3.3738095238095238</v>
      </c>
      <c r="K53" s="84">
        <f>IF(J53=0,0,IF(B53="F",VLOOKUP(I53,Barem!$G$2:$H$11,2,1),VLOOKUP(I53,Barem!$G$12:$H$21,2,1)))</f>
        <v>3</v>
      </c>
      <c r="L53" s="63">
        <v>1.5</v>
      </c>
      <c r="M53" s="149" t="s">
        <v>108</v>
      </c>
      <c r="N53" s="10">
        <f t="shared" si="13"/>
        <v>0.5</v>
      </c>
      <c r="O53" s="10">
        <f t="shared" si="13"/>
        <v>0.25</v>
      </c>
      <c r="P53" s="10">
        <f t="shared" si="13"/>
        <v>0.25</v>
      </c>
      <c r="Q53" s="47">
        <f t="shared" si="11"/>
        <v>0</v>
      </c>
      <c r="R53" s="25">
        <f>IF(D53&gt;21,VLOOKUP(D53,Barem!$T$1:$U$141,2,1),0)</f>
        <v>0</v>
      </c>
      <c r="S53" s="25">
        <f>IF(D53&lt;1.609,0,IF(B53="F",VLOOKUP(I53,Barem!$X$2:$Z$13,2,1),VLOOKUP(I53,Barem!$X$14:$Z$25,2,1)))</f>
        <v>0</v>
      </c>
      <c r="T53" s="25">
        <f>VLOOKUP(A53,Participanti!A:C,3,0)</f>
        <v>0</v>
      </c>
      <c r="U53" s="20">
        <f t="shared" si="12"/>
        <v>2.8119047619047617</v>
      </c>
      <c r="V53" s="76">
        <v>44580</v>
      </c>
      <c r="W53" s="101">
        <f>COUNTIFS(A:A,A53,C:C,C53)</f>
        <v>1</v>
      </c>
      <c r="X53" s="74" t="str">
        <f>VLOOKUP(A53,Data_echipe!A:R,18,0)</f>
        <v>Road</v>
      </c>
      <c r="Z53" s="106">
        <f t="shared" si="7"/>
        <v>1</v>
      </c>
    </row>
    <row r="54" spans="1:26" x14ac:dyDescent="0.25">
      <c r="A54" s="61" t="s">
        <v>221</v>
      </c>
      <c r="B54" s="74" t="str">
        <f>VLOOKUP(A54,Participanti!A:B,2,0)</f>
        <v>M</v>
      </c>
      <c r="C54" s="98">
        <v>2</v>
      </c>
      <c r="D54" s="63">
        <v>9.09</v>
      </c>
      <c r="E54" s="64">
        <v>2.9085648148148149E-2</v>
      </c>
      <c r="F54" s="64">
        <v>2.9120370370370366E-2</v>
      </c>
      <c r="G54" s="90">
        <f t="shared" si="8"/>
        <v>2.9103009259259259E-2</v>
      </c>
      <c r="H54" s="65">
        <v>0</v>
      </c>
      <c r="I54" s="13">
        <f t="shared" si="9"/>
        <v>3.2016511836368824E-3</v>
      </c>
      <c r="J54" s="84">
        <f t="shared" si="10"/>
        <v>2.1642857142857141</v>
      </c>
      <c r="K54" s="84">
        <f>IF(J54=0,0,IF(B54="F",VLOOKUP(I54,Barem!$G$2:$H$11,2,1),VLOOKUP(I54,Barem!$G$12:$H$21,2,1)))</f>
        <v>3.5</v>
      </c>
      <c r="L54" s="63">
        <v>1.5</v>
      </c>
      <c r="M54" s="149" t="s">
        <v>109</v>
      </c>
      <c r="N54" s="10">
        <f t="shared" si="13"/>
        <v>0.25</v>
      </c>
      <c r="O54" s="10">
        <f t="shared" si="13"/>
        <v>0.5</v>
      </c>
      <c r="P54" s="10">
        <f t="shared" si="13"/>
        <v>0.25</v>
      </c>
      <c r="Q54" s="47">
        <f t="shared" si="11"/>
        <v>0</v>
      </c>
      <c r="R54" s="25">
        <f>IF(D54&gt;21,VLOOKUP(D54,Barem!$T$1:$U$141,2,1),0)</f>
        <v>0</v>
      </c>
      <c r="S54" s="25">
        <f>IF(D54&lt;1.609,0,IF(B54="F",VLOOKUP(I54,Barem!$X$2:$Z$13,2,1),VLOOKUP(I54,Barem!$X$14:$Z$25,2,1)))</f>
        <v>0</v>
      </c>
      <c r="T54" s="25">
        <f>VLOOKUP(A54,Participanti!A:C,3,0)</f>
        <v>0</v>
      </c>
      <c r="U54" s="20">
        <f t="shared" si="12"/>
        <v>2.6660714285714286</v>
      </c>
      <c r="V54" s="76">
        <v>44583</v>
      </c>
      <c r="W54" s="101">
        <f>COUNTIFS(A:A,A54,C:C,C54)</f>
        <v>1</v>
      </c>
      <c r="X54" s="74" t="str">
        <f>VLOOKUP(A54,Data_echipe!A:R,18,0)</f>
        <v>Trail</v>
      </c>
      <c r="Z54" s="106">
        <f t="shared" si="7"/>
        <v>1</v>
      </c>
    </row>
    <row r="55" spans="1:26" x14ac:dyDescent="0.25">
      <c r="A55" s="61" t="s">
        <v>257</v>
      </c>
      <c r="B55" s="74" t="str">
        <f>VLOOKUP(A55,Participanti!A:B,2,0)</f>
        <v>M</v>
      </c>
      <c r="C55" s="98">
        <v>2</v>
      </c>
      <c r="D55" s="63">
        <v>43.43</v>
      </c>
      <c r="E55" s="64">
        <v>0.17369212962962963</v>
      </c>
      <c r="F55" s="64">
        <v>0.17760416666666667</v>
      </c>
      <c r="G55" s="90">
        <f t="shared" si="8"/>
        <v>0.17564814814814816</v>
      </c>
      <c r="H55" s="65">
        <v>402</v>
      </c>
      <c r="I55" s="13">
        <f t="shared" si="9"/>
        <v>4.0443966877307886E-3</v>
      </c>
      <c r="J55" s="84">
        <f t="shared" si="10"/>
        <v>5</v>
      </c>
      <c r="K55" s="84">
        <f>IF(J55=0,0,IF(B55="F",VLOOKUP(I55,Barem!$G$2:$H$11,2,1),VLOOKUP(I55,Barem!$G$12:$H$21,2,1)))</f>
        <v>1.5</v>
      </c>
      <c r="L55" s="63">
        <v>2</v>
      </c>
      <c r="M55" s="149" t="s">
        <v>108</v>
      </c>
      <c r="N55" s="10">
        <f t="shared" si="13"/>
        <v>0.5</v>
      </c>
      <c r="O55" s="10">
        <f t="shared" si="13"/>
        <v>0.25</v>
      </c>
      <c r="P55" s="10">
        <f t="shared" si="13"/>
        <v>0.25</v>
      </c>
      <c r="Q55" s="47">
        <f t="shared" si="11"/>
        <v>0.26800000000000002</v>
      </c>
      <c r="R55" s="25">
        <f>IF(D55&gt;21,VLOOKUP(D55,Barem!$T$1:$U$141,2,1),0)</f>
        <v>1.1000000000000001</v>
      </c>
      <c r="S55" s="25">
        <f>IF(D55&lt;1.609,0,IF(B55="F",VLOOKUP(I55,Barem!$X$2:$Z$13,2,1),VLOOKUP(I55,Barem!$X$14:$Z$25,2,1)))</f>
        <v>0</v>
      </c>
      <c r="T55" s="25">
        <f>VLOOKUP(A55,Participanti!A:C,3,0)</f>
        <v>0</v>
      </c>
      <c r="U55" s="20">
        <f t="shared" si="12"/>
        <v>4.7430000000000003</v>
      </c>
      <c r="V55" s="76">
        <v>44580</v>
      </c>
      <c r="W55" s="101">
        <f>COUNTIFS(A:A,A55,C:C,C55)</f>
        <v>1</v>
      </c>
      <c r="X55" s="74" t="str">
        <f>VLOOKUP(A55,Data_echipe!A:R,18,0)</f>
        <v>Road</v>
      </c>
      <c r="Z55" s="106">
        <f t="shared" si="7"/>
        <v>1</v>
      </c>
    </row>
    <row r="56" spans="1:26" x14ac:dyDescent="0.25">
      <c r="A56" s="61" t="s">
        <v>184</v>
      </c>
      <c r="B56" s="74" t="str">
        <f>VLOOKUP(A56,Participanti!A:B,2,0)</f>
        <v>F</v>
      </c>
      <c r="C56" s="98">
        <v>2</v>
      </c>
      <c r="D56" s="63">
        <v>8.0399999999999991</v>
      </c>
      <c r="E56" s="64">
        <v>3.8645833333333331E-2</v>
      </c>
      <c r="F56" s="64">
        <v>3.9074074074074074E-2</v>
      </c>
      <c r="G56" s="90">
        <f t="shared" si="8"/>
        <v>3.8859953703703702E-2</v>
      </c>
      <c r="H56" s="65">
        <v>7</v>
      </c>
      <c r="I56" s="13">
        <f t="shared" si="9"/>
        <v>4.8333275750875255E-3</v>
      </c>
      <c r="J56" s="84">
        <f t="shared" si="10"/>
        <v>2.0099999999999998</v>
      </c>
      <c r="K56" s="84">
        <f>IF(J56=0,0,IF(B56="F",VLOOKUP(I56,Barem!$G$2:$H$11,2,1),VLOOKUP(I56,Barem!$G$12:$H$21,2,1)))</f>
        <v>1</v>
      </c>
      <c r="L56" s="63">
        <v>2</v>
      </c>
      <c r="M56" s="62" t="str">
        <f>VLOOKUP(C56,Barem!L:R,7,0)</f>
        <v>P</v>
      </c>
      <c r="N56" s="10">
        <f t="shared" si="13"/>
        <v>0.25</v>
      </c>
      <c r="O56" s="10">
        <f t="shared" si="13"/>
        <v>0.25</v>
      </c>
      <c r="P56" s="10">
        <f t="shared" si="13"/>
        <v>0.5</v>
      </c>
      <c r="Q56" s="47">
        <f t="shared" si="11"/>
        <v>0</v>
      </c>
      <c r="R56" s="25">
        <f>IF(D56&gt;21,VLOOKUP(D56,Barem!$T$1:$U$141,2,1),0)</f>
        <v>0</v>
      </c>
      <c r="S56" s="25">
        <f>IF(D56&lt;1.609,0,IF(B56="F",VLOOKUP(I56,Barem!$X$2:$Z$13,2,1),VLOOKUP(I56,Barem!$X$14:$Z$25,2,1)))</f>
        <v>0</v>
      </c>
      <c r="T56" s="25">
        <f>VLOOKUP(A56,Participanti!A:C,3,0)</f>
        <v>0</v>
      </c>
      <c r="U56" s="20">
        <f t="shared" si="12"/>
        <v>1.7524999999999999</v>
      </c>
      <c r="V56" s="76">
        <v>44582</v>
      </c>
      <c r="W56" s="101">
        <f>COUNTIFS(A:A,A56,C:C,C56)</f>
        <v>1</v>
      </c>
      <c r="X56" s="74" t="e">
        <f>VLOOKUP(A56,Data_echipe!A:R,18,0)</f>
        <v>#N/A</v>
      </c>
      <c r="Z56" s="106">
        <f t="shared" si="7"/>
        <v>1</v>
      </c>
    </row>
    <row r="57" spans="1:26" x14ac:dyDescent="0.25">
      <c r="A57" s="61" t="s">
        <v>64</v>
      </c>
      <c r="B57" s="74" t="str">
        <f>VLOOKUP(A57,Participanti!A:B,2,0)</f>
        <v>M</v>
      </c>
      <c r="C57" s="98">
        <v>2</v>
      </c>
      <c r="D57" s="63">
        <v>15.13</v>
      </c>
      <c r="E57" s="64">
        <v>5.7384259259259253E-2</v>
      </c>
      <c r="F57" s="64">
        <v>5.7465277777777775E-2</v>
      </c>
      <c r="G57" s="90">
        <f t="shared" si="8"/>
        <v>5.7424768518518514E-2</v>
      </c>
      <c r="H57" s="65">
        <v>26</v>
      </c>
      <c r="I57" s="13">
        <f t="shared" si="9"/>
        <v>3.795424224621184E-3</v>
      </c>
      <c r="J57" s="84">
        <f t="shared" si="10"/>
        <v>3.6023809523809525</v>
      </c>
      <c r="K57" s="84">
        <f>IF(J57=0,0,IF(B57="F",VLOOKUP(I57,Barem!$G$2:$H$11,2,1),VLOOKUP(I57,Barem!$G$12:$H$21,2,1)))</f>
        <v>2</v>
      </c>
      <c r="L57" s="63">
        <v>3.5</v>
      </c>
      <c r="M57" s="149" t="s">
        <v>109</v>
      </c>
      <c r="N57" s="10">
        <f t="shared" si="13"/>
        <v>0.25</v>
      </c>
      <c r="O57" s="10">
        <f t="shared" si="13"/>
        <v>0.5</v>
      </c>
      <c r="P57" s="10">
        <f t="shared" si="13"/>
        <v>0.25</v>
      </c>
      <c r="Q57" s="47">
        <f t="shared" si="11"/>
        <v>0</v>
      </c>
      <c r="R57" s="25">
        <f>IF(D57&gt;21,VLOOKUP(D57,Barem!$T$1:$U$141,2,1),0)</f>
        <v>0</v>
      </c>
      <c r="S57" s="25">
        <f>IF(D57&lt;1.609,0,IF(B57="F",VLOOKUP(I57,Barem!$X$2:$Z$13,2,1),VLOOKUP(I57,Barem!$X$14:$Z$25,2,1)))</f>
        <v>0</v>
      </c>
      <c r="T57" s="25">
        <f>VLOOKUP(A57,Participanti!A:C,3,0)</f>
        <v>0</v>
      </c>
      <c r="U57" s="20">
        <f t="shared" si="12"/>
        <v>2.7755952380952382</v>
      </c>
      <c r="V57" s="76">
        <v>44584</v>
      </c>
      <c r="W57" s="101">
        <f>COUNTIFS(A:A,A57,C:C,C57)</f>
        <v>1</v>
      </c>
      <c r="X57" s="74" t="str">
        <f>VLOOKUP(A57,Data_echipe!A:R,18,0)</f>
        <v>Trail</v>
      </c>
      <c r="Z57" s="106">
        <f t="shared" si="7"/>
        <v>1</v>
      </c>
    </row>
    <row r="58" spans="1:26" x14ac:dyDescent="0.25">
      <c r="A58" s="61" t="s">
        <v>117</v>
      </c>
      <c r="B58" s="74" t="str">
        <f>VLOOKUP(A58,Participanti!A:B,2,0)</f>
        <v>M</v>
      </c>
      <c r="C58" s="98">
        <v>2</v>
      </c>
      <c r="D58" s="63">
        <v>34.340000000000003</v>
      </c>
      <c r="E58" s="64">
        <v>0.12964120370370372</v>
      </c>
      <c r="F58" s="64">
        <v>0.14225694444444445</v>
      </c>
      <c r="G58" s="90">
        <f t="shared" si="8"/>
        <v>0.13594907407407408</v>
      </c>
      <c r="H58" s="65">
        <v>108</v>
      </c>
      <c r="I58" s="13">
        <f t="shared" si="9"/>
        <v>3.9589130481675616E-3</v>
      </c>
      <c r="J58" s="84">
        <f t="shared" si="10"/>
        <v>5</v>
      </c>
      <c r="K58" s="84">
        <f>IF(J58=0,0,IF(B58="F",VLOOKUP(I58,Barem!$G$2:$H$11,2,1),VLOOKUP(I58,Barem!$G$12:$H$21,2,1)))</f>
        <v>1.5</v>
      </c>
      <c r="L58" s="63">
        <v>3.5</v>
      </c>
      <c r="M58" s="149" t="s">
        <v>108</v>
      </c>
      <c r="N58" s="10">
        <f t="shared" si="13"/>
        <v>0.5</v>
      </c>
      <c r="O58" s="10">
        <f t="shared" si="13"/>
        <v>0.25</v>
      </c>
      <c r="P58" s="10">
        <f t="shared" si="13"/>
        <v>0.25</v>
      </c>
      <c r="Q58" s="47">
        <f t="shared" si="11"/>
        <v>7.1999999999999995E-2</v>
      </c>
      <c r="R58" s="25">
        <f>IF(D58&gt;21,VLOOKUP(D58,Barem!$T$1:$U$141,2,1),0)</f>
        <v>0.6</v>
      </c>
      <c r="S58" s="25">
        <f>IF(D58&lt;1.609,0,IF(B58="F",VLOOKUP(I58,Barem!$X$2:$Z$13,2,1),VLOOKUP(I58,Barem!$X$14:$Z$25,2,1)))</f>
        <v>0</v>
      </c>
      <c r="T58" s="25">
        <f>VLOOKUP(A58,Participanti!A:C,3,0)</f>
        <v>0</v>
      </c>
      <c r="U58" s="20">
        <f t="shared" si="12"/>
        <v>4.4219999999999997</v>
      </c>
      <c r="V58" s="76">
        <v>44584</v>
      </c>
      <c r="W58" s="101">
        <f>COUNTIFS(A:A,A58,C:C,C58)</f>
        <v>1</v>
      </c>
      <c r="X58" s="74" t="str">
        <f>VLOOKUP(A58,Data_echipe!A:R,18,0)</f>
        <v>Trail</v>
      </c>
      <c r="Z58" s="106">
        <f t="shared" si="7"/>
        <v>1</v>
      </c>
    </row>
    <row r="59" spans="1:26" ht="12.6" thickBot="1" x14ac:dyDescent="0.3">
      <c r="A59" s="130" t="s">
        <v>138</v>
      </c>
      <c r="B59" s="131" t="str">
        <f>VLOOKUP(A59,Participanti!A:B,2,0)</f>
        <v>F</v>
      </c>
      <c r="C59" s="132">
        <v>2</v>
      </c>
      <c r="D59" s="133"/>
      <c r="E59" s="134"/>
      <c r="F59" s="134"/>
      <c r="G59" s="135"/>
      <c r="H59" s="136"/>
      <c r="I59" s="137"/>
      <c r="J59" s="138">
        <f t="shared" si="10"/>
        <v>0</v>
      </c>
      <c r="K59" s="138">
        <f>IF(J59=0,0,IF(B59="F",VLOOKUP(I59,Barem!$G$2:$H$11,2,1),VLOOKUP(I59,Barem!$G$12:$H$21,2,1)))</f>
        <v>0</v>
      </c>
      <c r="L59" s="133"/>
      <c r="M59" s="151" t="s">
        <v>260</v>
      </c>
      <c r="N59" s="140">
        <f t="shared" si="13"/>
        <v>0.25</v>
      </c>
      <c r="O59" s="140">
        <f t="shared" si="13"/>
        <v>0.25</v>
      </c>
      <c r="P59" s="140">
        <f t="shared" si="13"/>
        <v>0.25</v>
      </c>
      <c r="Q59" s="141">
        <f t="shared" si="11"/>
        <v>0</v>
      </c>
      <c r="R59" s="142">
        <f>IF(D59&gt;21,VLOOKUP(D59,Barem!$T$1:$U$141,2,1),0)</f>
        <v>0</v>
      </c>
      <c r="S59" s="142">
        <f>IF(D59&lt;1.609,0,IF(B59="F",VLOOKUP(I59,Barem!$X$2:$Z$13,2,1),VLOOKUP(I59,Barem!$X$14:$Z$25,2,1)))</f>
        <v>0</v>
      </c>
      <c r="T59" s="142">
        <f>VLOOKUP(A59,Participanti!A:C,3,0)</f>
        <v>0</v>
      </c>
      <c r="U59" s="147">
        <v>1.5</v>
      </c>
      <c r="V59" s="144"/>
      <c r="W59" s="145">
        <f>COUNTIFS(A:A,A59,C:C,C59)</f>
        <v>1</v>
      </c>
      <c r="X59" s="131" t="str">
        <f>VLOOKUP(A59,Data_echipe!A:R,18,0)</f>
        <v>Road</v>
      </c>
      <c r="Y59" s="146"/>
      <c r="Z59" s="106">
        <f t="shared" si="7"/>
        <v>0</v>
      </c>
    </row>
    <row r="60" spans="1:26" x14ac:dyDescent="0.25">
      <c r="A60" s="61" t="s">
        <v>218</v>
      </c>
      <c r="B60" s="74" t="str">
        <f>VLOOKUP(A60,Participanti!A:B,2,0)</f>
        <v>M</v>
      </c>
      <c r="C60" s="98">
        <v>3</v>
      </c>
      <c r="D60" s="63">
        <v>21.1</v>
      </c>
      <c r="E60" s="64">
        <v>6.7604166666666674E-2</v>
      </c>
      <c r="F60" s="64">
        <v>6.7604166666666674E-2</v>
      </c>
      <c r="G60" s="90">
        <f t="shared" ref="G60:G88" si="14">AVERAGE(E60:F60)</f>
        <v>6.7604166666666674E-2</v>
      </c>
      <c r="H60" s="65">
        <v>267</v>
      </c>
      <c r="I60" s="13">
        <f t="shared" ref="I60:I88" si="15">G60/D60</f>
        <v>3.2039889415481832E-3</v>
      </c>
      <c r="J60" s="84">
        <f t="shared" ref="J60:J88" si="16">IF(B60="F",IF(D60&lt;2.5,0,IF(D60&gt;19.99,5,D60/4)),IF(D60&lt;3,0, IF(D60&gt;20.99,5,D60/4.2)))</f>
        <v>5</v>
      </c>
      <c r="K60" s="84">
        <f>IF(J60=0,0,IF(B60="F",VLOOKUP(I60,Barem!$G$2:$H$11,2,1),VLOOKUP(I60,Barem!$G$12:$H$21,2,1)))</f>
        <v>3.5</v>
      </c>
      <c r="L60" s="63">
        <v>3.5</v>
      </c>
      <c r="M60" s="149" t="s">
        <v>220</v>
      </c>
      <c r="N60" s="10">
        <f t="shared" si="13"/>
        <v>0.25</v>
      </c>
      <c r="O60" s="10">
        <f t="shared" si="13"/>
        <v>0.25</v>
      </c>
      <c r="P60" s="10">
        <f t="shared" si="13"/>
        <v>0.5</v>
      </c>
      <c r="Q60" s="47">
        <f t="shared" ref="Q60:Q88" si="17">IF(H60&gt;49,H60/1500,0)</f>
        <v>0.17799999999999999</v>
      </c>
      <c r="R60" s="25">
        <f>IF(D60&gt;21,VLOOKUP(D60,Barem!$T$1:$U$141,2,1),0)</f>
        <v>0</v>
      </c>
      <c r="S60" s="25">
        <f>IF(D60&lt;1.609,0,IF(B60="F",VLOOKUP(I60,Barem!$X$2:$Z$13,2,1),VLOOKUP(I60,Barem!$X$14:$Z$25,2,1)))</f>
        <v>0</v>
      </c>
      <c r="T60" s="25">
        <f>VLOOKUP(A60,Participanti!A:C,3,0)</f>
        <v>0</v>
      </c>
      <c r="U60" s="20">
        <f t="shared" ref="U60:U88" si="18">IF(H60&lt;0,0,J60*N60+K60*O60+L60*P60+Q60+R60+S60+T60)</f>
        <v>4.0529999999999999</v>
      </c>
      <c r="V60" s="76">
        <v>44586</v>
      </c>
      <c r="W60" s="101">
        <f>COUNTIFS(A:A,A60,C:C,C60)</f>
        <v>1</v>
      </c>
      <c r="X60" s="74" t="str">
        <f>VLOOKUP(A60,Data_echipe!A:R,18,0)</f>
        <v>Road</v>
      </c>
      <c r="Y60" s="22" t="s">
        <v>266</v>
      </c>
      <c r="Z60" s="106">
        <f t="shared" si="7"/>
        <v>1</v>
      </c>
    </row>
    <row r="61" spans="1:26" x14ac:dyDescent="0.25">
      <c r="A61" s="61" t="s">
        <v>50</v>
      </c>
      <c r="B61" s="74" t="str">
        <f>VLOOKUP(A61,Participanti!A:B,2,0)</f>
        <v>M</v>
      </c>
      <c r="C61" s="98">
        <v>3</v>
      </c>
      <c r="D61" s="63">
        <v>37.07</v>
      </c>
      <c r="E61" s="64">
        <v>0.14055555555555554</v>
      </c>
      <c r="F61" s="64">
        <v>0.16920138888888889</v>
      </c>
      <c r="G61" s="90">
        <f t="shared" si="14"/>
        <v>0.15487847222222223</v>
      </c>
      <c r="H61" s="65">
        <v>70</v>
      </c>
      <c r="I61" s="13">
        <f t="shared" si="15"/>
        <v>4.178000329706561E-3</v>
      </c>
      <c r="J61" s="84">
        <f t="shared" si="16"/>
        <v>5</v>
      </c>
      <c r="K61" s="84">
        <f>IF(J61=0,0,IF(B61="F",VLOOKUP(I61,Barem!$G$2:$H$11,2,1),VLOOKUP(I61,Barem!$G$12:$H$21,2,1)))</f>
        <v>1.5</v>
      </c>
      <c r="L61" s="63">
        <v>4</v>
      </c>
      <c r="M61" s="62" t="str">
        <f>VLOOKUP(C61,Barem!L:R,7,0)</f>
        <v>D</v>
      </c>
      <c r="N61" s="10">
        <f t="shared" ref="N61:P88" si="19">IF($M61=N$1,50%,25%)</f>
        <v>0.5</v>
      </c>
      <c r="O61" s="10">
        <f t="shared" si="19"/>
        <v>0.25</v>
      </c>
      <c r="P61" s="10">
        <f t="shared" si="19"/>
        <v>0.25</v>
      </c>
      <c r="Q61" s="47">
        <f t="shared" si="17"/>
        <v>4.6666666666666669E-2</v>
      </c>
      <c r="R61" s="25">
        <f>IF(D61&gt;21,VLOOKUP(D61,Barem!$T$1:$U$141,2,1),0)</f>
        <v>0.8</v>
      </c>
      <c r="S61" s="25">
        <f>IF(D61&lt;1.609,0,IF(B61="F",VLOOKUP(I61,Barem!$X$2:$Z$13,2,1),VLOOKUP(I61,Barem!$X$14:$Z$25,2,1)))</f>
        <v>0</v>
      </c>
      <c r="T61" s="25">
        <f>VLOOKUP(A61,Participanti!A:C,3,0)</f>
        <v>0</v>
      </c>
      <c r="U61" s="20">
        <f t="shared" si="18"/>
        <v>4.7216666666666667</v>
      </c>
      <c r="V61" s="76">
        <v>44590</v>
      </c>
      <c r="W61" s="101">
        <f>COUNTIFS(A:A,A61,C:C,C61)</f>
        <v>1</v>
      </c>
      <c r="X61" s="74" t="str">
        <f>VLOOKUP(A61,Data_echipe!A:R,18,0)</f>
        <v>Trail</v>
      </c>
      <c r="Z61" s="106">
        <f t="shared" si="7"/>
        <v>1</v>
      </c>
    </row>
    <row r="62" spans="1:26" x14ac:dyDescent="0.25">
      <c r="A62" s="61" t="s">
        <v>52</v>
      </c>
      <c r="B62" s="74" t="str">
        <f>VLOOKUP(A62,Participanti!A:B,2,0)</f>
        <v>M</v>
      </c>
      <c r="C62" s="98">
        <v>3</v>
      </c>
      <c r="D62" s="63">
        <v>10.29</v>
      </c>
      <c r="E62" s="64">
        <v>2.9664351851851855E-2</v>
      </c>
      <c r="F62" s="64">
        <v>2.9664351851851855E-2</v>
      </c>
      <c r="G62" s="90">
        <f t="shared" si="14"/>
        <v>2.9664351851851855E-2</v>
      </c>
      <c r="H62" s="65">
        <v>17</v>
      </c>
      <c r="I62" s="13">
        <f t="shared" si="15"/>
        <v>2.8828330273908509E-3</v>
      </c>
      <c r="J62" s="84">
        <f t="shared" si="16"/>
        <v>2.4499999999999997</v>
      </c>
      <c r="K62" s="84">
        <f>IF(J62=0,0,IF(B62="F",VLOOKUP(I62,Barem!$G$2:$H$11,2,1),VLOOKUP(I62,Barem!$G$12:$H$21,2,1)))</f>
        <v>4.5</v>
      </c>
      <c r="L62" s="63">
        <v>3.5</v>
      </c>
      <c r="M62" s="149" t="s">
        <v>109</v>
      </c>
      <c r="N62" s="10">
        <f t="shared" si="19"/>
        <v>0.25</v>
      </c>
      <c r="O62" s="10">
        <f t="shared" si="19"/>
        <v>0.5</v>
      </c>
      <c r="P62" s="10">
        <f t="shared" si="19"/>
        <v>0.25</v>
      </c>
      <c r="Q62" s="47">
        <f t="shared" si="17"/>
        <v>0</v>
      </c>
      <c r="R62" s="25">
        <f>IF(D62&gt;21,VLOOKUP(D62,Barem!$T$1:$U$141,2,1),0)</f>
        <v>0</v>
      </c>
      <c r="S62" s="25">
        <f>IF(D62&lt;1.609,0,IF(B62="F",VLOOKUP(I62,Barem!$X$2:$Z$13,2,1),VLOOKUP(I62,Barem!$X$14:$Z$25,2,1)))</f>
        <v>0</v>
      </c>
      <c r="T62" s="25">
        <f>VLOOKUP(A62,Participanti!A:C,3,0)</f>
        <v>0</v>
      </c>
      <c r="U62" s="20">
        <f t="shared" si="18"/>
        <v>3.7374999999999998</v>
      </c>
      <c r="V62" s="76">
        <v>44590</v>
      </c>
      <c r="W62" s="101">
        <f>COUNTIFS(A:A,A62,C:C,C62)</f>
        <v>1</v>
      </c>
      <c r="X62" s="74" t="str">
        <f>VLOOKUP(A62,Data_echipe!A:R,18,0)</f>
        <v>Trail</v>
      </c>
      <c r="Z62" s="106">
        <f t="shared" si="7"/>
        <v>1</v>
      </c>
    </row>
    <row r="63" spans="1:26" x14ac:dyDescent="0.25">
      <c r="A63" s="61" t="s">
        <v>64</v>
      </c>
      <c r="B63" s="74" t="str">
        <f>VLOOKUP(A63,Participanti!A:B,2,0)</f>
        <v>M</v>
      </c>
      <c r="C63" s="98">
        <v>3</v>
      </c>
      <c r="D63" s="63">
        <v>22.04</v>
      </c>
      <c r="E63" s="64">
        <v>0.13586805555555556</v>
      </c>
      <c r="F63" s="64">
        <v>0.16259259259259259</v>
      </c>
      <c r="G63" s="90">
        <f t="shared" si="14"/>
        <v>0.14923032407407408</v>
      </c>
      <c r="H63" s="65">
        <v>849</v>
      </c>
      <c r="I63" s="13">
        <f t="shared" si="15"/>
        <v>6.7708858472810387E-3</v>
      </c>
      <c r="J63" s="84">
        <f t="shared" si="16"/>
        <v>5</v>
      </c>
      <c r="K63" s="84">
        <f>IF(J63=0,0,IF(B63="F",VLOOKUP(I63,Barem!$G$2:$H$11,2,1),VLOOKUP(I63,Barem!$G$12:$H$21,2,1)))</f>
        <v>0</v>
      </c>
      <c r="L63" s="63">
        <v>4.5</v>
      </c>
      <c r="M63" s="149" t="s">
        <v>220</v>
      </c>
      <c r="N63" s="10">
        <f t="shared" si="19"/>
        <v>0.25</v>
      </c>
      <c r="O63" s="10">
        <f t="shared" si="19"/>
        <v>0.25</v>
      </c>
      <c r="P63" s="10">
        <f t="shared" si="19"/>
        <v>0.5</v>
      </c>
      <c r="Q63" s="47">
        <f t="shared" si="17"/>
        <v>0.56599999999999995</v>
      </c>
      <c r="R63" s="25">
        <f>IF(D63&gt;21,VLOOKUP(D63,Barem!$T$1:$U$141,2,1),0)</f>
        <v>0</v>
      </c>
      <c r="S63" s="25">
        <f>IF(D63&lt;1.609,0,IF(B63="F",VLOOKUP(I63,Barem!$X$2:$Z$13,2,1),VLOOKUP(I63,Barem!$X$14:$Z$25,2,1)))</f>
        <v>0</v>
      </c>
      <c r="T63" s="25">
        <f>VLOOKUP(A63,Participanti!A:C,3,0)</f>
        <v>0</v>
      </c>
      <c r="U63" s="20">
        <f t="shared" si="18"/>
        <v>4.0659999999999998</v>
      </c>
      <c r="V63" s="76">
        <v>44590</v>
      </c>
      <c r="W63" s="101">
        <f>COUNTIFS(A:A,A63,C:C,C63)</f>
        <v>1</v>
      </c>
      <c r="X63" s="74" t="str">
        <f>VLOOKUP(A63,Data_echipe!A:R,18,0)</f>
        <v>Trail</v>
      </c>
      <c r="Z63" s="106">
        <f t="shared" si="7"/>
        <v>0</v>
      </c>
    </row>
    <row r="64" spans="1:26" x14ac:dyDescent="0.25">
      <c r="A64" s="61" t="s">
        <v>117</v>
      </c>
      <c r="B64" s="74" t="str">
        <f>VLOOKUP(A64,Participanti!A:B,2,0)</f>
        <v>M</v>
      </c>
      <c r="C64" s="98">
        <v>3</v>
      </c>
      <c r="D64" s="63">
        <v>13.28</v>
      </c>
      <c r="E64" s="64">
        <v>4.1678240740740745E-2</v>
      </c>
      <c r="F64" s="64">
        <v>4.1747685185185186E-2</v>
      </c>
      <c r="G64" s="90">
        <f t="shared" si="14"/>
        <v>4.1712962962962966E-2</v>
      </c>
      <c r="H64" s="65">
        <v>55</v>
      </c>
      <c r="I64" s="13">
        <f t="shared" si="15"/>
        <v>3.1410363676929944E-3</v>
      </c>
      <c r="J64" s="84">
        <f t="shared" si="16"/>
        <v>3.1619047619047618</v>
      </c>
      <c r="K64" s="84">
        <f>IF(J64=0,0,IF(B64="F",VLOOKUP(I64,Barem!$G$2:$H$11,2,1),VLOOKUP(I64,Barem!$G$12:$H$21,2,1)))</f>
        <v>3.5</v>
      </c>
      <c r="L64" s="63">
        <v>2.5</v>
      </c>
      <c r="M64" s="149" t="s">
        <v>109</v>
      </c>
      <c r="N64" s="10">
        <f t="shared" si="19"/>
        <v>0.25</v>
      </c>
      <c r="O64" s="10">
        <f t="shared" si="19"/>
        <v>0.5</v>
      </c>
      <c r="P64" s="10">
        <f t="shared" si="19"/>
        <v>0.25</v>
      </c>
      <c r="Q64" s="47">
        <f t="shared" si="17"/>
        <v>3.6666666666666667E-2</v>
      </c>
      <c r="R64" s="25">
        <f>IF(D64&gt;21,VLOOKUP(D64,Barem!$T$1:$U$141,2,1),0)</f>
        <v>0</v>
      </c>
      <c r="S64" s="25">
        <f>IF(D64&lt;1.609,0,IF(B64="F",VLOOKUP(I64,Barem!$X$2:$Z$13,2,1),VLOOKUP(I64,Barem!$X$14:$Z$25,2,1)))</f>
        <v>0</v>
      </c>
      <c r="T64" s="25">
        <f>VLOOKUP(A64,Participanti!A:C,3,0)</f>
        <v>0</v>
      </c>
      <c r="U64" s="20">
        <f t="shared" si="18"/>
        <v>3.202142857142857</v>
      </c>
      <c r="V64" s="76">
        <v>44588</v>
      </c>
      <c r="W64" s="101">
        <f>COUNTIFS(A:A,A64,C:C,C64)</f>
        <v>1</v>
      </c>
      <c r="X64" s="74" t="str">
        <f>VLOOKUP(A64,Data_echipe!A:R,18,0)</f>
        <v>Trail</v>
      </c>
      <c r="Z64" s="106">
        <f t="shared" si="7"/>
        <v>1</v>
      </c>
    </row>
    <row r="65" spans="1:26" x14ac:dyDescent="0.25">
      <c r="A65" s="61" t="s">
        <v>110</v>
      </c>
      <c r="B65" s="74" t="str">
        <f>VLOOKUP(A65,Participanti!A:B,2,0)</f>
        <v>M</v>
      </c>
      <c r="C65" s="98">
        <v>3</v>
      </c>
      <c r="D65" s="63">
        <v>33.200000000000003</v>
      </c>
      <c r="E65" s="64">
        <v>0.18315972222222221</v>
      </c>
      <c r="F65" s="64">
        <v>0.20012731481481483</v>
      </c>
      <c r="G65" s="90">
        <f t="shared" si="14"/>
        <v>0.19164351851851852</v>
      </c>
      <c r="H65" s="65">
        <v>1442</v>
      </c>
      <c r="I65" s="13">
        <f t="shared" si="15"/>
        <v>5.7723951360999547E-3</v>
      </c>
      <c r="J65" s="84">
        <f t="shared" si="16"/>
        <v>5</v>
      </c>
      <c r="K65" s="84">
        <f>IF(J65=0,0,IF(B65="F",VLOOKUP(I65,Barem!$G$2:$H$11,2,1),VLOOKUP(I65,Barem!$G$12:$H$21,2,1)))</f>
        <v>0</v>
      </c>
      <c r="L65" s="63">
        <v>4</v>
      </c>
      <c r="M65" s="62" t="str">
        <f>VLOOKUP(C65,Barem!L:R,7,0)</f>
        <v>D</v>
      </c>
      <c r="N65" s="10">
        <f t="shared" si="19"/>
        <v>0.5</v>
      </c>
      <c r="O65" s="10">
        <f t="shared" si="19"/>
        <v>0.25</v>
      </c>
      <c r="P65" s="10">
        <f t="shared" si="19"/>
        <v>0.25</v>
      </c>
      <c r="Q65" s="47">
        <f t="shared" si="17"/>
        <v>0.96133333333333337</v>
      </c>
      <c r="R65" s="25">
        <f>IF(D65&gt;21,VLOOKUP(D65,Barem!$T$1:$U$141,2,1),0)</f>
        <v>0.6</v>
      </c>
      <c r="S65" s="25">
        <f>IF(D65&lt;1.609,0,IF(B65="F",VLOOKUP(I65,Barem!$X$2:$Z$13,2,1),VLOOKUP(I65,Barem!$X$14:$Z$25,2,1)))</f>
        <v>0</v>
      </c>
      <c r="T65" s="25">
        <f>VLOOKUP(A65,Participanti!A:C,3,0)</f>
        <v>0</v>
      </c>
      <c r="U65" s="20">
        <f t="shared" si="18"/>
        <v>5.0613333333333328</v>
      </c>
      <c r="V65" s="76">
        <v>44590</v>
      </c>
      <c r="W65" s="101">
        <f>COUNTIFS(A:A,A65,C:C,C65)</f>
        <v>1</v>
      </c>
      <c r="X65" s="74" t="str">
        <f>VLOOKUP(A65,Data_echipe!A:R,18,0)</f>
        <v>Road</v>
      </c>
      <c r="Z65" s="106">
        <f t="shared" si="7"/>
        <v>0</v>
      </c>
    </row>
    <row r="66" spans="1:26" x14ac:dyDescent="0.25">
      <c r="A66" s="61" t="s">
        <v>254</v>
      </c>
      <c r="B66" s="74" t="str">
        <f>VLOOKUP(A66,Participanti!A:B,2,0)</f>
        <v>M</v>
      </c>
      <c r="C66" s="98">
        <v>3</v>
      </c>
      <c r="D66" s="63">
        <v>6.02</v>
      </c>
      <c r="E66" s="64">
        <v>1.9675925925925927E-2</v>
      </c>
      <c r="F66" s="64">
        <v>1.9675925925925927E-2</v>
      </c>
      <c r="G66" s="90">
        <f t="shared" si="14"/>
        <v>1.9675925925925927E-2</v>
      </c>
      <c r="H66" s="65">
        <v>8</v>
      </c>
      <c r="I66" s="13">
        <f t="shared" si="15"/>
        <v>3.2684262335425131E-3</v>
      </c>
      <c r="J66" s="84">
        <f t="shared" si="16"/>
        <v>1.4333333333333331</v>
      </c>
      <c r="K66" s="84">
        <f>IF(J66=0,0,IF(B66="F",VLOOKUP(I66,Barem!$G$2:$H$11,2,1),VLOOKUP(I66,Barem!$G$12:$H$21,2,1)))</f>
        <v>3.5</v>
      </c>
      <c r="L66" s="63">
        <v>3.5</v>
      </c>
      <c r="M66" s="149" t="s">
        <v>109</v>
      </c>
      <c r="N66" s="10">
        <f t="shared" si="19"/>
        <v>0.25</v>
      </c>
      <c r="O66" s="10">
        <f t="shared" si="19"/>
        <v>0.5</v>
      </c>
      <c r="P66" s="10">
        <f t="shared" si="19"/>
        <v>0.25</v>
      </c>
      <c r="Q66" s="47">
        <f t="shared" si="17"/>
        <v>0</v>
      </c>
      <c r="R66" s="25">
        <f>IF(D66&gt;21,VLOOKUP(D66,Barem!$T$1:$U$141,2,1),0)</f>
        <v>0</v>
      </c>
      <c r="S66" s="25">
        <f>IF(D66&lt;1.609,0,IF(B66="F",VLOOKUP(I66,Barem!$X$2:$Z$13,2,1),VLOOKUP(I66,Barem!$X$14:$Z$25,2,1)))</f>
        <v>0</v>
      </c>
      <c r="T66" s="25">
        <f>VLOOKUP(A66,Participanti!A:C,3,0)</f>
        <v>0</v>
      </c>
      <c r="U66" s="20">
        <f t="shared" si="18"/>
        <v>2.9833333333333334</v>
      </c>
      <c r="V66" s="76">
        <v>44588</v>
      </c>
      <c r="W66" s="101">
        <f>COUNTIFS(A:A,A66,C:C,C66)</f>
        <v>1</v>
      </c>
      <c r="X66" s="74" t="str">
        <f>VLOOKUP(A66,Data_echipe!A:R,18,0)</f>
        <v>Trail</v>
      </c>
      <c r="Z66" s="106">
        <f t="shared" si="7"/>
        <v>1</v>
      </c>
    </row>
    <row r="67" spans="1:26" x14ac:dyDescent="0.25">
      <c r="A67" s="61" t="s">
        <v>141</v>
      </c>
      <c r="B67" s="74" t="str">
        <f>VLOOKUP(A67,Participanti!A:B,2,0)</f>
        <v>F</v>
      </c>
      <c r="C67" s="98">
        <v>3</v>
      </c>
      <c r="D67" s="63">
        <v>13.01</v>
      </c>
      <c r="E67" s="64">
        <v>0.13135416666666666</v>
      </c>
      <c r="F67" s="64">
        <v>0.13526620370370371</v>
      </c>
      <c r="G67" s="90">
        <f t="shared" si="14"/>
        <v>0.13331018518518517</v>
      </c>
      <c r="H67" s="65">
        <v>289</v>
      </c>
      <c r="I67" s="13">
        <f t="shared" si="15"/>
        <v>1.0246747516155662E-2</v>
      </c>
      <c r="J67" s="84">
        <f t="shared" si="16"/>
        <v>3.2524999999999999</v>
      </c>
      <c r="K67" s="84">
        <f>IF(J67=0,0,IF(B67="F",VLOOKUP(I67,Barem!$G$2:$H$11,2,1),VLOOKUP(I67,Barem!$G$12:$H$21,2,1)))</f>
        <v>0</v>
      </c>
      <c r="L67" s="63">
        <v>2.75</v>
      </c>
      <c r="M67" s="149" t="s">
        <v>220</v>
      </c>
      <c r="N67" s="10">
        <f t="shared" si="19"/>
        <v>0.25</v>
      </c>
      <c r="O67" s="10">
        <f t="shared" si="19"/>
        <v>0.25</v>
      </c>
      <c r="P67" s="10">
        <f t="shared" si="19"/>
        <v>0.5</v>
      </c>
      <c r="Q67" s="47">
        <f t="shared" si="17"/>
        <v>0.19266666666666668</v>
      </c>
      <c r="R67" s="25">
        <f>IF(D67&gt;21,VLOOKUP(D67,Barem!$T$1:$U$141,2,1),0)</f>
        <v>0</v>
      </c>
      <c r="S67" s="25">
        <f>IF(D67&lt;1.609,0,IF(B67="F",VLOOKUP(I67,Barem!$X$2:$Z$13,2,1),VLOOKUP(I67,Barem!$X$14:$Z$25,2,1)))</f>
        <v>0</v>
      </c>
      <c r="T67" s="25">
        <f>VLOOKUP(A67,Participanti!A:C,3,0)</f>
        <v>0</v>
      </c>
      <c r="U67" s="20">
        <f t="shared" si="18"/>
        <v>2.3807916666666666</v>
      </c>
      <c r="V67" s="76">
        <v>44585</v>
      </c>
      <c r="W67" s="101">
        <f>COUNTIFS(A:A,A67,C:C,C67)</f>
        <v>1</v>
      </c>
      <c r="X67" s="74" t="str">
        <f>VLOOKUP(A67,Data_echipe!A:R,18,0)</f>
        <v>Trail</v>
      </c>
      <c r="Z67" s="106">
        <f t="shared" ref="Z67:Z130" si="20">IF(K67&gt;0,1,0)</f>
        <v>0</v>
      </c>
    </row>
    <row r="68" spans="1:26" ht="12.6" customHeight="1" x14ac:dyDescent="0.25">
      <c r="A68" s="61" t="s">
        <v>255</v>
      </c>
      <c r="B68" s="74" t="str">
        <f>VLOOKUP(A68,Participanti!A:B,2,0)</f>
        <v>F</v>
      </c>
      <c r="C68" s="98">
        <v>3</v>
      </c>
      <c r="D68" s="63">
        <v>20.149999999999999</v>
      </c>
      <c r="E68" s="64">
        <v>0.13388888888888889</v>
      </c>
      <c r="F68" s="64">
        <v>0.13405092592592593</v>
      </c>
      <c r="G68" s="90">
        <f t="shared" si="14"/>
        <v>0.13396990740740741</v>
      </c>
      <c r="H68" s="65">
        <v>1223</v>
      </c>
      <c r="I68" s="13">
        <f t="shared" si="15"/>
        <v>6.6486306405661253E-3</v>
      </c>
      <c r="J68" s="84">
        <f t="shared" si="16"/>
        <v>5</v>
      </c>
      <c r="K68" s="84">
        <f>IF(J68=0,0,IF(B68="F",VLOOKUP(I68,Barem!$G$2:$H$11,2,1),VLOOKUP(I68,Barem!$G$12:$H$21,2,1)))</f>
        <v>0</v>
      </c>
      <c r="L68" s="63">
        <v>2.5</v>
      </c>
      <c r="M68" s="62" t="str">
        <f>VLOOKUP(C68,Barem!L:R,7,0)</f>
        <v>D</v>
      </c>
      <c r="N68" s="10">
        <f t="shared" si="19"/>
        <v>0.5</v>
      </c>
      <c r="O68" s="10">
        <f t="shared" si="19"/>
        <v>0.25</v>
      </c>
      <c r="P68" s="10">
        <f t="shared" si="19"/>
        <v>0.25</v>
      </c>
      <c r="Q68" s="47">
        <f t="shared" si="17"/>
        <v>0.81533333333333335</v>
      </c>
      <c r="R68" s="25">
        <f>IF(D68&gt;21,VLOOKUP(D68,Barem!$T$1:$U$141,2,1),0)</f>
        <v>0</v>
      </c>
      <c r="S68" s="25">
        <f>IF(D68&lt;1.609,0,IF(B68="F",VLOOKUP(I68,Barem!$X$2:$Z$13,2,1),VLOOKUP(I68,Barem!$X$14:$Z$25,2,1)))</f>
        <v>0</v>
      </c>
      <c r="T68" s="25">
        <f>VLOOKUP(A68,Participanti!A:C,3,0)</f>
        <v>0</v>
      </c>
      <c r="U68" s="20">
        <f t="shared" si="18"/>
        <v>3.9403333333333332</v>
      </c>
      <c r="V68" s="76">
        <v>44590</v>
      </c>
      <c r="W68" s="101">
        <f>COUNTIFS(A:A,A68,C:C,C68)</f>
        <v>1</v>
      </c>
      <c r="X68" s="74" t="str">
        <f>VLOOKUP(A68,Data_echipe!A:R,18,0)</f>
        <v>Trail</v>
      </c>
      <c r="Z68" s="106">
        <f t="shared" si="20"/>
        <v>0</v>
      </c>
    </row>
    <row r="69" spans="1:26" x14ac:dyDescent="0.25">
      <c r="A69" s="61" t="s">
        <v>49</v>
      </c>
      <c r="B69" s="74" t="str">
        <f>VLOOKUP(A69,Participanti!A:B,2,0)</f>
        <v>M</v>
      </c>
      <c r="C69" s="98">
        <v>3</v>
      </c>
      <c r="D69" s="63">
        <v>12.07</v>
      </c>
      <c r="E69" s="64">
        <v>5.303240740740741E-2</v>
      </c>
      <c r="F69" s="64">
        <v>5.3877314814814815E-2</v>
      </c>
      <c r="G69" s="90">
        <f t="shared" si="14"/>
        <v>5.3454861111111113E-2</v>
      </c>
      <c r="H69" s="65">
        <v>188</v>
      </c>
      <c r="I69" s="13">
        <f t="shared" si="15"/>
        <v>4.4287374574242845E-3</v>
      </c>
      <c r="J69" s="84">
        <f t="shared" si="16"/>
        <v>2.8738095238095238</v>
      </c>
      <c r="K69" s="84">
        <f>IF(J69=0,0,IF(B69="F",VLOOKUP(I69,Barem!$G$2:$H$11,2,1),VLOOKUP(I69,Barem!$G$12:$H$21,2,1)))</f>
        <v>1</v>
      </c>
      <c r="L69" s="63">
        <v>2.5</v>
      </c>
      <c r="M69" s="62" t="str">
        <f>VLOOKUP(C69,Barem!L:R,7,0)</f>
        <v>D</v>
      </c>
      <c r="N69" s="10">
        <f t="shared" si="19"/>
        <v>0.5</v>
      </c>
      <c r="O69" s="10">
        <f t="shared" si="19"/>
        <v>0.25</v>
      </c>
      <c r="P69" s="10">
        <f t="shared" si="19"/>
        <v>0.25</v>
      </c>
      <c r="Q69" s="47">
        <f t="shared" si="17"/>
        <v>0.12533333333333332</v>
      </c>
      <c r="R69" s="25">
        <f>IF(D69&gt;21,VLOOKUP(D69,Barem!$T$1:$U$141,2,1),0)</f>
        <v>0</v>
      </c>
      <c r="S69" s="25">
        <f>IF(D69&lt;1.609,0,IF(B69="F",VLOOKUP(I69,Barem!$X$2:$Z$13,2,1),VLOOKUP(I69,Barem!$X$14:$Z$25,2,1)))</f>
        <v>0</v>
      </c>
      <c r="T69" s="25">
        <f>VLOOKUP(A69,Participanti!A:C,3,0)</f>
        <v>0.4</v>
      </c>
      <c r="U69" s="20">
        <f t="shared" si="18"/>
        <v>2.8372380952380949</v>
      </c>
      <c r="V69" s="76">
        <v>44587</v>
      </c>
      <c r="W69" s="101">
        <f>COUNTIFS(A:A,A69,C:C,C69)</f>
        <v>1</v>
      </c>
      <c r="X69" s="74" t="str">
        <f>VLOOKUP(A69,Data_echipe!A:R,18,0)</f>
        <v>Road</v>
      </c>
      <c r="Z69" s="106">
        <f t="shared" si="20"/>
        <v>1</v>
      </c>
    </row>
    <row r="70" spans="1:26" x14ac:dyDescent="0.25">
      <c r="A70" s="61" t="s">
        <v>142</v>
      </c>
      <c r="B70" s="74" t="str">
        <f>VLOOKUP(A70,Participanti!A:B,2,0)</f>
        <v>F</v>
      </c>
      <c r="C70" s="98">
        <v>3</v>
      </c>
      <c r="D70" s="63">
        <v>10.15</v>
      </c>
      <c r="E70" s="64">
        <v>4.7812500000000001E-2</v>
      </c>
      <c r="F70" s="64">
        <v>4.8831018518518517E-2</v>
      </c>
      <c r="G70" s="90">
        <f t="shared" si="14"/>
        <v>4.8321759259259259E-2</v>
      </c>
      <c r="H70" s="65">
        <v>377</v>
      </c>
      <c r="I70" s="13">
        <f t="shared" si="15"/>
        <v>4.7607644590403212E-3</v>
      </c>
      <c r="J70" s="84">
        <f t="shared" si="16"/>
        <v>2.5375000000000001</v>
      </c>
      <c r="K70" s="84">
        <f>IF(J70=0,0,IF(B70="F",VLOOKUP(I70,Barem!$G$2:$H$11,2,1),VLOOKUP(I70,Barem!$G$12:$H$21,2,1)))</f>
        <v>1</v>
      </c>
      <c r="L70" s="63">
        <v>3.5</v>
      </c>
      <c r="M70" s="62" t="str">
        <f>VLOOKUP(C70,Barem!L:R,7,0)</f>
        <v>D</v>
      </c>
      <c r="N70" s="10">
        <f t="shared" si="19"/>
        <v>0.5</v>
      </c>
      <c r="O70" s="10">
        <f t="shared" si="19"/>
        <v>0.25</v>
      </c>
      <c r="P70" s="10">
        <f t="shared" si="19"/>
        <v>0.25</v>
      </c>
      <c r="Q70" s="47">
        <f t="shared" si="17"/>
        <v>0.25133333333333335</v>
      </c>
      <c r="R70" s="25">
        <f>IF(D70&gt;21,VLOOKUP(D70,Barem!$T$1:$U$141,2,1),0)</f>
        <v>0</v>
      </c>
      <c r="S70" s="25">
        <f>IF(D70&lt;1.609,0,IF(B70="F",VLOOKUP(I70,Barem!$X$2:$Z$13,2,1),VLOOKUP(I70,Barem!$X$14:$Z$25,2,1)))</f>
        <v>0</v>
      </c>
      <c r="T70" s="25">
        <f>VLOOKUP(A70,Participanti!A:C,3,0)</f>
        <v>0</v>
      </c>
      <c r="U70" s="20">
        <f t="shared" si="18"/>
        <v>2.645083333333333</v>
      </c>
      <c r="V70" s="76">
        <v>44590</v>
      </c>
      <c r="W70" s="101">
        <f>COUNTIFS(A:A,A70,C:C,C70)</f>
        <v>1</v>
      </c>
      <c r="X70" s="74" t="str">
        <f>VLOOKUP(A70,Data_echipe!A:R,18,0)</f>
        <v>Trail</v>
      </c>
      <c r="Z70" s="106">
        <f t="shared" si="20"/>
        <v>1</v>
      </c>
    </row>
    <row r="71" spans="1:26" x14ac:dyDescent="0.25">
      <c r="A71" s="61" t="s">
        <v>57</v>
      </c>
      <c r="B71" s="74" t="str">
        <f>VLOOKUP(A71,Participanti!A:B,2,0)</f>
        <v>M</v>
      </c>
      <c r="C71" s="98">
        <v>3</v>
      </c>
      <c r="D71" s="63">
        <v>3.37</v>
      </c>
      <c r="E71" s="64">
        <v>1.0567129629629629E-2</v>
      </c>
      <c r="F71" s="64">
        <v>1.0949074074074075E-2</v>
      </c>
      <c r="G71" s="90">
        <f t="shared" si="14"/>
        <v>1.0758101851851852E-2</v>
      </c>
      <c r="H71" s="65">
        <v>8</v>
      </c>
      <c r="I71" s="13">
        <f t="shared" si="15"/>
        <v>3.1923150895702824E-3</v>
      </c>
      <c r="J71" s="84">
        <f t="shared" si="16"/>
        <v>0.80238095238095242</v>
      </c>
      <c r="K71" s="84">
        <f>IF(J71=0,0,IF(B71="F",VLOOKUP(I71,Barem!$G$2:$H$11,2,1),VLOOKUP(I71,Barem!$G$12:$H$21,2,1)))</f>
        <v>3.5</v>
      </c>
      <c r="L71" s="63">
        <v>1.5</v>
      </c>
      <c r="M71" s="149" t="s">
        <v>109</v>
      </c>
      <c r="N71" s="10">
        <f t="shared" si="19"/>
        <v>0.25</v>
      </c>
      <c r="O71" s="10">
        <f t="shared" si="19"/>
        <v>0.5</v>
      </c>
      <c r="P71" s="10">
        <f t="shared" si="19"/>
        <v>0.25</v>
      </c>
      <c r="Q71" s="47">
        <f t="shared" si="17"/>
        <v>0</v>
      </c>
      <c r="R71" s="25">
        <f>IF(D71&gt;21,VLOOKUP(D71,Barem!$T$1:$U$141,2,1),0)</f>
        <v>0</v>
      </c>
      <c r="S71" s="25">
        <f>IF(D71&lt;1.609,0,IF(B71="F",VLOOKUP(I71,Barem!$X$2:$Z$13,2,1),VLOOKUP(I71,Barem!$X$14:$Z$25,2,1)))</f>
        <v>0</v>
      </c>
      <c r="T71" s="25">
        <f>VLOOKUP(A71,Participanti!A:C,3,0)</f>
        <v>0</v>
      </c>
      <c r="U71" s="20">
        <f t="shared" si="18"/>
        <v>2.325595238095238</v>
      </c>
      <c r="V71" s="76">
        <v>44590</v>
      </c>
      <c r="W71" s="101">
        <f>COUNTIFS(A:A,A71,C:C,C71)</f>
        <v>1</v>
      </c>
      <c r="X71" s="74" t="str">
        <f>VLOOKUP(A71,Data_echipe!A:R,18,0)</f>
        <v>Trail</v>
      </c>
      <c r="Z71" s="106">
        <f t="shared" si="20"/>
        <v>1</v>
      </c>
    </row>
    <row r="72" spans="1:26" x14ac:dyDescent="0.25">
      <c r="A72" s="61" t="s">
        <v>215</v>
      </c>
      <c r="B72" s="74" t="str">
        <f>VLOOKUP(A72,Participanti!A:B,2,0)</f>
        <v>M</v>
      </c>
      <c r="C72" s="98">
        <v>3</v>
      </c>
      <c r="D72" s="63">
        <v>15.55</v>
      </c>
      <c r="E72" s="64">
        <v>6.0497685185185189E-2</v>
      </c>
      <c r="F72" s="64">
        <v>6.1296296296296293E-2</v>
      </c>
      <c r="G72" s="90">
        <f t="shared" si="14"/>
        <v>6.0896990740740745E-2</v>
      </c>
      <c r="H72" s="65">
        <v>460</v>
      </c>
      <c r="I72" s="13">
        <f t="shared" si="15"/>
        <v>3.916205192330594E-3</v>
      </c>
      <c r="J72" s="84">
        <f t="shared" si="16"/>
        <v>3.7023809523809526</v>
      </c>
      <c r="K72" s="84">
        <f>IF(J72=0,0,IF(B72="F",VLOOKUP(I72,Barem!$G$2:$H$11,2,1),VLOOKUP(I72,Barem!$G$12:$H$21,2,1)))</f>
        <v>1.5</v>
      </c>
      <c r="L72" s="63">
        <v>1.5</v>
      </c>
      <c r="M72" s="62" t="str">
        <f>VLOOKUP(C72,Barem!L:R,7,0)</f>
        <v>D</v>
      </c>
      <c r="N72" s="10">
        <f t="shared" si="19"/>
        <v>0.5</v>
      </c>
      <c r="O72" s="10">
        <f t="shared" si="19"/>
        <v>0.25</v>
      </c>
      <c r="P72" s="10">
        <f t="shared" si="19"/>
        <v>0.25</v>
      </c>
      <c r="Q72" s="47">
        <f t="shared" si="17"/>
        <v>0.30666666666666664</v>
      </c>
      <c r="R72" s="25">
        <f>IF(D72&gt;21,VLOOKUP(D72,Barem!$T$1:$U$141,2,1),0)</f>
        <v>0</v>
      </c>
      <c r="S72" s="25">
        <f>IF(D72&lt;1.609,0,IF(B72="F",VLOOKUP(I72,Barem!$X$2:$Z$13,2,1),VLOOKUP(I72,Barem!$X$14:$Z$25,2,1)))</f>
        <v>0</v>
      </c>
      <c r="T72" s="25">
        <f>VLOOKUP(A72,Participanti!A:C,3,0)</f>
        <v>0</v>
      </c>
      <c r="U72" s="20">
        <f t="shared" si="18"/>
        <v>2.9078571428571429</v>
      </c>
      <c r="V72" s="76">
        <v>44591</v>
      </c>
      <c r="W72" s="101">
        <f>COUNTIFS(A:A,A72,C:C,C72)</f>
        <v>1</v>
      </c>
      <c r="X72" s="74" t="str">
        <f>VLOOKUP(A72,Data_echipe!A:R,18,0)</f>
        <v>Trail</v>
      </c>
      <c r="Z72" s="106">
        <f t="shared" si="20"/>
        <v>1</v>
      </c>
    </row>
    <row r="73" spans="1:26" x14ac:dyDescent="0.25">
      <c r="A73" s="61" t="s">
        <v>216</v>
      </c>
      <c r="B73" s="74" t="str">
        <f>VLOOKUP(A73,Participanti!A:B,2,0)</f>
        <v>M</v>
      </c>
      <c r="C73" s="98">
        <v>3</v>
      </c>
      <c r="D73" s="63">
        <v>20.309999999999999</v>
      </c>
      <c r="E73" s="64">
        <v>0.14452546296296295</v>
      </c>
      <c r="F73" s="64">
        <v>0.16562499999999999</v>
      </c>
      <c r="G73" s="90">
        <f t="shared" si="14"/>
        <v>0.15507523148148147</v>
      </c>
      <c r="H73" s="65">
        <v>1131</v>
      </c>
      <c r="I73" s="13">
        <f t="shared" si="15"/>
        <v>7.6354126775717126E-3</v>
      </c>
      <c r="J73" s="84">
        <f t="shared" si="16"/>
        <v>4.8357142857142854</v>
      </c>
      <c r="K73" s="84">
        <f>IF(J73=0,0,IF(B73="F",VLOOKUP(I73,Barem!$G$2:$H$11,2,1),VLOOKUP(I73,Barem!$G$12:$H$21,2,1)))</f>
        <v>0</v>
      </c>
      <c r="L73" s="63">
        <v>2.75</v>
      </c>
      <c r="M73" s="62" t="str">
        <f>VLOOKUP(C73,Barem!L:R,7,0)</f>
        <v>D</v>
      </c>
      <c r="N73" s="10">
        <f t="shared" si="19"/>
        <v>0.5</v>
      </c>
      <c r="O73" s="10">
        <f t="shared" si="19"/>
        <v>0.25</v>
      </c>
      <c r="P73" s="10">
        <f t="shared" si="19"/>
        <v>0.25</v>
      </c>
      <c r="Q73" s="47">
        <f t="shared" si="17"/>
        <v>0.754</v>
      </c>
      <c r="R73" s="25">
        <f>IF(D73&gt;21,VLOOKUP(D73,Barem!$T$1:$U$141,2,1),0)</f>
        <v>0</v>
      </c>
      <c r="S73" s="25">
        <f>IF(D73&lt;1.609,0,IF(B73="F",VLOOKUP(I73,Barem!$X$2:$Z$13,2,1),VLOOKUP(I73,Barem!$X$14:$Z$25,2,1)))</f>
        <v>0</v>
      </c>
      <c r="T73" s="25">
        <f>VLOOKUP(A73,Participanti!A:C,3,0)</f>
        <v>0</v>
      </c>
      <c r="U73" s="20">
        <f t="shared" si="18"/>
        <v>3.8593571428571427</v>
      </c>
      <c r="V73" s="76">
        <v>44590</v>
      </c>
      <c r="W73" s="101">
        <f>COUNTIFS(A:A,A73,C:C,C73)</f>
        <v>1</v>
      </c>
      <c r="X73" s="74" t="str">
        <f>VLOOKUP(A73,Data_echipe!A:R,18,0)</f>
        <v>Road</v>
      </c>
      <c r="Z73" s="106">
        <f t="shared" si="20"/>
        <v>0</v>
      </c>
    </row>
    <row r="74" spans="1:26" x14ac:dyDescent="0.25">
      <c r="A74" s="61" t="s">
        <v>65</v>
      </c>
      <c r="B74" s="74" t="str">
        <f>VLOOKUP(A74,Participanti!A:B,2,0)</f>
        <v>F</v>
      </c>
      <c r="C74" s="98">
        <v>3</v>
      </c>
      <c r="D74" s="63">
        <v>8.1300000000000008</v>
      </c>
      <c r="E74" s="64">
        <v>3.9884259259259258E-2</v>
      </c>
      <c r="F74" s="64">
        <v>6.0740740740740741E-2</v>
      </c>
      <c r="G74" s="90">
        <f t="shared" si="14"/>
        <v>5.0312499999999996E-2</v>
      </c>
      <c r="H74" s="65">
        <v>0</v>
      </c>
      <c r="I74" s="13">
        <f t="shared" si="15"/>
        <v>6.1884993849938485E-3</v>
      </c>
      <c r="J74" s="84">
        <f t="shared" si="16"/>
        <v>2.0325000000000002</v>
      </c>
      <c r="K74" s="84">
        <f>IF(J74=0,0,IF(B74="F",VLOOKUP(I74,Barem!$G$2:$H$11,2,1),VLOOKUP(I74,Barem!$G$12:$H$21,2,1)))</f>
        <v>1</v>
      </c>
      <c r="L74" s="63">
        <v>2.5</v>
      </c>
      <c r="M74" s="62" t="str">
        <f>VLOOKUP(C74,Barem!L:R,7,0)</f>
        <v>D</v>
      </c>
      <c r="N74" s="10">
        <f t="shared" si="19"/>
        <v>0.5</v>
      </c>
      <c r="O74" s="10">
        <f t="shared" si="19"/>
        <v>0.25</v>
      </c>
      <c r="P74" s="10">
        <f t="shared" si="19"/>
        <v>0.25</v>
      </c>
      <c r="Q74" s="47">
        <f t="shared" si="17"/>
        <v>0</v>
      </c>
      <c r="R74" s="25">
        <f>IF(D74&gt;21,VLOOKUP(D74,Barem!$T$1:$U$141,2,1),0)</f>
        <v>0</v>
      </c>
      <c r="S74" s="25">
        <f>IF(D74&lt;1.609,0,IF(B74="F",VLOOKUP(I74,Barem!$X$2:$Z$13,2,1),VLOOKUP(I74,Barem!$X$14:$Z$25,2,1)))</f>
        <v>0</v>
      </c>
      <c r="T74" s="25">
        <f>VLOOKUP(A74,Participanti!A:C,3,0)</f>
        <v>0.7</v>
      </c>
      <c r="U74" s="20">
        <f t="shared" si="18"/>
        <v>2.5912500000000001</v>
      </c>
      <c r="V74" s="76">
        <v>44587</v>
      </c>
      <c r="W74" s="101">
        <f>COUNTIFS(A:A,A74,C:C,C74)</f>
        <v>1</v>
      </c>
      <c r="X74" s="74" t="str">
        <f>VLOOKUP(A74,Data_echipe!A:R,18,0)</f>
        <v>Road</v>
      </c>
      <c r="Z74" s="106">
        <f t="shared" si="20"/>
        <v>1</v>
      </c>
    </row>
    <row r="75" spans="1:26" x14ac:dyDescent="0.25">
      <c r="A75" s="61" t="s">
        <v>102</v>
      </c>
      <c r="B75" s="74" t="str">
        <f>VLOOKUP(A75,Participanti!A:B,2,0)</f>
        <v>F</v>
      </c>
      <c r="C75" s="98">
        <v>3</v>
      </c>
      <c r="D75" s="63">
        <v>10.01</v>
      </c>
      <c r="E75" s="64">
        <v>3.9120370370370368E-2</v>
      </c>
      <c r="F75" s="64">
        <v>4.2650462962962959E-2</v>
      </c>
      <c r="G75" s="90">
        <f t="shared" si="14"/>
        <v>4.088541666666666E-2</v>
      </c>
      <c r="H75" s="65">
        <v>0</v>
      </c>
      <c r="I75" s="13">
        <f t="shared" si="15"/>
        <v>4.0844572094572091E-3</v>
      </c>
      <c r="J75" s="84">
        <f t="shared" si="16"/>
        <v>2.5024999999999999</v>
      </c>
      <c r="K75" s="84">
        <f>IF(J75=0,0,IF(B75="F",VLOOKUP(I75,Barem!$G$2:$H$11,2,1),VLOOKUP(I75,Barem!$G$12:$H$21,2,1)))</f>
        <v>2</v>
      </c>
      <c r="L75" s="63">
        <v>1.5</v>
      </c>
      <c r="M75" s="62" t="str">
        <f>VLOOKUP(C75,Barem!L:R,7,0)</f>
        <v>D</v>
      </c>
      <c r="N75" s="10">
        <f t="shared" si="19"/>
        <v>0.5</v>
      </c>
      <c r="O75" s="10">
        <f t="shared" si="19"/>
        <v>0.25</v>
      </c>
      <c r="P75" s="10">
        <f t="shared" si="19"/>
        <v>0.25</v>
      </c>
      <c r="Q75" s="47">
        <f t="shared" si="17"/>
        <v>0</v>
      </c>
      <c r="R75" s="25">
        <f>IF(D75&gt;21,VLOOKUP(D75,Barem!$T$1:$U$141,2,1),0)</f>
        <v>0</v>
      </c>
      <c r="S75" s="25">
        <f>IF(D75&lt;1.609,0,IF(B75="F",VLOOKUP(I75,Barem!$X$2:$Z$13,2,1),VLOOKUP(I75,Barem!$X$14:$Z$25,2,1)))</f>
        <v>0</v>
      </c>
      <c r="T75" s="25">
        <f>VLOOKUP(A75,Participanti!A:C,3,0)</f>
        <v>0</v>
      </c>
      <c r="U75" s="20">
        <f t="shared" si="18"/>
        <v>2.1262499999999998</v>
      </c>
      <c r="V75" s="76">
        <v>44590</v>
      </c>
      <c r="W75" s="101">
        <f>COUNTIFS(A:A,A75,C:C,C75)</f>
        <v>1</v>
      </c>
      <c r="X75" s="74" t="str">
        <f>VLOOKUP(A75,Data_echipe!A:R,18,0)</f>
        <v>Trail</v>
      </c>
      <c r="Z75" s="106">
        <f t="shared" si="20"/>
        <v>1</v>
      </c>
    </row>
    <row r="76" spans="1:26" x14ac:dyDescent="0.25">
      <c r="A76" s="61" t="s">
        <v>119</v>
      </c>
      <c r="B76" s="74" t="str">
        <f>VLOOKUP(A76,Participanti!A:B,2,0)</f>
        <v>F</v>
      </c>
      <c r="C76" s="98">
        <v>3</v>
      </c>
      <c r="D76" s="63">
        <v>10.039999999999999</v>
      </c>
      <c r="E76" s="64">
        <v>5.3449074074074072E-2</v>
      </c>
      <c r="F76" s="64">
        <v>5.3877314814814815E-2</v>
      </c>
      <c r="G76" s="90">
        <f t="shared" si="14"/>
        <v>5.3663194444444444E-2</v>
      </c>
      <c r="H76" s="65">
        <v>395</v>
      </c>
      <c r="I76" s="13">
        <f t="shared" si="15"/>
        <v>5.3449396857016386E-3</v>
      </c>
      <c r="J76" s="84">
        <f t="shared" si="16"/>
        <v>2.5099999999999998</v>
      </c>
      <c r="K76" s="84">
        <f>IF(J76=0,0,IF(B76="F",VLOOKUP(I76,Barem!$G$2:$H$11,2,1),VLOOKUP(I76,Barem!$G$12:$H$21,2,1)))</f>
        <v>1</v>
      </c>
      <c r="L76" s="63">
        <v>3.5</v>
      </c>
      <c r="M76" s="149" t="s">
        <v>220</v>
      </c>
      <c r="N76" s="10">
        <f t="shared" si="19"/>
        <v>0.25</v>
      </c>
      <c r="O76" s="10">
        <f t="shared" si="19"/>
        <v>0.25</v>
      </c>
      <c r="P76" s="10">
        <f t="shared" si="19"/>
        <v>0.5</v>
      </c>
      <c r="Q76" s="47">
        <f t="shared" si="17"/>
        <v>0.26333333333333331</v>
      </c>
      <c r="R76" s="25">
        <f>IF(D76&gt;21,VLOOKUP(D76,Barem!$T$1:$U$141,2,1),0)</f>
        <v>0</v>
      </c>
      <c r="S76" s="25">
        <f>IF(D76&lt;1.609,0,IF(B76="F",VLOOKUP(I76,Barem!$X$2:$Z$13,2,1),VLOOKUP(I76,Barem!$X$14:$Z$25,2,1)))</f>
        <v>0</v>
      </c>
      <c r="T76" s="25">
        <f>VLOOKUP(A76,Participanti!A:C,3,0)</f>
        <v>0</v>
      </c>
      <c r="U76" s="20">
        <f t="shared" si="18"/>
        <v>2.8908333333333331</v>
      </c>
      <c r="V76" s="76">
        <v>44590</v>
      </c>
      <c r="W76" s="101">
        <f>COUNTIFS(A:A,A76,C:C,C76)</f>
        <v>1</v>
      </c>
      <c r="X76" s="74" t="str">
        <f>VLOOKUP(A76,Data_echipe!A:R,18,0)</f>
        <v>Trail</v>
      </c>
      <c r="Z76" s="106">
        <f t="shared" si="20"/>
        <v>1</v>
      </c>
    </row>
    <row r="77" spans="1:26" x14ac:dyDescent="0.25">
      <c r="A77" s="61" t="s">
        <v>143</v>
      </c>
      <c r="B77" s="74" t="str">
        <f>VLOOKUP(A77,Participanti!A:B,2,0)</f>
        <v>M</v>
      </c>
      <c r="C77" s="98">
        <v>3</v>
      </c>
      <c r="D77" s="63">
        <v>24.25</v>
      </c>
      <c r="E77" s="64">
        <v>9.6944444444444444E-2</v>
      </c>
      <c r="F77" s="64">
        <v>0.10650462962962963</v>
      </c>
      <c r="G77" s="90">
        <f t="shared" si="14"/>
        <v>0.10172453703703704</v>
      </c>
      <c r="H77" s="65">
        <v>130</v>
      </c>
      <c r="I77" s="13">
        <f t="shared" si="15"/>
        <v>4.1948262695685381E-3</v>
      </c>
      <c r="J77" s="84">
        <f t="shared" si="16"/>
        <v>5</v>
      </c>
      <c r="K77" s="84">
        <f>IF(J77=0,0,IF(B77="F",VLOOKUP(I77,Barem!$G$2:$H$11,2,1),VLOOKUP(I77,Barem!$G$12:$H$21,2,1)))</f>
        <v>1</v>
      </c>
      <c r="L77" s="63">
        <v>1.5</v>
      </c>
      <c r="M77" s="62" t="str">
        <f>VLOOKUP(C77,Barem!L:R,7,0)</f>
        <v>D</v>
      </c>
      <c r="N77" s="10">
        <f t="shared" si="19"/>
        <v>0.5</v>
      </c>
      <c r="O77" s="10">
        <f t="shared" si="19"/>
        <v>0.25</v>
      </c>
      <c r="P77" s="10">
        <f t="shared" si="19"/>
        <v>0.25</v>
      </c>
      <c r="Q77" s="47">
        <f t="shared" si="17"/>
        <v>8.666666666666667E-2</v>
      </c>
      <c r="R77" s="25">
        <f>IF(D77&gt;21,VLOOKUP(D77,Barem!$T$1:$U$141,2,1),0)</f>
        <v>0.1</v>
      </c>
      <c r="S77" s="25">
        <f>IF(D77&lt;1.609,0,IF(B77="F",VLOOKUP(I77,Barem!$X$2:$Z$13,2,1),VLOOKUP(I77,Barem!$X$14:$Z$25,2,1)))</f>
        <v>0</v>
      </c>
      <c r="T77" s="25">
        <f>VLOOKUP(A77,Participanti!A:C,3,0)</f>
        <v>0</v>
      </c>
      <c r="U77" s="20">
        <f t="shared" si="18"/>
        <v>3.311666666666667</v>
      </c>
      <c r="V77" s="76">
        <v>44585</v>
      </c>
      <c r="W77" s="101">
        <f>COUNTIFS(A:A,A77,C:C,C77)</f>
        <v>1</v>
      </c>
      <c r="X77" s="74" t="str">
        <f>VLOOKUP(A77,Data_echipe!A:R,18,0)</f>
        <v>Road</v>
      </c>
      <c r="Z77" s="106">
        <f t="shared" si="20"/>
        <v>1</v>
      </c>
    </row>
    <row r="78" spans="1:26" x14ac:dyDescent="0.25">
      <c r="A78" s="61" t="s">
        <v>185</v>
      </c>
      <c r="B78" s="74" t="str">
        <f>VLOOKUP(A78,Participanti!A:B,2,0)</f>
        <v>F</v>
      </c>
      <c r="C78" s="98">
        <v>3</v>
      </c>
      <c r="D78" s="63">
        <v>10.02</v>
      </c>
      <c r="E78" s="64">
        <v>4.6712962962962963E-2</v>
      </c>
      <c r="F78" s="64">
        <v>5.1701388888888887E-2</v>
      </c>
      <c r="G78" s="90">
        <f t="shared" si="14"/>
        <v>4.9207175925925925E-2</v>
      </c>
      <c r="H78" s="65">
        <v>23</v>
      </c>
      <c r="I78" s="13">
        <f t="shared" si="15"/>
        <v>4.9108958009906117E-3</v>
      </c>
      <c r="J78" s="84">
        <f t="shared" si="16"/>
        <v>2.5049999999999999</v>
      </c>
      <c r="K78" s="84">
        <f>IF(J78=0,0,IF(B78="F",VLOOKUP(I78,Barem!$G$2:$H$11,2,1),VLOOKUP(I78,Barem!$G$12:$H$21,2,1)))</f>
        <v>1</v>
      </c>
      <c r="L78" s="63">
        <v>1.5</v>
      </c>
      <c r="M78" s="62" t="str">
        <f>VLOOKUP(C78,Barem!L:R,7,0)</f>
        <v>D</v>
      </c>
      <c r="N78" s="10">
        <f t="shared" si="19"/>
        <v>0.5</v>
      </c>
      <c r="O78" s="10">
        <f t="shared" si="19"/>
        <v>0.25</v>
      </c>
      <c r="P78" s="10">
        <f t="shared" si="19"/>
        <v>0.25</v>
      </c>
      <c r="Q78" s="47">
        <f t="shared" si="17"/>
        <v>0</v>
      </c>
      <c r="R78" s="25">
        <f>IF(D78&gt;21,VLOOKUP(D78,Barem!$T$1:$U$141,2,1),0)</f>
        <v>0</v>
      </c>
      <c r="S78" s="25">
        <f>IF(D78&lt;1.609,0,IF(B78="F",VLOOKUP(I78,Barem!$X$2:$Z$13,2,1),VLOOKUP(I78,Barem!$X$14:$Z$25,2,1)))</f>
        <v>0</v>
      </c>
      <c r="T78" s="25">
        <f>VLOOKUP(A78,Participanti!A:C,3,0)</f>
        <v>0</v>
      </c>
      <c r="U78" s="20">
        <f t="shared" si="18"/>
        <v>1.8774999999999999</v>
      </c>
      <c r="V78" s="76">
        <v>44587</v>
      </c>
      <c r="W78" s="101">
        <f>COUNTIFS(A:A,A78,C:C,C78)</f>
        <v>1</v>
      </c>
      <c r="X78" s="74" t="str">
        <f>VLOOKUP(A78,Data_echipe!A:R,18,0)</f>
        <v>Road</v>
      </c>
      <c r="Z78" s="106">
        <f t="shared" si="20"/>
        <v>1</v>
      </c>
    </row>
    <row r="79" spans="1:26" x14ac:dyDescent="0.25">
      <c r="A79" s="61" t="s">
        <v>116</v>
      </c>
      <c r="B79" s="74" t="str">
        <f>VLOOKUP(A79,Participanti!A:B,2,0)</f>
        <v>M</v>
      </c>
      <c r="C79" s="98">
        <v>3</v>
      </c>
      <c r="D79" s="63">
        <v>5.62</v>
      </c>
      <c r="E79" s="64">
        <v>2.5914351851851855E-2</v>
      </c>
      <c r="F79" s="64">
        <v>2.5914351851851855E-2</v>
      </c>
      <c r="G79" s="90">
        <f t="shared" si="14"/>
        <v>2.5914351851851855E-2</v>
      </c>
      <c r="H79" s="65">
        <v>9</v>
      </c>
      <c r="I79" s="13">
        <f t="shared" si="15"/>
        <v>4.6110946355608284E-3</v>
      </c>
      <c r="J79" s="84">
        <f t="shared" si="16"/>
        <v>1.338095238095238</v>
      </c>
      <c r="K79" s="84">
        <f>IF(J79=0,0,IF(B79="F",VLOOKUP(I79,Barem!$G$2:$H$11,2,1),VLOOKUP(I79,Barem!$G$12:$H$21,2,1)))</f>
        <v>1</v>
      </c>
      <c r="L79" s="63">
        <v>3.5</v>
      </c>
      <c r="M79" s="149" t="s">
        <v>220</v>
      </c>
      <c r="N79" s="10">
        <f t="shared" si="19"/>
        <v>0.25</v>
      </c>
      <c r="O79" s="10">
        <f t="shared" si="19"/>
        <v>0.25</v>
      </c>
      <c r="P79" s="10">
        <f t="shared" si="19"/>
        <v>0.5</v>
      </c>
      <c r="Q79" s="47">
        <f t="shared" si="17"/>
        <v>0</v>
      </c>
      <c r="R79" s="25">
        <f>IF(D79&gt;21,VLOOKUP(D79,Barem!$T$1:$U$141,2,1),0)</f>
        <v>0</v>
      </c>
      <c r="S79" s="25">
        <f>IF(D79&lt;1.609,0,IF(B79="F",VLOOKUP(I79,Barem!$X$2:$Z$13,2,1),VLOOKUP(I79,Barem!$X$14:$Z$25,2,1)))</f>
        <v>0</v>
      </c>
      <c r="T79" s="25">
        <f>VLOOKUP(A79,Participanti!A:C,3,0)</f>
        <v>0</v>
      </c>
      <c r="U79" s="20">
        <f t="shared" si="18"/>
        <v>2.3345238095238097</v>
      </c>
      <c r="V79" s="76">
        <v>44590</v>
      </c>
      <c r="W79" s="101">
        <f>COUNTIFS(A:A,A79,C:C,C79)</f>
        <v>1</v>
      </c>
      <c r="X79" s="74" t="str">
        <f>VLOOKUP(A79,Data_echipe!A:R,18,0)</f>
        <v>Trail</v>
      </c>
      <c r="Z79" s="106">
        <f t="shared" si="20"/>
        <v>1</v>
      </c>
    </row>
    <row r="80" spans="1:26" x14ac:dyDescent="0.25">
      <c r="A80" s="61" t="s">
        <v>219</v>
      </c>
      <c r="B80" s="74" t="str">
        <f>VLOOKUP(A80,Participanti!A:B,2,0)</f>
        <v>M</v>
      </c>
      <c r="C80" s="98">
        <v>3</v>
      </c>
      <c r="D80" s="63">
        <v>19.829999999999998</v>
      </c>
      <c r="E80" s="64">
        <v>0.13027777777777777</v>
      </c>
      <c r="F80" s="64">
        <v>0.13138888888888889</v>
      </c>
      <c r="G80" s="90">
        <f>AVERAGE(E80:F80)</f>
        <v>0.13083333333333333</v>
      </c>
      <c r="H80" s="65">
        <v>1201</v>
      </c>
      <c r="I80" s="13">
        <f>G80/D80</f>
        <v>6.5977475205916966E-3</v>
      </c>
      <c r="J80" s="84">
        <f>IF(B80="F",IF(D80&lt;2.5,0,IF(D80&gt;19.99,5,D80/4)),IF(D80&lt;3,0, IF(D80&gt;20.99,5,D80/4.2)))</f>
        <v>4.7214285714285706</v>
      </c>
      <c r="K80" s="84">
        <f>IF(J80=0,0,IF(B80="F",VLOOKUP(I80,Barem!$G$2:$H$11,2,1),VLOOKUP(I80,Barem!$G$12:$H$21,2,1)))</f>
        <v>0</v>
      </c>
      <c r="L80" s="63">
        <v>2</v>
      </c>
      <c r="M80" s="62" t="str">
        <f>VLOOKUP(C80,Barem!L:R,7,0)</f>
        <v>D</v>
      </c>
      <c r="N80" s="10">
        <f t="shared" si="19"/>
        <v>0.5</v>
      </c>
      <c r="O80" s="10">
        <f t="shared" si="19"/>
        <v>0.25</v>
      </c>
      <c r="P80" s="10">
        <f t="shared" si="19"/>
        <v>0.25</v>
      </c>
      <c r="Q80" s="47">
        <f>IF(H80&gt;49,H80/1500,0)</f>
        <v>0.80066666666666664</v>
      </c>
      <c r="R80" s="25">
        <f>IF(D80&gt;21,VLOOKUP(D80,Barem!$T$1:$U$141,2,1),0)</f>
        <v>0</v>
      </c>
      <c r="S80" s="25">
        <f>IF(D80&lt;1.609,0,IF(B80="F",VLOOKUP(I80,Barem!$X$2:$Z$13,2,1),VLOOKUP(I80,Barem!$X$14:$Z$25,2,1)))</f>
        <v>0</v>
      </c>
      <c r="T80" s="25">
        <f>VLOOKUP(A80,Participanti!A:C,3,0)</f>
        <v>0</v>
      </c>
      <c r="U80" s="20">
        <f>IF(H80&lt;0,0,J80*N80+K80*O80+L80*P80+Q80+R80+S80+T80)</f>
        <v>3.6613809523809522</v>
      </c>
      <c r="V80" s="76">
        <v>44590</v>
      </c>
      <c r="W80" s="101">
        <f>COUNTIFS(A:A,A80,C:C,C80)</f>
        <v>1</v>
      </c>
      <c r="X80" s="74" t="str">
        <f>VLOOKUP(A80,Data_echipe!A:R,18,0)</f>
        <v>Road</v>
      </c>
      <c r="Z80" s="106">
        <f t="shared" si="20"/>
        <v>0</v>
      </c>
    </row>
    <row r="81" spans="1:26" x14ac:dyDescent="0.25">
      <c r="A81" s="61" t="s">
        <v>256</v>
      </c>
      <c r="B81" s="74" t="str">
        <f>VLOOKUP(A81,Participanti!A:B,2,0)</f>
        <v>M</v>
      </c>
      <c r="C81" s="98">
        <v>3</v>
      </c>
      <c r="D81" s="63">
        <v>41</v>
      </c>
      <c r="E81" s="64">
        <v>0.15809027777777776</v>
      </c>
      <c r="F81" s="64">
        <v>0.16555555555555554</v>
      </c>
      <c r="G81" s="90">
        <f t="shared" si="14"/>
        <v>0.16182291666666665</v>
      </c>
      <c r="H81" s="65">
        <v>48</v>
      </c>
      <c r="I81" s="13">
        <f t="shared" si="15"/>
        <v>3.9469004065040645E-3</v>
      </c>
      <c r="J81" s="84">
        <f t="shared" si="16"/>
        <v>5</v>
      </c>
      <c r="K81" s="84">
        <f>IF(J81=0,0,IF(B81="F",VLOOKUP(I81,Barem!$G$2:$H$11,2,1),VLOOKUP(I81,Barem!$G$12:$H$21,2,1)))</f>
        <v>1.5</v>
      </c>
      <c r="L81" s="63">
        <v>2.5</v>
      </c>
      <c r="M81" s="62" t="str">
        <f>VLOOKUP(C81,Barem!L:R,7,0)</f>
        <v>D</v>
      </c>
      <c r="N81" s="10">
        <f t="shared" si="19"/>
        <v>0.5</v>
      </c>
      <c r="O81" s="10">
        <f t="shared" si="19"/>
        <v>0.25</v>
      </c>
      <c r="P81" s="10">
        <f t="shared" si="19"/>
        <v>0.25</v>
      </c>
      <c r="Q81" s="47">
        <f t="shared" si="17"/>
        <v>0</v>
      </c>
      <c r="R81" s="25">
        <f>IF(D81&gt;21,VLOOKUP(D81,Barem!$T$1:$U$141,2,1),0)</f>
        <v>1</v>
      </c>
      <c r="S81" s="25">
        <f>IF(D81&lt;1.609,0,IF(B81="F",VLOOKUP(I81,Barem!$X$2:$Z$13,2,1),VLOOKUP(I81,Barem!$X$14:$Z$25,2,1)))</f>
        <v>0</v>
      </c>
      <c r="T81" s="25">
        <f>VLOOKUP(A81,Participanti!A:C,3,0)</f>
        <v>0</v>
      </c>
      <c r="U81" s="20">
        <f t="shared" si="18"/>
        <v>4.5</v>
      </c>
      <c r="V81" s="76">
        <v>44591</v>
      </c>
      <c r="W81" s="101">
        <f>COUNTIFS(A:A,A81,C:C,C81)</f>
        <v>1</v>
      </c>
      <c r="X81" s="74" t="str">
        <f>VLOOKUP(A81,Data_echipe!A:R,18,0)</f>
        <v>Road</v>
      </c>
      <c r="Z81" s="106">
        <f t="shared" si="20"/>
        <v>1</v>
      </c>
    </row>
    <row r="82" spans="1:26" x14ac:dyDescent="0.25">
      <c r="A82" s="61" t="s">
        <v>60</v>
      </c>
      <c r="B82" s="74" t="str">
        <f>VLOOKUP(A82,Participanti!A:B,2,0)</f>
        <v>M</v>
      </c>
      <c r="C82" s="98">
        <v>3</v>
      </c>
      <c r="D82" s="63">
        <v>10.210000000000001</v>
      </c>
      <c r="E82" s="64">
        <v>3.4965277777777783E-2</v>
      </c>
      <c r="F82" s="64">
        <v>3.6863425925925931E-2</v>
      </c>
      <c r="G82" s="90">
        <f t="shared" si="14"/>
        <v>3.5914351851851857E-2</v>
      </c>
      <c r="H82" s="65">
        <v>120</v>
      </c>
      <c r="I82" s="13">
        <f t="shared" si="15"/>
        <v>3.5175662930315233E-3</v>
      </c>
      <c r="J82" s="84">
        <f t="shared" si="16"/>
        <v>2.4309523809523812</v>
      </c>
      <c r="K82" s="84">
        <f>IF(J82=0,0,IF(B82="F",VLOOKUP(I82,Barem!$G$2:$H$11,2,1),VLOOKUP(I82,Barem!$G$12:$H$21,2,1)))</f>
        <v>2.5</v>
      </c>
      <c r="L82" s="63">
        <v>2.25</v>
      </c>
      <c r="M82" s="62" t="str">
        <f>VLOOKUP(C82,Barem!L:R,7,0)</f>
        <v>D</v>
      </c>
      <c r="N82" s="10">
        <f t="shared" si="19"/>
        <v>0.5</v>
      </c>
      <c r="O82" s="10">
        <f t="shared" si="19"/>
        <v>0.25</v>
      </c>
      <c r="P82" s="10">
        <f t="shared" si="19"/>
        <v>0.25</v>
      </c>
      <c r="Q82" s="47">
        <f t="shared" si="17"/>
        <v>0.08</v>
      </c>
      <c r="R82" s="25">
        <f>IF(D82&gt;21,VLOOKUP(D82,Barem!$T$1:$U$141,2,1),0)</f>
        <v>0</v>
      </c>
      <c r="S82" s="25">
        <f>IF(D82&lt;1.609,0,IF(B82="F",VLOOKUP(I82,Barem!$X$2:$Z$13,2,1),VLOOKUP(I82,Barem!$X$14:$Z$25,2,1)))</f>
        <v>0</v>
      </c>
      <c r="T82" s="25">
        <f>VLOOKUP(A82,Participanti!A:C,3,0)</f>
        <v>0</v>
      </c>
      <c r="U82" s="20">
        <f t="shared" si="18"/>
        <v>2.4829761904761907</v>
      </c>
      <c r="V82" s="76">
        <v>44591</v>
      </c>
      <c r="W82" s="101">
        <f>COUNTIFS(A:A,A82,C:C,C82)</f>
        <v>1</v>
      </c>
      <c r="X82" s="74" t="str">
        <f>VLOOKUP(A82,Data_echipe!A:R,18,0)</f>
        <v>Road</v>
      </c>
      <c r="Z82" s="106">
        <f t="shared" si="20"/>
        <v>1</v>
      </c>
    </row>
    <row r="83" spans="1:26" x14ac:dyDescent="0.25">
      <c r="A83" s="61" t="s">
        <v>66</v>
      </c>
      <c r="B83" s="74" t="str">
        <f>VLOOKUP(A83,Participanti!A:B,2,0)</f>
        <v>M</v>
      </c>
      <c r="C83" s="98">
        <v>3</v>
      </c>
      <c r="D83" s="63">
        <v>21.2</v>
      </c>
      <c r="E83" s="64">
        <v>7.8206018518518508E-2</v>
      </c>
      <c r="F83" s="64">
        <v>7.8275462962962963E-2</v>
      </c>
      <c r="G83" s="90">
        <f t="shared" si="14"/>
        <v>7.8240740740740736E-2</v>
      </c>
      <c r="H83" s="65">
        <v>85</v>
      </c>
      <c r="I83" s="13">
        <f t="shared" si="15"/>
        <v>3.6906009783368274E-3</v>
      </c>
      <c r="J83" s="84">
        <f t="shared" si="16"/>
        <v>5</v>
      </c>
      <c r="K83" s="84">
        <f>IF(J83=0,0,IF(B83="F",VLOOKUP(I83,Barem!$G$2:$H$11,2,1),VLOOKUP(I83,Barem!$G$12:$H$21,2,1)))</f>
        <v>2</v>
      </c>
      <c r="L83" s="63">
        <v>3</v>
      </c>
      <c r="M83" s="149" t="s">
        <v>109</v>
      </c>
      <c r="N83" s="10">
        <f t="shared" si="19"/>
        <v>0.25</v>
      </c>
      <c r="O83" s="10">
        <f t="shared" si="19"/>
        <v>0.5</v>
      </c>
      <c r="P83" s="10">
        <f t="shared" si="19"/>
        <v>0.25</v>
      </c>
      <c r="Q83" s="47">
        <f t="shared" si="17"/>
        <v>5.6666666666666664E-2</v>
      </c>
      <c r="R83" s="25">
        <f>IF(D83&gt;21,VLOOKUP(D83,Barem!$T$1:$U$141,2,1),0)</f>
        <v>0</v>
      </c>
      <c r="S83" s="25">
        <f>IF(D83&lt;1.609,0,IF(B83="F",VLOOKUP(I83,Barem!$X$2:$Z$13,2,1),VLOOKUP(I83,Barem!$X$14:$Z$25,2,1)))</f>
        <v>0</v>
      </c>
      <c r="T83" s="25">
        <f>VLOOKUP(A83,Participanti!A:C,3,0)</f>
        <v>0</v>
      </c>
      <c r="U83" s="20">
        <f t="shared" si="18"/>
        <v>3.0566666666666666</v>
      </c>
      <c r="V83" s="76">
        <v>44590</v>
      </c>
      <c r="W83" s="101">
        <f>COUNTIFS(A:A,A83,C:C,C83)</f>
        <v>1</v>
      </c>
      <c r="X83" s="74" t="str">
        <f>VLOOKUP(A83,Data_echipe!A:R,18,0)</f>
        <v>Road</v>
      </c>
      <c r="Z83" s="106">
        <f t="shared" si="20"/>
        <v>1</v>
      </c>
    </row>
    <row r="84" spans="1:26" x14ac:dyDescent="0.25">
      <c r="A84" s="61" t="s">
        <v>217</v>
      </c>
      <c r="B84" s="74" t="str">
        <f>VLOOKUP(A84,Participanti!A:B,2,0)</f>
        <v>M</v>
      </c>
      <c r="C84" s="98">
        <v>3</v>
      </c>
      <c r="D84" s="63">
        <v>10.3</v>
      </c>
      <c r="E84" s="64">
        <v>3.2812500000000001E-2</v>
      </c>
      <c r="F84" s="64">
        <v>3.3229166666666664E-2</v>
      </c>
      <c r="G84" s="90">
        <f t="shared" si="14"/>
        <v>3.3020833333333333E-2</v>
      </c>
      <c r="H84" s="65">
        <v>0</v>
      </c>
      <c r="I84" s="13">
        <f t="shared" si="15"/>
        <v>3.2059061488673136E-3</v>
      </c>
      <c r="J84" s="84">
        <f t="shared" si="16"/>
        <v>2.4523809523809526</v>
      </c>
      <c r="K84" s="84">
        <f>IF(J84=0,0,IF(B84="F",VLOOKUP(I84,Barem!$G$2:$H$11,2,1),VLOOKUP(I84,Barem!$G$12:$H$21,2,1)))</f>
        <v>3.5</v>
      </c>
      <c r="L84" s="63">
        <v>1</v>
      </c>
      <c r="M84" s="62" t="str">
        <f>VLOOKUP(C84,Barem!L:R,7,0)</f>
        <v>D</v>
      </c>
      <c r="N84" s="10">
        <f t="shared" si="19"/>
        <v>0.5</v>
      </c>
      <c r="O84" s="10">
        <f t="shared" si="19"/>
        <v>0.25</v>
      </c>
      <c r="P84" s="10">
        <f t="shared" si="19"/>
        <v>0.25</v>
      </c>
      <c r="Q84" s="47">
        <f t="shared" si="17"/>
        <v>0</v>
      </c>
      <c r="R84" s="25">
        <f>IF(D84&gt;21,VLOOKUP(D84,Barem!$T$1:$U$141,2,1),0)</f>
        <v>0</v>
      </c>
      <c r="S84" s="25">
        <f>IF(D84&lt;1.609,0,IF(B84="F",VLOOKUP(I84,Barem!$X$2:$Z$13,2,1),VLOOKUP(I84,Barem!$X$14:$Z$25,2,1)))</f>
        <v>0</v>
      </c>
      <c r="T84" s="25">
        <f>VLOOKUP(A84,Participanti!A:C,3,0)</f>
        <v>0</v>
      </c>
      <c r="U84" s="20">
        <f t="shared" si="18"/>
        <v>2.3511904761904763</v>
      </c>
      <c r="V84" s="76">
        <v>44588</v>
      </c>
      <c r="W84" s="101">
        <f>COUNTIFS(A:A,A84,C:C,C84)</f>
        <v>1</v>
      </c>
      <c r="X84" s="74" t="e">
        <f>VLOOKUP(A84,Data_echipe!A:R,18,0)</f>
        <v>#N/A</v>
      </c>
      <c r="Z84" s="106">
        <f t="shared" si="20"/>
        <v>1</v>
      </c>
    </row>
    <row r="85" spans="1:26" x14ac:dyDescent="0.25">
      <c r="A85" s="61" t="s">
        <v>138</v>
      </c>
      <c r="B85" s="74" t="str">
        <f>VLOOKUP(A85,Participanti!A:B,2,0)</f>
        <v>F</v>
      </c>
      <c r="C85" s="98">
        <v>3</v>
      </c>
      <c r="D85" s="63">
        <v>3.01</v>
      </c>
      <c r="E85" s="64">
        <v>1.1562499999999998E-2</v>
      </c>
      <c r="F85" s="64">
        <v>1.1562499999999998E-2</v>
      </c>
      <c r="G85" s="90">
        <f t="shared" si="14"/>
        <v>1.1562499999999998E-2</v>
      </c>
      <c r="H85" s="65">
        <v>35</v>
      </c>
      <c r="I85" s="13">
        <f t="shared" si="15"/>
        <v>3.8413621262458468E-3</v>
      </c>
      <c r="J85" s="84">
        <f t="shared" si="16"/>
        <v>0.75249999999999995</v>
      </c>
      <c r="K85" s="84">
        <f>IF(J85=0,0,IF(B85="F",VLOOKUP(I85,Barem!$G$2:$H$11,2,1),VLOOKUP(I85,Barem!$G$12:$H$21,2,1)))</f>
        <v>2.5</v>
      </c>
      <c r="L85" s="63">
        <v>3</v>
      </c>
      <c r="M85" s="149" t="s">
        <v>109</v>
      </c>
      <c r="N85" s="10">
        <f t="shared" si="19"/>
        <v>0.25</v>
      </c>
      <c r="O85" s="10">
        <f t="shared" si="19"/>
        <v>0.5</v>
      </c>
      <c r="P85" s="10">
        <f t="shared" si="19"/>
        <v>0.25</v>
      </c>
      <c r="Q85" s="47">
        <f t="shared" si="17"/>
        <v>0</v>
      </c>
      <c r="R85" s="25">
        <f>IF(D85&gt;21,VLOOKUP(D85,Barem!$T$1:$U$141,2,1),0)</f>
        <v>0</v>
      </c>
      <c r="S85" s="25">
        <f>IF(D85&lt;1.609,0,IF(B85="F",VLOOKUP(I85,Barem!$X$2:$Z$13,2,1),VLOOKUP(I85,Barem!$X$14:$Z$25,2,1)))</f>
        <v>0</v>
      </c>
      <c r="T85" s="25">
        <f>VLOOKUP(A85,Participanti!A:C,3,0)</f>
        <v>0</v>
      </c>
      <c r="U85" s="20">
        <f t="shared" si="18"/>
        <v>2.1881249999999999</v>
      </c>
      <c r="V85" s="76">
        <v>44590</v>
      </c>
      <c r="W85" s="101">
        <f>COUNTIFS(A:A,A85,C:C,C85)</f>
        <v>1</v>
      </c>
      <c r="X85" s="74" t="str">
        <f>VLOOKUP(A85,Data_echipe!A:R,18,0)</f>
        <v>Road</v>
      </c>
      <c r="Z85" s="106">
        <f t="shared" si="20"/>
        <v>1</v>
      </c>
    </row>
    <row r="86" spans="1:26" x14ac:dyDescent="0.25">
      <c r="A86" s="61" t="s">
        <v>48</v>
      </c>
      <c r="B86" s="74" t="str">
        <f>VLOOKUP(A86,Participanti!A:B,2,0)</f>
        <v>M</v>
      </c>
      <c r="C86" s="98">
        <v>3</v>
      </c>
      <c r="D86" s="63"/>
      <c r="E86" s="64"/>
      <c r="F86" s="64"/>
      <c r="G86" s="90"/>
      <c r="H86" s="65"/>
      <c r="I86" s="13"/>
      <c r="J86" s="84">
        <f t="shared" si="16"/>
        <v>0</v>
      </c>
      <c r="K86" s="84">
        <f>IF(J86=0,0,IF(B86="F",VLOOKUP(I86,Barem!$G$2:$H$11,2,1),VLOOKUP(I86,Barem!$G$12:$H$21,2,1)))</f>
        <v>0</v>
      </c>
      <c r="L86" s="63"/>
      <c r="M86" s="150" t="s">
        <v>260</v>
      </c>
      <c r="N86" s="10">
        <f t="shared" si="19"/>
        <v>0.25</v>
      </c>
      <c r="O86" s="10">
        <f t="shared" si="19"/>
        <v>0.25</v>
      </c>
      <c r="P86" s="10">
        <f t="shared" si="19"/>
        <v>0.25</v>
      </c>
      <c r="Q86" s="47">
        <f t="shared" si="17"/>
        <v>0</v>
      </c>
      <c r="R86" s="25">
        <f>IF(D86&gt;21,VLOOKUP(D86,Barem!$T$1:$U$141,2,1),0)</f>
        <v>0</v>
      </c>
      <c r="S86" s="25">
        <f>IF(D86&lt;1.609,0,IF(B86="F",VLOOKUP(I86,Barem!$X$2:$Z$13,2,1),VLOOKUP(I86,Barem!$X$14:$Z$25,2,1)))</f>
        <v>0</v>
      </c>
      <c r="T86" s="25">
        <f>VLOOKUP(A86,Participanti!A:C,3,0)</f>
        <v>0</v>
      </c>
      <c r="U86" s="148">
        <v>1.5</v>
      </c>
      <c r="V86" s="76"/>
      <c r="W86" s="101">
        <f>COUNTIFS(A:A,A86,C:C,C86)</f>
        <v>1</v>
      </c>
      <c r="X86" s="74" t="str">
        <f>VLOOKUP(A86,Data_echipe!A:R,18,0)</f>
        <v>Road</v>
      </c>
      <c r="Z86" s="106">
        <f t="shared" si="20"/>
        <v>0</v>
      </c>
    </row>
    <row r="87" spans="1:26" x14ac:dyDescent="0.25">
      <c r="A87" s="61" t="s">
        <v>222</v>
      </c>
      <c r="B87" s="74" t="str">
        <f>VLOOKUP(A87,Participanti!A:B,2,0)</f>
        <v>F</v>
      </c>
      <c r="C87" s="98">
        <v>3</v>
      </c>
      <c r="D87" s="63">
        <v>21.45</v>
      </c>
      <c r="E87" s="64">
        <v>0.13063657407407406</v>
      </c>
      <c r="F87" s="64">
        <v>0.16704861111111111</v>
      </c>
      <c r="G87" s="90">
        <f t="shared" si="14"/>
        <v>0.14884259259259258</v>
      </c>
      <c r="H87" s="65">
        <v>741</v>
      </c>
      <c r="I87" s="13">
        <f t="shared" si="15"/>
        <v>6.939048605715272E-3</v>
      </c>
      <c r="J87" s="84">
        <f t="shared" si="16"/>
        <v>5</v>
      </c>
      <c r="K87" s="84">
        <f>IF(J87=0,0,IF(B87="F",VLOOKUP(I87,Barem!$G$2:$H$11,2,1),VLOOKUP(I87,Barem!$G$12:$H$21,2,1)))</f>
        <v>0</v>
      </c>
      <c r="L87" s="63">
        <v>3.5</v>
      </c>
      <c r="M87" s="62" t="str">
        <f>VLOOKUP(C87,Barem!L:R,7,0)</f>
        <v>D</v>
      </c>
      <c r="N87" s="10">
        <f t="shared" si="19"/>
        <v>0.5</v>
      </c>
      <c r="O87" s="10">
        <f t="shared" si="19"/>
        <v>0.25</v>
      </c>
      <c r="P87" s="10">
        <f t="shared" si="19"/>
        <v>0.25</v>
      </c>
      <c r="Q87" s="47">
        <f t="shared" si="17"/>
        <v>0.49399999999999999</v>
      </c>
      <c r="R87" s="25">
        <f>IF(D87&gt;21,VLOOKUP(D87,Barem!$T$1:$U$141,2,1),0)</f>
        <v>0</v>
      </c>
      <c r="S87" s="25">
        <f>IF(D87&lt;1.609,0,IF(B87="F",VLOOKUP(I87,Barem!$X$2:$Z$13,2,1),VLOOKUP(I87,Barem!$X$14:$Z$25,2,1)))</f>
        <v>0</v>
      </c>
      <c r="T87" s="25">
        <f>VLOOKUP(A87,Participanti!A:C,3,0)</f>
        <v>0</v>
      </c>
      <c r="U87" s="20">
        <f t="shared" si="18"/>
        <v>3.8689999999999998</v>
      </c>
      <c r="V87" s="76">
        <v>44590</v>
      </c>
      <c r="W87" s="101">
        <f>COUNTIFS(A:A,A87,C:C,C87)</f>
        <v>1</v>
      </c>
      <c r="X87" s="74" t="e">
        <f>VLOOKUP(A87,Data_echipe!A:R,18,0)</f>
        <v>#N/A</v>
      </c>
      <c r="Z87" s="106">
        <f t="shared" si="20"/>
        <v>0</v>
      </c>
    </row>
    <row r="88" spans="1:26" ht="12.6" thickBot="1" x14ac:dyDescent="0.3">
      <c r="A88" s="130" t="s">
        <v>179</v>
      </c>
      <c r="B88" s="131" t="str">
        <f>VLOOKUP(A88,Participanti!A:B,2,0)</f>
        <v>F</v>
      </c>
      <c r="C88" s="132">
        <v>3</v>
      </c>
      <c r="D88" s="133">
        <v>14.01</v>
      </c>
      <c r="E88" s="134">
        <v>6.0219907407407403E-2</v>
      </c>
      <c r="F88" s="134">
        <v>7.0532407407407405E-2</v>
      </c>
      <c r="G88" s="135">
        <f t="shared" si="14"/>
        <v>6.5376157407407404E-2</v>
      </c>
      <c r="H88" s="136">
        <v>34</v>
      </c>
      <c r="I88" s="137">
        <f t="shared" si="15"/>
        <v>4.666392391677902E-3</v>
      </c>
      <c r="J88" s="138">
        <f t="shared" si="16"/>
        <v>3.5024999999999999</v>
      </c>
      <c r="K88" s="138">
        <f>IF(J88=0,0,IF(B88="F",VLOOKUP(I88,Barem!$G$2:$H$11,2,1),VLOOKUP(I88,Barem!$G$12:$H$21,2,1)))</f>
        <v>1</v>
      </c>
      <c r="L88" s="133">
        <v>3</v>
      </c>
      <c r="M88" s="139" t="str">
        <f>VLOOKUP(C88,Barem!L:R,7,0)</f>
        <v>D</v>
      </c>
      <c r="N88" s="140">
        <f t="shared" si="19"/>
        <v>0.5</v>
      </c>
      <c r="O88" s="140">
        <f t="shared" si="19"/>
        <v>0.25</v>
      </c>
      <c r="P88" s="140">
        <f t="shared" si="19"/>
        <v>0.25</v>
      </c>
      <c r="Q88" s="141">
        <f t="shared" si="17"/>
        <v>0</v>
      </c>
      <c r="R88" s="142">
        <f>IF(D88&gt;21,VLOOKUP(D88,Barem!$T$1:$U$141,2,1),0)</f>
        <v>0</v>
      </c>
      <c r="S88" s="142">
        <f>IF(D88&lt;1.609,0,IF(B88="F",VLOOKUP(I88,Barem!$X$2:$Z$13,2,1),VLOOKUP(I88,Barem!$X$14:$Z$25,2,1)))</f>
        <v>0</v>
      </c>
      <c r="T88" s="142">
        <f>VLOOKUP(A88,Participanti!A:C,3,0)</f>
        <v>0</v>
      </c>
      <c r="U88" s="143">
        <f t="shared" si="18"/>
        <v>2.7512499999999998</v>
      </c>
      <c r="V88" s="144">
        <v>44590</v>
      </c>
      <c r="W88" s="145">
        <f>COUNTIFS(A:A,A88,C:C,C88)</f>
        <v>1</v>
      </c>
      <c r="X88" s="131" t="str">
        <f>VLOOKUP(A88,Data_echipe!A:R,18,0)</f>
        <v>Trail</v>
      </c>
      <c r="Y88" s="146"/>
      <c r="Z88" s="106">
        <f t="shared" si="20"/>
        <v>1</v>
      </c>
    </row>
    <row r="89" spans="1:26" x14ac:dyDescent="0.25">
      <c r="A89" s="61" t="s">
        <v>218</v>
      </c>
      <c r="B89" s="74" t="str">
        <f>VLOOKUP(A89,Participanti!A:B,2,0)</f>
        <v>M</v>
      </c>
      <c r="C89" s="98">
        <v>4</v>
      </c>
      <c r="D89" s="63">
        <v>35.01</v>
      </c>
      <c r="E89" s="64">
        <v>0.1032986111111111</v>
      </c>
      <c r="F89" s="64">
        <v>0.1032986111111111</v>
      </c>
      <c r="G89" s="90">
        <f>AVERAGE(E89:F89)</f>
        <v>0.1032986111111111</v>
      </c>
      <c r="H89" s="65">
        <v>339</v>
      </c>
      <c r="I89" s="13">
        <f>G89/D89</f>
        <v>2.9505458757815226E-3</v>
      </c>
      <c r="J89" s="84">
        <f>IF(B89="F",IF(D89&lt;2.5,0,IF(D89&gt;19.99,5,D89/4)),IF(D89&lt;3,0, IF(D89&gt;20.99,5,D89/4.2)))</f>
        <v>5</v>
      </c>
      <c r="K89" s="84">
        <f>IF(J89=0,0,IF(B89="F",VLOOKUP(I89,Barem!$G$2:$H$11,2,1),VLOOKUP(I89,Barem!$G$12:$H$21,2,1)))</f>
        <v>4.5</v>
      </c>
      <c r="L89" s="63">
        <v>3</v>
      </c>
      <c r="M89" s="149" t="s">
        <v>108</v>
      </c>
      <c r="N89" s="10">
        <f>IF($M89=N$1,50%,25%)</f>
        <v>0.5</v>
      </c>
      <c r="O89" s="10">
        <f>IF($M89=O$1,50%,25%)</f>
        <v>0.25</v>
      </c>
      <c r="P89" s="10">
        <f>IF($M89=P$1,50%,25%)</f>
        <v>0.25</v>
      </c>
      <c r="Q89" s="47">
        <f>IF(H89&gt;49,H89/1500,0)</f>
        <v>0.22600000000000001</v>
      </c>
      <c r="R89" s="25">
        <f>IF(D89&gt;21,VLOOKUP(D89,Barem!$T$1:$U$141,2,1),0)</f>
        <v>0.7</v>
      </c>
      <c r="S89" s="25">
        <f>IF(D89&lt;1.609,0,IF(B89="F",VLOOKUP(I89,Barem!$X$2:$Z$13,2,1),VLOOKUP(I89,Barem!$X$14:$Z$25,2,1)))</f>
        <v>0</v>
      </c>
      <c r="T89" s="25">
        <f>VLOOKUP(A89,Participanti!A:C,3,0)</f>
        <v>0</v>
      </c>
      <c r="U89" s="20">
        <f>IF(H89&lt;0,0,J89*N89+K89*O89+L89*P89+Q89+R89+S89+T89)</f>
        <v>5.3010000000000002</v>
      </c>
      <c r="V89" s="76">
        <v>44593</v>
      </c>
      <c r="W89" s="101">
        <f>COUNTIFS(A:A,A89,C:C,C89)</f>
        <v>1</v>
      </c>
      <c r="X89" s="74" t="str">
        <f>VLOOKUP(A89,Data_echipe!A:R,18,0)</f>
        <v>Road</v>
      </c>
      <c r="Y89" s="22" t="s">
        <v>269</v>
      </c>
      <c r="Z89" s="106">
        <f t="shared" si="20"/>
        <v>1</v>
      </c>
    </row>
    <row r="90" spans="1:26" x14ac:dyDescent="0.25">
      <c r="A90" s="61" t="s">
        <v>50</v>
      </c>
      <c r="B90" s="74" t="str">
        <f>VLOOKUP(A90,Participanti!A:B,2,0)</f>
        <v>M</v>
      </c>
      <c r="C90" s="98">
        <v>4</v>
      </c>
      <c r="D90" s="63">
        <v>42.03</v>
      </c>
      <c r="E90" s="64">
        <v>0.21246527777777779</v>
      </c>
      <c r="F90" s="64">
        <v>0.25730324074074074</v>
      </c>
      <c r="G90" s="90">
        <f t="shared" ref="G90:G153" si="21">AVERAGE(E90:F90)</f>
        <v>0.23488425925925926</v>
      </c>
      <c r="H90" s="65">
        <v>2090</v>
      </c>
      <c r="I90" s="13">
        <f t="shared" ref="I90:I118" si="22">G90/D90</f>
        <v>5.5884905843268913E-3</v>
      </c>
      <c r="J90" s="84">
        <f t="shared" ref="J90:J118" si="23">IF(B90="F",IF(D90&lt;2.5,0,IF(D90&gt;19.99,5,D90/4)),IF(D90&lt;3,0, IF(D90&gt;20.99,5,D90/4.2)))</f>
        <v>5</v>
      </c>
      <c r="K90" s="84">
        <f>IF(J90=0,0,IF(B90="F",VLOOKUP(I90,Barem!$G$2:$H$11,2,1),VLOOKUP(I90,Barem!$G$12:$H$21,2,1)))</f>
        <v>0</v>
      </c>
      <c r="L90" s="63">
        <v>4.25</v>
      </c>
      <c r="M90" s="149" t="s">
        <v>108</v>
      </c>
      <c r="N90" s="10">
        <f t="shared" ref="N90:P119" si="24">IF($M90=N$1,50%,25%)</f>
        <v>0.5</v>
      </c>
      <c r="O90" s="10">
        <f t="shared" si="24"/>
        <v>0.25</v>
      </c>
      <c r="P90" s="10">
        <f t="shared" si="24"/>
        <v>0.25</v>
      </c>
      <c r="Q90" s="47">
        <f t="shared" ref="Q90:Q118" si="25">IF(H90&gt;49,H90/1500,0)</f>
        <v>1.3933333333333333</v>
      </c>
      <c r="R90" s="25">
        <f>IF(D90&gt;21,VLOOKUP(D90,Barem!$T$1:$U$141,2,1),0)</f>
        <v>1</v>
      </c>
      <c r="S90" s="25">
        <f>IF(D90&lt;1.609,0,IF(B90="F",VLOOKUP(I90,Barem!$X$2:$Z$13,2,1),VLOOKUP(I90,Barem!$X$14:$Z$25,2,1)))</f>
        <v>0</v>
      </c>
      <c r="T90" s="25">
        <f>VLOOKUP(A90,Participanti!A:C,3,0)</f>
        <v>0</v>
      </c>
      <c r="U90" s="20">
        <f t="shared" ref="U90:U118" si="26">IF(H90&lt;0,0,J90*N90+K90*O90+L90*P90+Q90+R90+S90+T90)</f>
        <v>5.9558333333333335</v>
      </c>
      <c r="V90" s="76">
        <v>44597</v>
      </c>
      <c r="W90" s="101">
        <f>COUNTIFS(A:A,A90,C:C,C90)</f>
        <v>1</v>
      </c>
      <c r="X90" s="74" t="str">
        <f>VLOOKUP(A90,Data_echipe!A:R,18,0)</f>
        <v>Trail</v>
      </c>
      <c r="Z90" s="106">
        <f t="shared" si="20"/>
        <v>0</v>
      </c>
    </row>
    <row r="91" spans="1:26" x14ac:dyDescent="0.25">
      <c r="A91" s="61" t="s">
        <v>52</v>
      </c>
      <c r="B91" s="74" t="str">
        <f>VLOOKUP(A91,Participanti!A:B,2,0)</f>
        <v>M</v>
      </c>
      <c r="C91" s="98">
        <v>4</v>
      </c>
      <c r="D91" s="63">
        <v>15.23</v>
      </c>
      <c r="E91" s="64">
        <v>5.1458333333333328E-2</v>
      </c>
      <c r="F91" s="64">
        <v>5.1458333333333328E-2</v>
      </c>
      <c r="G91" s="90">
        <f t="shared" si="21"/>
        <v>5.1458333333333328E-2</v>
      </c>
      <c r="H91" s="65">
        <v>442</v>
      </c>
      <c r="I91" s="13">
        <f t="shared" si="22"/>
        <v>3.3787480849201135E-3</v>
      </c>
      <c r="J91" s="84">
        <f t="shared" si="23"/>
        <v>3.6261904761904762</v>
      </c>
      <c r="K91" s="84">
        <f>IF(J91=0,0,IF(B91="F",VLOOKUP(I91,Barem!$G$2:$H$11,2,1),VLOOKUP(I91,Barem!$G$12:$H$21,2,1)))</f>
        <v>3</v>
      </c>
      <c r="L91" s="63">
        <v>3.75</v>
      </c>
      <c r="M91" s="149" t="s">
        <v>220</v>
      </c>
      <c r="N91" s="10">
        <f t="shared" si="24"/>
        <v>0.25</v>
      </c>
      <c r="O91" s="10">
        <f t="shared" si="24"/>
        <v>0.25</v>
      </c>
      <c r="P91" s="10">
        <f t="shared" si="24"/>
        <v>0.5</v>
      </c>
      <c r="Q91" s="47">
        <f t="shared" si="25"/>
        <v>0.29466666666666669</v>
      </c>
      <c r="R91" s="25">
        <f>IF(D91&gt;21,VLOOKUP(D91,Barem!$T$1:$U$141,2,1),0)</f>
        <v>0</v>
      </c>
      <c r="S91" s="25">
        <f>IF(D91&lt;1.609,0,IF(B91="F",VLOOKUP(I91,Barem!$X$2:$Z$13,2,1),VLOOKUP(I91,Barem!$X$14:$Z$25,2,1)))</f>
        <v>0</v>
      </c>
      <c r="T91" s="25">
        <f>VLOOKUP(A91,Participanti!A:C,3,0)</f>
        <v>0</v>
      </c>
      <c r="U91" s="20">
        <f t="shared" si="26"/>
        <v>3.8262142857142858</v>
      </c>
      <c r="V91" s="76">
        <v>44597</v>
      </c>
      <c r="W91" s="101">
        <f>COUNTIFS(A:A,A91,C:C,C91)</f>
        <v>1</v>
      </c>
      <c r="X91" s="74" t="str">
        <f>VLOOKUP(A91,Data_echipe!A:R,18,0)</f>
        <v>Trail</v>
      </c>
      <c r="Z91" s="106">
        <f t="shared" si="20"/>
        <v>1</v>
      </c>
    </row>
    <row r="92" spans="1:26" x14ac:dyDescent="0.25">
      <c r="A92" s="61" t="s">
        <v>64</v>
      </c>
      <c r="B92" s="74" t="str">
        <f>VLOOKUP(A92,Participanti!A:B,2,0)</f>
        <v>M</v>
      </c>
      <c r="C92" s="98">
        <v>4</v>
      </c>
      <c r="D92" s="63">
        <v>50.03</v>
      </c>
      <c r="E92" s="64">
        <v>0.24675925925925926</v>
      </c>
      <c r="F92" s="64">
        <v>0.26333333333333336</v>
      </c>
      <c r="G92" s="90">
        <f t="shared" si="21"/>
        <v>0.25504629629629633</v>
      </c>
      <c r="H92" s="65">
        <v>1672</v>
      </c>
      <c r="I92" s="13">
        <f t="shared" si="22"/>
        <v>5.0978672056025652E-3</v>
      </c>
      <c r="J92" s="84">
        <f t="shared" si="23"/>
        <v>5</v>
      </c>
      <c r="K92" s="84">
        <f>IF(J92=0,0,IF(B92="F",VLOOKUP(I92,Barem!$G$2:$H$11,2,1),VLOOKUP(I92,Barem!$G$12:$H$21,2,1)))</f>
        <v>1</v>
      </c>
      <c r="L92" s="63">
        <v>3.5</v>
      </c>
      <c r="M92" s="149" t="s">
        <v>108</v>
      </c>
      <c r="N92" s="10">
        <f t="shared" si="24"/>
        <v>0.5</v>
      </c>
      <c r="O92" s="10">
        <f t="shared" si="24"/>
        <v>0.25</v>
      </c>
      <c r="P92" s="10">
        <f t="shared" si="24"/>
        <v>0.25</v>
      </c>
      <c r="Q92" s="47">
        <f t="shared" si="25"/>
        <v>1.1146666666666667</v>
      </c>
      <c r="R92" s="25">
        <f>IF(D92&gt;21,VLOOKUP(D92,Barem!$T$1:$U$141,2,1),0)</f>
        <v>1.4</v>
      </c>
      <c r="S92" s="25">
        <f>IF(D92&lt;1.609,0,IF(B92="F",VLOOKUP(I92,Barem!$X$2:$Z$13,2,1),VLOOKUP(I92,Barem!$X$14:$Z$25,2,1)))</f>
        <v>0</v>
      </c>
      <c r="T92" s="25">
        <f>VLOOKUP(A92,Participanti!A:C,3,0)</f>
        <v>0</v>
      </c>
      <c r="U92" s="20">
        <f t="shared" si="26"/>
        <v>6.1396666666666668</v>
      </c>
      <c r="V92" s="76">
        <v>44597</v>
      </c>
      <c r="W92" s="101">
        <f>COUNTIFS(A:A,A92,C:C,C92)</f>
        <v>1</v>
      </c>
      <c r="X92" s="74" t="str">
        <f>VLOOKUP(A92,Data_echipe!A:R,18,0)</f>
        <v>Trail</v>
      </c>
      <c r="Z92" s="106">
        <f t="shared" si="20"/>
        <v>1</v>
      </c>
    </row>
    <row r="93" spans="1:26" x14ac:dyDescent="0.25">
      <c r="A93" s="61" t="s">
        <v>117</v>
      </c>
      <c r="B93" s="74" t="str">
        <f>VLOOKUP(A93,Participanti!A:B,2,0)</f>
        <v>M</v>
      </c>
      <c r="C93" s="98">
        <v>4</v>
      </c>
      <c r="D93" s="63">
        <v>3.04</v>
      </c>
      <c r="E93" s="64">
        <v>8.1597222222222227E-3</v>
      </c>
      <c r="F93" s="64">
        <v>8.1597222222222227E-3</v>
      </c>
      <c r="G93" s="90">
        <f t="shared" si="21"/>
        <v>8.1597222222222227E-3</v>
      </c>
      <c r="H93" s="65">
        <v>7</v>
      </c>
      <c r="I93" s="13">
        <f t="shared" si="22"/>
        <v>2.6841191520467836E-3</v>
      </c>
      <c r="J93" s="84">
        <f t="shared" si="23"/>
        <v>0.72380952380952379</v>
      </c>
      <c r="K93" s="84">
        <f>IF(J93=0,0,IF(B93="F",VLOOKUP(I93,Barem!$G$2:$H$11,2,1),VLOOKUP(I93,Barem!$G$12:$H$21,2,1)))</f>
        <v>5</v>
      </c>
      <c r="L93" s="63">
        <v>1.5</v>
      </c>
      <c r="M93" s="62" t="str">
        <f>VLOOKUP(C93,Barem!L:R,7,0)</f>
        <v>V</v>
      </c>
      <c r="N93" s="10">
        <f t="shared" si="24"/>
        <v>0.25</v>
      </c>
      <c r="O93" s="10">
        <f t="shared" si="24"/>
        <v>0.5</v>
      </c>
      <c r="P93" s="10">
        <f t="shared" si="24"/>
        <v>0.25</v>
      </c>
      <c r="Q93" s="47">
        <f t="shared" si="25"/>
        <v>0</v>
      </c>
      <c r="R93" s="25">
        <f>IF(D93&gt;21,VLOOKUP(D93,Barem!$T$1:$U$141,2,1),0)</f>
        <v>0</v>
      </c>
      <c r="S93" s="25">
        <f>IF(D93&lt;1.609,0,IF(B93="F",VLOOKUP(I93,Barem!$X$2:$Z$13,2,1),VLOOKUP(I93,Barem!$X$14:$Z$25,2,1)))</f>
        <v>0.45000000000000007</v>
      </c>
      <c r="T93" s="25">
        <f>VLOOKUP(A93,Participanti!A:C,3,0)</f>
        <v>0</v>
      </c>
      <c r="U93" s="20">
        <f t="shared" si="26"/>
        <v>3.5059523809523809</v>
      </c>
      <c r="V93" s="76">
        <v>44594</v>
      </c>
      <c r="W93" s="101">
        <f>COUNTIFS(A:A,A93,C:C,C93)</f>
        <v>1</v>
      </c>
      <c r="X93" s="74" t="str">
        <f>VLOOKUP(A93,Data_echipe!A:R,18,0)</f>
        <v>Trail</v>
      </c>
      <c r="Z93" s="106">
        <f t="shared" si="20"/>
        <v>1</v>
      </c>
    </row>
    <row r="94" spans="1:26" ht="12.6" customHeight="1" x14ac:dyDescent="0.25">
      <c r="A94" s="61" t="s">
        <v>255</v>
      </c>
      <c r="B94" s="74" t="str">
        <f>VLOOKUP(A94,Participanti!A:B,2,0)</f>
        <v>F</v>
      </c>
      <c r="C94" s="98">
        <v>4</v>
      </c>
      <c r="D94" s="63">
        <v>12.01</v>
      </c>
      <c r="E94" s="64">
        <v>4.53587962962963E-2</v>
      </c>
      <c r="F94" s="64">
        <v>4.7673611111111104E-2</v>
      </c>
      <c r="G94" s="90">
        <f t="shared" si="21"/>
        <v>4.6516203703703699E-2</v>
      </c>
      <c r="H94" s="65">
        <v>16</v>
      </c>
      <c r="I94" s="13">
        <f t="shared" si="22"/>
        <v>3.8731227063866528E-3</v>
      </c>
      <c r="J94" s="84">
        <f t="shared" si="23"/>
        <v>3.0024999999999999</v>
      </c>
      <c r="K94" s="84">
        <f>IF(J94=0,0,IF(B94="F",VLOOKUP(I94,Barem!$G$2:$H$11,2,1),VLOOKUP(I94,Barem!$G$12:$H$21,2,1)))</f>
        <v>2.5</v>
      </c>
      <c r="L94" s="63">
        <v>1</v>
      </c>
      <c r="M94" s="62" t="str">
        <f>VLOOKUP(C94,Barem!L:R,7,0)</f>
        <v>V</v>
      </c>
      <c r="N94" s="10">
        <f t="shared" si="24"/>
        <v>0.25</v>
      </c>
      <c r="O94" s="10">
        <f t="shared" si="24"/>
        <v>0.5</v>
      </c>
      <c r="P94" s="10">
        <f t="shared" si="24"/>
        <v>0.25</v>
      </c>
      <c r="Q94" s="47">
        <f t="shared" si="25"/>
        <v>0</v>
      </c>
      <c r="R94" s="25">
        <f>IF(D94&gt;21,VLOOKUP(D94,Barem!$T$1:$U$141,2,1),0)</f>
        <v>0</v>
      </c>
      <c r="S94" s="25">
        <f>IF(D94&lt;1.609,0,IF(B94="F",VLOOKUP(I94,Barem!$X$2:$Z$13,2,1),VLOOKUP(I94,Barem!$X$14:$Z$25,2,1)))</f>
        <v>0</v>
      </c>
      <c r="T94" s="25">
        <f>VLOOKUP(A94,Participanti!A:C,3,0)</f>
        <v>0</v>
      </c>
      <c r="U94" s="20">
        <f t="shared" si="26"/>
        <v>2.2506249999999999</v>
      </c>
      <c r="V94" s="76">
        <v>44592</v>
      </c>
      <c r="W94" s="101">
        <f>COUNTIFS(A:A,A94,C:C,C94)</f>
        <v>1</v>
      </c>
      <c r="X94" s="74" t="str">
        <f>VLOOKUP(A94,Data_echipe!A:R,18,0)</f>
        <v>Trail</v>
      </c>
      <c r="Z94" s="106">
        <f t="shared" si="20"/>
        <v>1</v>
      </c>
    </row>
    <row r="95" spans="1:26" x14ac:dyDescent="0.25">
      <c r="A95" s="61" t="s">
        <v>254</v>
      </c>
      <c r="B95" s="74" t="str">
        <f>VLOOKUP(A95,Participanti!A:B,2,0)</f>
        <v>M</v>
      </c>
      <c r="C95" s="98">
        <v>4</v>
      </c>
      <c r="D95" s="63">
        <v>21.43</v>
      </c>
      <c r="E95" s="64">
        <v>0.10695601851851851</v>
      </c>
      <c r="F95" s="64">
        <v>0.10707175925925926</v>
      </c>
      <c r="G95" s="90">
        <f t="shared" si="21"/>
        <v>0.10701388888888888</v>
      </c>
      <c r="H95" s="65">
        <v>958</v>
      </c>
      <c r="I95" s="13">
        <f t="shared" si="22"/>
        <v>4.9936485715767094E-3</v>
      </c>
      <c r="J95" s="84">
        <f t="shared" si="23"/>
        <v>5</v>
      </c>
      <c r="K95" s="84">
        <f>IF(J95=0,0,IF(B95="F",VLOOKUP(I95,Barem!$G$2:$H$11,2,1),VLOOKUP(I95,Barem!$G$12:$H$21,2,1)))</f>
        <v>1</v>
      </c>
      <c r="L95" s="63">
        <v>4</v>
      </c>
      <c r="M95" s="149" t="s">
        <v>108</v>
      </c>
      <c r="N95" s="10">
        <f t="shared" si="24"/>
        <v>0.5</v>
      </c>
      <c r="O95" s="10">
        <f t="shared" si="24"/>
        <v>0.25</v>
      </c>
      <c r="P95" s="10">
        <f t="shared" si="24"/>
        <v>0.25</v>
      </c>
      <c r="Q95" s="47">
        <f t="shared" si="25"/>
        <v>0.63866666666666672</v>
      </c>
      <c r="R95" s="25">
        <f>IF(D95&gt;21,VLOOKUP(D95,Barem!$T$1:$U$141,2,1),0)</f>
        <v>0</v>
      </c>
      <c r="S95" s="25">
        <f>IF(D95&lt;1.609,0,IF(B95="F",VLOOKUP(I95,Barem!$X$2:$Z$13,2,1),VLOOKUP(I95,Barem!$X$14:$Z$25,2,1)))</f>
        <v>0</v>
      </c>
      <c r="T95" s="25">
        <f>VLOOKUP(A95,Participanti!A:C,3,0)</f>
        <v>0</v>
      </c>
      <c r="U95" s="20">
        <f t="shared" si="26"/>
        <v>4.3886666666666665</v>
      </c>
      <c r="V95" s="76">
        <v>44593</v>
      </c>
      <c r="W95" s="101">
        <f>COUNTIFS(A:A,A95,C:C,C95)</f>
        <v>1</v>
      </c>
      <c r="X95" s="74" t="str">
        <f>VLOOKUP(A95,Data_echipe!A:R,18,0)</f>
        <v>Trail</v>
      </c>
      <c r="Z95" s="106">
        <f t="shared" si="20"/>
        <v>1</v>
      </c>
    </row>
    <row r="96" spans="1:26" x14ac:dyDescent="0.25">
      <c r="A96" s="61" t="s">
        <v>141</v>
      </c>
      <c r="B96" s="74" t="str">
        <f>VLOOKUP(A96,Participanti!A:B,2,0)</f>
        <v>F</v>
      </c>
      <c r="C96" s="98">
        <v>4</v>
      </c>
      <c r="D96" s="63">
        <v>15.22</v>
      </c>
      <c r="E96" s="64">
        <v>5.8784722222222224E-2</v>
      </c>
      <c r="F96" s="64">
        <v>5.8842592592592592E-2</v>
      </c>
      <c r="G96" s="90">
        <f t="shared" si="21"/>
        <v>5.8813657407407405E-2</v>
      </c>
      <c r="H96" s="65">
        <v>446</v>
      </c>
      <c r="I96" s="13">
        <f t="shared" si="22"/>
        <v>3.8642350464788045E-3</v>
      </c>
      <c r="J96" s="84">
        <f t="shared" si="23"/>
        <v>3.8050000000000002</v>
      </c>
      <c r="K96" s="84">
        <f>IF(J96=0,0,IF(B96="F",VLOOKUP(I96,Barem!$G$2:$H$11,2,1),VLOOKUP(I96,Barem!$G$12:$H$21,2,1)))</f>
        <v>2.5</v>
      </c>
      <c r="L96" s="63">
        <v>3.75</v>
      </c>
      <c r="M96" s="149" t="s">
        <v>220</v>
      </c>
      <c r="N96" s="10">
        <f t="shared" si="24"/>
        <v>0.25</v>
      </c>
      <c r="O96" s="10">
        <f t="shared" si="24"/>
        <v>0.25</v>
      </c>
      <c r="P96" s="10">
        <f t="shared" si="24"/>
        <v>0.5</v>
      </c>
      <c r="Q96" s="47">
        <f t="shared" si="25"/>
        <v>0.29733333333333334</v>
      </c>
      <c r="R96" s="25">
        <f>IF(D96&gt;21,VLOOKUP(D96,Barem!$T$1:$U$141,2,1),0)</f>
        <v>0</v>
      </c>
      <c r="S96" s="25">
        <f>IF(D96&lt;1.609,0,IF(B96="F",VLOOKUP(I96,Barem!$X$2:$Z$13,2,1),VLOOKUP(I96,Barem!$X$14:$Z$25,2,1)))</f>
        <v>0</v>
      </c>
      <c r="T96" s="25">
        <f>VLOOKUP(A96,Participanti!A:C,3,0)</f>
        <v>0</v>
      </c>
      <c r="U96" s="20">
        <f t="shared" si="26"/>
        <v>3.7485833333333334</v>
      </c>
      <c r="V96" s="76">
        <v>44597</v>
      </c>
      <c r="W96" s="101">
        <f>COUNTIFS(A:A,A96,C:C,C96)</f>
        <v>1</v>
      </c>
      <c r="X96" s="74" t="str">
        <f>VLOOKUP(A96,Data_echipe!A:R,18,0)</f>
        <v>Trail</v>
      </c>
      <c r="Z96" s="106">
        <f t="shared" si="20"/>
        <v>1</v>
      </c>
    </row>
    <row r="97" spans="1:26" x14ac:dyDescent="0.25">
      <c r="A97" s="61" t="s">
        <v>49</v>
      </c>
      <c r="B97" s="74" t="str">
        <f>VLOOKUP(A97,Participanti!A:B,2,0)</f>
        <v>M</v>
      </c>
      <c r="C97" s="98">
        <v>4</v>
      </c>
      <c r="D97" s="63">
        <v>11.01</v>
      </c>
      <c r="E97" s="64">
        <v>4.8518518518518516E-2</v>
      </c>
      <c r="F97" s="64">
        <v>6.3553240740740743E-2</v>
      </c>
      <c r="G97" s="90">
        <f t="shared" si="21"/>
        <v>5.603587962962963E-2</v>
      </c>
      <c r="H97" s="65">
        <v>161</v>
      </c>
      <c r="I97" s="13">
        <f t="shared" si="22"/>
        <v>5.0895440172233995E-3</v>
      </c>
      <c r="J97" s="84">
        <f t="shared" si="23"/>
        <v>2.6214285714285714</v>
      </c>
      <c r="K97" s="84">
        <f>IF(J97=0,0,IF(B97="F",VLOOKUP(I97,Barem!$G$2:$H$11,2,1),VLOOKUP(I97,Barem!$G$12:$H$21,2,1)))</f>
        <v>1</v>
      </c>
      <c r="L97" s="63">
        <v>3.5</v>
      </c>
      <c r="M97" s="149" t="s">
        <v>108</v>
      </c>
      <c r="N97" s="10">
        <f t="shared" si="24"/>
        <v>0.5</v>
      </c>
      <c r="O97" s="10">
        <f t="shared" si="24"/>
        <v>0.25</v>
      </c>
      <c r="P97" s="10">
        <f t="shared" si="24"/>
        <v>0.25</v>
      </c>
      <c r="Q97" s="47">
        <f t="shared" si="25"/>
        <v>0.10733333333333334</v>
      </c>
      <c r="R97" s="25">
        <f>IF(D97&gt;21,VLOOKUP(D97,Barem!$T$1:$U$141,2,1),0)</f>
        <v>0</v>
      </c>
      <c r="S97" s="25">
        <f>IF(D97&lt;1.609,0,IF(B97="F",VLOOKUP(I97,Barem!$X$2:$Z$13,2,1),VLOOKUP(I97,Barem!$X$14:$Z$25,2,1)))</f>
        <v>0</v>
      </c>
      <c r="T97" s="25">
        <f>VLOOKUP(A97,Participanti!A:C,3,0)</f>
        <v>0.4</v>
      </c>
      <c r="U97" s="20">
        <f t="shared" si="26"/>
        <v>2.9430476190476194</v>
      </c>
      <c r="V97" s="76">
        <v>44598</v>
      </c>
      <c r="W97" s="101">
        <f>COUNTIFS(A:A,A97,C:C,C97)</f>
        <v>1</v>
      </c>
      <c r="X97" s="74" t="str">
        <f>VLOOKUP(A97,Data_echipe!A:R,18,0)</f>
        <v>Road</v>
      </c>
      <c r="Z97" s="106">
        <f t="shared" si="20"/>
        <v>1</v>
      </c>
    </row>
    <row r="98" spans="1:26" x14ac:dyDescent="0.25">
      <c r="A98" s="61" t="s">
        <v>216</v>
      </c>
      <c r="B98" s="74" t="str">
        <f>VLOOKUP(A98,Participanti!A:B,2,0)</f>
        <v>M</v>
      </c>
      <c r="C98" s="98">
        <v>4</v>
      </c>
      <c r="D98" s="63">
        <v>4.0199999999999996</v>
      </c>
      <c r="E98" s="64">
        <v>1.2025462962962962E-2</v>
      </c>
      <c r="F98" s="64">
        <v>1.2349537037037039E-2</v>
      </c>
      <c r="G98" s="90">
        <f t="shared" si="21"/>
        <v>1.21875E-2</v>
      </c>
      <c r="H98" s="65">
        <v>6</v>
      </c>
      <c r="I98" s="13">
        <f t="shared" si="22"/>
        <v>3.0317164179104483E-3</v>
      </c>
      <c r="J98" s="84">
        <f t="shared" si="23"/>
        <v>0.95714285714285696</v>
      </c>
      <c r="K98" s="84">
        <f>IF(J98=0,0,IF(B98="F",VLOOKUP(I98,Barem!$G$2:$H$11,2,1),VLOOKUP(I98,Barem!$G$12:$H$21,2,1)))</f>
        <v>4</v>
      </c>
      <c r="L98" s="63">
        <v>2</v>
      </c>
      <c r="M98" s="62" t="str">
        <f>VLOOKUP(C98,Barem!L:R,7,0)</f>
        <v>V</v>
      </c>
      <c r="N98" s="10">
        <f t="shared" si="24"/>
        <v>0.25</v>
      </c>
      <c r="O98" s="10">
        <f t="shared" si="24"/>
        <v>0.5</v>
      </c>
      <c r="P98" s="10">
        <f t="shared" si="24"/>
        <v>0.25</v>
      </c>
      <c r="Q98" s="47">
        <f t="shared" si="25"/>
        <v>0</v>
      </c>
      <c r="R98" s="25">
        <f>IF(D98&gt;21,VLOOKUP(D98,Barem!$T$1:$U$141,2,1),0)</f>
        <v>0</v>
      </c>
      <c r="S98" s="25">
        <f>IF(D98&lt;1.609,0,IF(B98="F",VLOOKUP(I98,Barem!$X$2:$Z$13,2,1),VLOOKUP(I98,Barem!$X$14:$Z$25,2,1)))</f>
        <v>0</v>
      </c>
      <c r="T98" s="25">
        <f>VLOOKUP(A98,Participanti!A:C,3,0)</f>
        <v>0</v>
      </c>
      <c r="U98" s="20">
        <f t="shared" si="26"/>
        <v>2.7392857142857143</v>
      </c>
      <c r="V98" s="76">
        <v>44595</v>
      </c>
      <c r="W98" s="101">
        <f>COUNTIFS(A:A,A98,C:C,C98)</f>
        <v>1</v>
      </c>
      <c r="X98" s="74" t="str">
        <f>VLOOKUP(A98,Data_echipe!A:R,18,0)</f>
        <v>Road</v>
      </c>
      <c r="Z98" s="106">
        <f t="shared" si="20"/>
        <v>1</v>
      </c>
    </row>
    <row r="99" spans="1:26" x14ac:dyDescent="0.25">
      <c r="A99" s="61" t="s">
        <v>256</v>
      </c>
      <c r="B99" s="74" t="str">
        <f>VLOOKUP(A99,Participanti!A:B,2,0)</f>
        <v>M</v>
      </c>
      <c r="C99" s="98">
        <v>4</v>
      </c>
      <c r="D99" s="63">
        <v>50.01</v>
      </c>
      <c r="E99" s="64">
        <v>0.1877199074074074</v>
      </c>
      <c r="F99" s="64">
        <v>0.19865740740740742</v>
      </c>
      <c r="G99" s="90">
        <f t="shared" si="21"/>
        <v>0.19318865740740743</v>
      </c>
      <c r="H99" s="65">
        <v>50</v>
      </c>
      <c r="I99" s="13">
        <f t="shared" si="22"/>
        <v>3.8630005480385409E-3</v>
      </c>
      <c r="J99" s="84">
        <f t="shared" si="23"/>
        <v>5</v>
      </c>
      <c r="K99" s="84">
        <f>IF(J99=0,0,IF(B99="F",VLOOKUP(I99,Barem!$G$2:$H$11,2,1),VLOOKUP(I99,Barem!$G$12:$H$21,2,1)))</f>
        <v>1.5</v>
      </c>
      <c r="L99" s="63">
        <v>2.5</v>
      </c>
      <c r="M99" s="149" t="s">
        <v>108</v>
      </c>
      <c r="N99" s="10">
        <f t="shared" si="24"/>
        <v>0.5</v>
      </c>
      <c r="O99" s="10">
        <f t="shared" si="24"/>
        <v>0.25</v>
      </c>
      <c r="P99" s="10">
        <f t="shared" si="24"/>
        <v>0.25</v>
      </c>
      <c r="Q99" s="47">
        <f t="shared" si="25"/>
        <v>3.3333333333333333E-2</v>
      </c>
      <c r="R99" s="25">
        <f>IF(D99&gt;21,VLOOKUP(D99,Barem!$T$1:$U$141,2,1),0)</f>
        <v>1.4</v>
      </c>
      <c r="S99" s="25">
        <f>IF(D99&lt;1.609,0,IF(B99="F",VLOOKUP(I99,Barem!$X$2:$Z$13,2,1),VLOOKUP(I99,Barem!$X$14:$Z$25,2,1)))</f>
        <v>0</v>
      </c>
      <c r="T99" s="25">
        <f>VLOOKUP(A99,Participanti!A:C,3,0)</f>
        <v>0</v>
      </c>
      <c r="U99" s="20">
        <f t="shared" si="26"/>
        <v>4.9333333333333336</v>
      </c>
      <c r="V99" s="76">
        <v>44598</v>
      </c>
      <c r="W99" s="101">
        <f>COUNTIFS(A:A,A99,C:C,C99)</f>
        <v>1</v>
      </c>
      <c r="X99" s="74" t="str">
        <f>VLOOKUP(A99,Data_echipe!A:R,18,0)</f>
        <v>Road</v>
      </c>
      <c r="Z99" s="106">
        <f t="shared" si="20"/>
        <v>1</v>
      </c>
    </row>
    <row r="100" spans="1:26" x14ac:dyDescent="0.25">
      <c r="A100" s="61" t="s">
        <v>257</v>
      </c>
      <c r="B100" s="74" t="str">
        <f>VLOOKUP(A100,Participanti!A:B,2,0)</f>
        <v>M</v>
      </c>
      <c r="C100" s="98">
        <v>4</v>
      </c>
      <c r="D100" s="63">
        <v>21.53</v>
      </c>
      <c r="E100" s="64">
        <v>8.0613425925925922E-2</v>
      </c>
      <c r="F100" s="64">
        <v>8.0972222222222223E-2</v>
      </c>
      <c r="G100" s="90">
        <f t="shared" si="21"/>
        <v>8.0792824074074066E-2</v>
      </c>
      <c r="H100" s="65">
        <v>65</v>
      </c>
      <c r="I100" s="13">
        <f t="shared" si="22"/>
        <v>3.7525696272212757E-3</v>
      </c>
      <c r="J100" s="84">
        <f t="shared" si="23"/>
        <v>5</v>
      </c>
      <c r="K100" s="84">
        <f>IF(J100=0,0,IF(B100="F",VLOOKUP(I100,Barem!$G$2:$H$11,2,1),VLOOKUP(I100,Barem!$G$12:$H$21,2,1)))</f>
        <v>2</v>
      </c>
      <c r="L100" s="63">
        <v>1.25</v>
      </c>
      <c r="M100" s="149" t="s">
        <v>108</v>
      </c>
      <c r="N100" s="10">
        <f t="shared" si="24"/>
        <v>0.5</v>
      </c>
      <c r="O100" s="10">
        <f t="shared" si="24"/>
        <v>0.25</v>
      </c>
      <c r="P100" s="10">
        <f t="shared" si="24"/>
        <v>0.25</v>
      </c>
      <c r="Q100" s="47">
        <f t="shared" si="25"/>
        <v>4.3333333333333335E-2</v>
      </c>
      <c r="R100" s="25">
        <f>IF(D100&gt;21,VLOOKUP(D100,Barem!$T$1:$U$141,2,1),0)</f>
        <v>0</v>
      </c>
      <c r="S100" s="25">
        <f>IF(D100&lt;1.609,0,IF(B100="F",VLOOKUP(I100,Barem!$X$2:$Z$13,2,1),VLOOKUP(I100,Barem!$X$14:$Z$25,2,1)))</f>
        <v>0</v>
      </c>
      <c r="T100" s="25">
        <f>VLOOKUP(A100,Participanti!A:C,3,0)</f>
        <v>0</v>
      </c>
      <c r="U100" s="20">
        <f t="shared" si="26"/>
        <v>3.3558333333333334</v>
      </c>
      <c r="V100" s="76">
        <v>44598</v>
      </c>
      <c r="W100" s="101">
        <f>COUNTIFS(A:A,A100,C:C,C100)</f>
        <v>1</v>
      </c>
      <c r="X100" s="74" t="str">
        <f>VLOOKUP(A100,Data_echipe!A:R,18,0)</f>
        <v>Road</v>
      </c>
      <c r="Z100" s="106">
        <f t="shared" si="20"/>
        <v>1</v>
      </c>
    </row>
    <row r="101" spans="1:26" x14ac:dyDescent="0.25">
      <c r="A101" s="61" t="s">
        <v>215</v>
      </c>
      <c r="B101" s="74" t="str">
        <f>VLOOKUP(A101,Participanti!A:B,2,0)</f>
        <v>M</v>
      </c>
      <c r="C101" s="98">
        <v>4</v>
      </c>
      <c r="D101" s="63">
        <v>15.4</v>
      </c>
      <c r="E101" s="64">
        <v>5.8067129629629628E-2</v>
      </c>
      <c r="F101" s="64">
        <v>5.8645833333333335E-2</v>
      </c>
      <c r="G101" s="90">
        <f t="shared" si="21"/>
        <v>5.8356481481481481E-2</v>
      </c>
      <c r="H101" s="65">
        <v>441</v>
      </c>
      <c r="I101" s="13">
        <f t="shared" si="22"/>
        <v>3.7893819143819145E-3</v>
      </c>
      <c r="J101" s="84">
        <f t="shared" si="23"/>
        <v>3.6666666666666665</v>
      </c>
      <c r="K101" s="84">
        <f>IF(J101=0,0,IF(B101="F",VLOOKUP(I101,Barem!$G$2:$H$11,2,1),VLOOKUP(I101,Barem!$G$12:$H$21,2,1)))</f>
        <v>2</v>
      </c>
      <c r="L101" s="63">
        <v>2.5</v>
      </c>
      <c r="M101" s="62" t="str">
        <f>VLOOKUP(C101,Barem!L:R,7,0)</f>
        <v>V</v>
      </c>
      <c r="N101" s="10">
        <f t="shared" si="24"/>
        <v>0.25</v>
      </c>
      <c r="O101" s="10">
        <f t="shared" si="24"/>
        <v>0.5</v>
      </c>
      <c r="P101" s="10">
        <f t="shared" si="24"/>
        <v>0.25</v>
      </c>
      <c r="Q101" s="47">
        <f t="shared" si="25"/>
        <v>0.29399999999999998</v>
      </c>
      <c r="R101" s="25">
        <f>IF(D101&gt;21,VLOOKUP(D101,Barem!$T$1:$U$141,2,1),0)</f>
        <v>0</v>
      </c>
      <c r="S101" s="25">
        <f>IF(D101&lt;1.609,0,IF(B101="F",VLOOKUP(I101,Barem!$X$2:$Z$13,2,1),VLOOKUP(I101,Barem!$X$14:$Z$25,2,1)))</f>
        <v>0</v>
      </c>
      <c r="T101" s="25">
        <f>VLOOKUP(A101,Participanti!A:C,3,0)</f>
        <v>0</v>
      </c>
      <c r="U101" s="20">
        <f t="shared" si="26"/>
        <v>2.8356666666666666</v>
      </c>
      <c r="V101" s="76">
        <v>44597</v>
      </c>
      <c r="W101" s="101">
        <f>COUNTIFS(A:A,A101,C:C,C101)</f>
        <v>1</v>
      </c>
      <c r="X101" s="74" t="str">
        <f>VLOOKUP(A101,Data_echipe!A:R,18,0)</f>
        <v>Trail</v>
      </c>
      <c r="Z101" s="106">
        <f t="shared" si="20"/>
        <v>1</v>
      </c>
    </row>
    <row r="102" spans="1:26" x14ac:dyDescent="0.25">
      <c r="A102" s="61" t="s">
        <v>142</v>
      </c>
      <c r="B102" s="74" t="str">
        <f>VLOOKUP(A102,Participanti!A:B,2,0)</f>
        <v>F</v>
      </c>
      <c r="C102" s="98">
        <v>4</v>
      </c>
      <c r="D102" s="63">
        <v>10.32</v>
      </c>
      <c r="E102" s="64">
        <v>6.6365740740740739E-2</v>
      </c>
      <c r="F102" s="64">
        <v>6.8472222222222226E-2</v>
      </c>
      <c r="G102" s="90">
        <f t="shared" si="21"/>
        <v>6.7418981481481483E-2</v>
      </c>
      <c r="H102" s="65">
        <v>430</v>
      </c>
      <c r="I102" s="13">
        <f t="shared" si="22"/>
        <v>6.5328470427792129E-3</v>
      </c>
      <c r="J102" s="84">
        <f t="shared" si="23"/>
        <v>2.58</v>
      </c>
      <c r="K102" s="84">
        <f>IF(J102=0,0,IF(B102="F",VLOOKUP(I102,Barem!$G$2:$H$11,2,1),VLOOKUP(I102,Barem!$G$12:$H$21,2,1)))</f>
        <v>0</v>
      </c>
      <c r="L102" s="63">
        <v>4</v>
      </c>
      <c r="M102" s="149" t="s">
        <v>108</v>
      </c>
      <c r="N102" s="10">
        <f t="shared" si="24"/>
        <v>0.5</v>
      </c>
      <c r="O102" s="10">
        <f t="shared" si="24"/>
        <v>0.25</v>
      </c>
      <c r="P102" s="10">
        <f t="shared" si="24"/>
        <v>0.25</v>
      </c>
      <c r="Q102" s="47">
        <f t="shared" si="25"/>
        <v>0.28666666666666668</v>
      </c>
      <c r="R102" s="25">
        <f>IF(D102&gt;21,VLOOKUP(D102,Barem!$T$1:$U$141,2,1),0)</f>
        <v>0</v>
      </c>
      <c r="S102" s="25">
        <f>IF(D102&lt;1.609,0,IF(B102="F",VLOOKUP(I102,Barem!$X$2:$Z$13,2,1),VLOOKUP(I102,Barem!$X$14:$Z$25,2,1)))</f>
        <v>0</v>
      </c>
      <c r="T102" s="25">
        <f>VLOOKUP(A102,Participanti!A:C,3,0)</f>
        <v>0</v>
      </c>
      <c r="U102" s="20">
        <f t="shared" si="26"/>
        <v>2.5766666666666667</v>
      </c>
      <c r="V102" s="76">
        <v>44598</v>
      </c>
      <c r="W102" s="101">
        <f>COUNTIFS(A:A,A102,C:C,C102)</f>
        <v>1</v>
      </c>
      <c r="X102" s="74" t="str">
        <f>VLOOKUP(A102,Data_echipe!A:R,18,0)</f>
        <v>Trail</v>
      </c>
      <c r="Z102" s="106">
        <f t="shared" si="20"/>
        <v>0</v>
      </c>
    </row>
    <row r="103" spans="1:26" x14ac:dyDescent="0.25">
      <c r="A103" s="61" t="s">
        <v>57</v>
      </c>
      <c r="B103" s="74" t="str">
        <f>VLOOKUP(A103,Participanti!A:B,2,0)</f>
        <v>M</v>
      </c>
      <c r="C103" s="98">
        <v>4</v>
      </c>
      <c r="D103" s="63">
        <v>12.12</v>
      </c>
      <c r="E103" s="64">
        <v>7.4259259259259261E-2</v>
      </c>
      <c r="F103" s="64">
        <v>7.8310185185185191E-2</v>
      </c>
      <c r="G103" s="90">
        <f t="shared" si="21"/>
        <v>7.6284722222222226E-2</v>
      </c>
      <c r="H103" s="65">
        <v>432</v>
      </c>
      <c r="I103" s="13">
        <f t="shared" si="22"/>
        <v>6.2941189952328575E-3</v>
      </c>
      <c r="J103" s="84">
        <f t="shared" si="23"/>
        <v>2.8857142857142852</v>
      </c>
      <c r="K103" s="84">
        <f>IF(J103=0,0,IF(B103="F",VLOOKUP(I103,Barem!$G$2:$H$11,2,1),VLOOKUP(I103,Barem!$G$12:$H$21,2,1)))</f>
        <v>0</v>
      </c>
      <c r="L103" s="63">
        <v>4</v>
      </c>
      <c r="M103" s="149" t="s">
        <v>108</v>
      </c>
      <c r="N103" s="10">
        <f t="shared" si="24"/>
        <v>0.5</v>
      </c>
      <c r="O103" s="10">
        <f t="shared" si="24"/>
        <v>0.25</v>
      </c>
      <c r="P103" s="10">
        <f t="shared" si="24"/>
        <v>0.25</v>
      </c>
      <c r="Q103" s="47">
        <f t="shared" si="25"/>
        <v>0.28799999999999998</v>
      </c>
      <c r="R103" s="25">
        <f>IF(D103&gt;21,VLOOKUP(D103,Barem!$T$1:$U$141,2,1),0)</f>
        <v>0</v>
      </c>
      <c r="S103" s="25">
        <f>IF(D103&lt;1.609,0,IF(B103="F",VLOOKUP(I103,Barem!$X$2:$Z$13,2,1),VLOOKUP(I103,Barem!$X$14:$Z$25,2,1)))</f>
        <v>0</v>
      </c>
      <c r="T103" s="25">
        <f>VLOOKUP(A103,Participanti!A:C,3,0)</f>
        <v>0</v>
      </c>
      <c r="U103" s="20">
        <f t="shared" si="26"/>
        <v>2.7308571428571424</v>
      </c>
      <c r="V103" s="76">
        <v>44598</v>
      </c>
      <c r="W103" s="101">
        <f>COUNTIFS(A:A,A103,C:C,C103)</f>
        <v>1</v>
      </c>
      <c r="X103" s="74" t="str">
        <f>VLOOKUP(A103,Data_echipe!A:R,18,0)</f>
        <v>Trail</v>
      </c>
      <c r="Z103" s="106">
        <f t="shared" si="20"/>
        <v>0</v>
      </c>
    </row>
    <row r="104" spans="1:26" x14ac:dyDescent="0.25">
      <c r="A104" s="61" t="s">
        <v>119</v>
      </c>
      <c r="B104" s="74" t="str">
        <f>VLOOKUP(A104,Participanti!A:B,2,0)</f>
        <v>F</v>
      </c>
      <c r="C104" s="98">
        <v>4</v>
      </c>
      <c r="D104" s="63">
        <v>14.01</v>
      </c>
      <c r="E104" s="64">
        <v>5.3229166666666661E-2</v>
      </c>
      <c r="F104" s="64">
        <v>5.5023148148148147E-2</v>
      </c>
      <c r="G104" s="90">
        <f t="shared" si="21"/>
        <v>5.4126157407407408E-2</v>
      </c>
      <c r="H104" s="65">
        <v>34.200000000000003</v>
      </c>
      <c r="I104" s="13">
        <f t="shared" si="22"/>
        <v>3.8633945330055252E-3</v>
      </c>
      <c r="J104" s="84">
        <f t="shared" si="23"/>
        <v>3.5024999999999999</v>
      </c>
      <c r="K104" s="84">
        <f>IF(J104=0,0,IF(B104="F",VLOOKUP(I104,Barem!$G$2:$H$11,2,1),VLOOKUP(I104,Barem!$G$12:$H$21,2,1)))</f>
        <v>2.5</v>
      </c>
      <c r="L104" s="63">
        <v>1</v>
      </c>
      <c r="M104" s="149" t="s">
        <v>108</v>
      </c>
      <c r="N104" s="10">
        <f t="shared" si="24"/>
        <v>0.5</v>
      </c>
      <c r="O104" s="10">
        <f t="shared" si="24"/>
        <v>0.25</v>
      </c>
      <c r="P104" s="10">
        <f t="shared" si="24"/>
        <v>0.25</v>
      </c>
      <c r="Q104" s="47">
        <f t="shared" si="25"/>
        <v>0</v>
      </c>
      <c r="R104" s="25">
        <f>IF(D104&gt;21,VLOOKUP(D104,Barem!$T$1:$U$141,2,1),0)</f>
        <v>0</v>
      </c>
      <c r="S104" s="25">
        <f>IF(D104&lt;1.609,0,IF(B104="F",VLOOKUP(I104,Barem!$X$2:$Z$13,2,1),VLOOKUP(I104,Barem!$X$14:$Z$25,2,1)))</f>
        <v>0</v>
      </c>
      <c r="T104" s="25">
        <f>VLOOKUP(A104,Participanti!A:C,3,0)</f>
        <v>0</v>
      </c>
      <c r="U104" s="20">
        <f t="shared" si="26"/>
        <v>2.6262499999999998</v>
      </c>
      <c r="V104" s="76">
        <v>44598</v>
      </c>
      <c r="W104" s="101">
        <f>COUNTIFS(A:A,A104,C:C,C104)</f>
        <v>1</v>
      </c>
      <c r="X104" s="74" t="str">
        <f>VLOOKUP(A104,Data_echipe!A:R,18,0)</f>
        <v>Trail</v>
      </c>
      <c r="Z104" s="106">
        <f t="shared" si="20"/>
        <v>1</v>
      </c>
    </row>
    <row r="105" spans="1:26" x14ac:dyDescent="0.25">
      <c r="A105" s="61" t="s">
        <v>143</v>
      </c>
      <c r="B105" s="74" t="str">
        <f>VLOOKUP(A105,Participanti!A:B,2,0)</f>
        <v>M</v>
      </c>
      <c r="C105" s="98">
        <v>4</v>
      </c>
      <c r="D105" s="63">
        <v>42.24</v>
      </c>
      <c r="E105" s="64">
        <v>0.17921296296296296</v>
      </c>
      <c r="F105" s="64">
        <v>0.2109375</v>
      </c>
      <c r="G105" s="90">
        <f t="shared" si="21"/>
        <v>0.19507523148148148</v>
      </c>
      <c r="H105" s="65">
        <v>188</v>
      </c>
      <c r="I105" s="13">
        <f t="shared" si="22"/>
        <v>4.6182583210578002E-3</v>
      </c>
      <c r="J105" s="84">
        <f t="shared" si="23"/>
        <v>5</v>
      </c>
      <c r="K105" s="84">
        <f>IF(J105=0,0,IF(B105="F",VLOOKUP(I105,Barem!$G$2:$H$11,2,1),VLOOKUP(I105,Barem!$G$12:$H$21,2,1)))</f>
        <v>1</v>
      </c>
      <c r="L105" s="63">
        <v>2</v>
      </c>
      <c r="M105" s="149" t="s">
        <v>108</v>
      </c>
      <c r="N105" s="10">
        <f t="shared" si="24"/>
        <v>0.5</v>
      </c>
      <c r="O105" s="10">
        <f t="shared" si="24"/>
        <v>0.25</v>
      </c>
      <c r="P105" s="10">
        <f t="shared" si="24"/>
        <v>0.25</v>
      </c>
      <c r="Q105" s="47">
        <f t="shared" si="25"/>
        <v>0.12533333333333332</v>
      </c>
      <c r="R105" s="25">
        <f>IF(D105&gt;21,VLOOKUP(D105,Barem!$T$1:$U$141,2,1),0)</f>
        <v>1</v>
      </c>
      <c r="S105" s="25">
        <f>IF(D105&lt;1.609,0,IF(B105="F",VLOOKUP(I105,Barem!$X$2:$Z$13,2,1),VLOOKUP(I105,Barem!$X$14:$Z$25,2,1)))</f>
        <v>0</v>
      </c>
      <c r="T105" s="25">
        <f>VLOOKUP(A105,Participanti!A:C,3,0)</f>
        <v>0</v>
      </c>
      <c r="U105" s="20">
        <f t="shared" si="26"/>
        <v>4.3753333333333337</v>
      </c>
      <c r="V105" s="76">
        <v>44598</v>
      </c>
      <c r="W105" s="101">
        <f>COUNTIFS(A:A,A105,C:C,C105)</f>
        <v>1</v>
      </c>
      <c r="X105" s="74" t="str">
        <f>VLOOKUP(A105,Data_echipe!A:R,18,0)</f>
        <v>Road</v>
      </c>
      <c r="Z105" s="106">
        <f t="shared" si="20"/>
        <v>1</v>
      </c>
    </row>
    <row r="106" spans="1:26" x14ac:dyDescent="0.25">
      <c r="A106" s="61" t="s">
        <v>65</v>
      </c>
      <c r="B106" s="74" t="str">
        <f>VLOOKUP(A106,Participanti!A:B,2,0)</f>
        <v>F</v>
      </c>
      <c r="C106" s="98">
        <v>4</v>
      </c>
      <c r="D106" s="63">
        <v>8.14</v>
      </c>
      <c r="E106" s="64">
        <v>4.0775462962962965E-2</v>
      </c>
      <c r="F106" s="64">
        <v>5.8182870370370371E-2</v>
      </c>
      <c r="G106" s="90">
        <f t="shared" si="21"/>
        <v>4.9479166666666671E-2</v>
      </c>
      <c r="H106" s="65">
        <v>0</v>
      </c>
      <c r="I106" s="13">
        <f t="shared" si="22"/>
        <v>6.0785217035217035E-3</v>
      </c>
      <c r="J106" s="84">
        <f t="shared" si="23"/>
        <v>2.0350000000000001</v>
      </c>
      <c r="K106" s="84">
        <f>IF(J106=0,0,IF(B106="F",VLOOKUP(I106,Barem!$G$2:$H$11,2,1),VLOOKUP(I106,Barem!$G$12:$H$21,2,1)))</f>
        <v>1</v>
      </c>
      <c r="L106" s="63">
        <v>2.5</v>
      </c>
      <c r="M106" s="62" t="str">
        <f>VLOOKUP(C106,Barem!L:R,7,0)</f>
        <v>V</v>
      </c>
      <c r="N106" s="10">
        <f t="shared" si="24"/>
        <v>0.25</v>
      </c>
      <c r="O106" s="10">
        <f t="shared" si="24"/>
        <v>0.5</v>
      </c>
      <c r="P106" s="10">
        <f t="shared" si="24"/>
        <v>0.25</v>
      </c>
      <c r="Q106" s="47">
        <f t="shared" si="25"/>
        <v>0</v>
      </c>
      <c r="R106" s="25">
        <f>IF(D106&gt;21,VLOOKUP(D106,Barem!$T$1:$U$141,2,1),0)</f>
        <v>0</v>
      </c>
      <c r="S106" s="25">
        <f>IF(D106&lt;1.609,0,IF(B106="F",VLOOKUP(I106,Barem!$X$2:$Z$13,2,1),VLOOKUP(I106,Barem!$X$14:$Z$25,2,1)))</f>
        <v>0</v>
      </c>
      <c r="T106" s="25">
        <f>VLOOKUP(A106,Participanti!A:C,3,0)</f>
        <v>0.7</v>
      </c>
      <c r="U106" s="20">
        <f t="shared" si="26"/>
        <v>2.3337500000000002</v>
      </c>
      <c r="V106" s="76">
        <v>44594</v>
      </c>
      <c r="W106" s="101">
        <f>COUNTIFS(A:A,A106,C:C,C106)</f>
        <v>1</v>
      </c>
      <c r="X106" s="74" t="str">
        <f>VLOOKUP(A106,Data_echipe!A:R,18,0)</f>
        <v>Road</v>
      </c>
      <c r="Z106" s="106">
        <f t="shared" si="20"/>
        <v>1</v>
      </c>
    </row>
    <row r="107" spans="1:26" x14ac:dyDescent="0.25">
      <c r="A107" s="61" t="s">
        <v>102</v>
      </c>
      <c r="B107" s="74" t="str">
        <f>VLOOKUP(A107,Participanti!A:B,2,0)</f>
        <v>F</v>
      </c>
      <c r="C107" s="98">
        <v>4</v>
      </c>
      <c r="D107" s="63">
        <v>14.01</v>
      </c>
      <c r="E107" s="64">
        <v>6.0995370370370366E-2</v>
      </c>
      <c r="F107" s="64">
        <v>6.2048611111111117E-2</v>
      </c>
      <c r="G107" s="90">
        <f t="shared" si="21"/>
        <v>6.1521990740740745E-2</v>
      </c>
      <c r="H107" s="65">
        <v>8</v>
      </c>
      <c r="I107" s="13">
        <f t="shared" si="22"/>
        <v>4.3912912734290323E-3</v>
      </c>
      <c r="J107" s="84">
        <f t="shared" si="23"/>
        <v>3.5024999999999999</v>
      </c>
      <c r="K107" s="84">
        <f>IF(J107=0,0,IF(B107="F",VLOOKUP(I107,Barem!$G$2:$H$11,2,1),VLOOKUP(I107,Barem!$G$12:$H$21,2,1)))</f>
        <v>1.5</v>
      </c>
      <c r="L107" s="63">
        <v>2.75</v>
      </c>
      <c r="M107" s="62" t="str">
        <f>VLOOKUP(C107,Barem!L:R,7,0)</f>
        <v>V</v>
      </c>
      <c r="N107" s="10">
        <f t="shared" si="24"/>
        <v>0.25</v>
      </c>
      <c r="O107" s="10">
        <f t="shared" si="24"/>
        <v>0.5</v>
      </c>
      <c r="P107" s="10">
        <f t="shared" si="24"/>
        <v>0.25</v>
      </c>
      <c r="Q107" s="47">
        <f t="shared" si="25"/>
        <v>0</v>
      </c>
      <c r="R107" s="25">
        <f>IF(D107&gt;21,VLOOKUP(D107,Barem!$T$1:$U$141,2,1),0)</f>
        <v>0</v>
      </c>
      <c r="S107" s="25">
        <f>IF(D107&lt;1.609,0,IF(B107="F",VLOOKUP(I107,Barem!$X$2:$Z$13,2,1),VLOOKUP(I107,Barem!$X$14:$Z$25,2,1)))</f>
        <v>0</v>
      </c>
      <c r="T107" s="25">
        <f>VLOOKUP(A107,Participanti!A:C,3,0)</f>
        <v>0</v>
      </c>
      <c r="U107" s="20">
        <f t="shared" si="26"/>
        <v>2.3131249999999999</v>
      </c>
      <c r="V107" s="76">
        <v>44597</v>
      </c>
      <c r="W107" s="101">
        <f>COUNTIFS(A:A,A107,C:C,C107)</f>
        <v>1</v>
      </c>
      <c r="X107" s="74" t="str">
        <f>VLOOKUP(A107,Data_echipe!A:R,18,0)</f>
        <v>Trail</v>
      </c>
      <c r="Z107" s="106">
        <f t="shared" si="20"/>
        <v>1</v>
      </c>
    </row>
    <row r="108" spans="1:26" x14ac:dyDescent="0.25">
      <c r="A108" s="61" t="s">
        <v>116</v>
      </c>
      <c r="B108" s="74" t="str">
        <f>VLOOKUP(A108,Participanti!A:B,2,0)</f>
        <v>M</v>
      </c>
      <c r="C108" s="98">
        <v>4</v>
      </c>
      <c r="D108" s="63">
        <v>13.27</v>
      </c>
      <c r="E108" s="64">
        <v>5.4131944444444441E-2</v>
      </c>
      <c r="F108" s="64">
        <v>5.4745370370370368E-2</v>
      </c>
      <c r="G108" s="90">
        <f t="shared" si="21"/>
        <v>5.4438657407407401E-2</v>
      </c>
      <c r="H108" s="65">
        <v>42</v>
      </c>
      <c r="I108" s="13">
        <f t="shared" si="22"/>
        <v>4.1023856373328862E-3</v>
      </c>
      <c r="J108" s="84">
        <f t="shared" si="23"/>
        <v>3.1595238095238094</v>
      </c>
      <c r="K108" s="84">
        <f>IF(J108=0,0,IF(B108="F",VLOOKUP(I108,Barem!$G$2:$H$11,2,1),VLOOKUP(I108,Barem!$G$12:$H$21,2,1)))</f>
        <v>1.5</v>
      </c>
      <c r="L108" s="63">
        <v>3</v>
      </c>
      <c r="M108" s="149" t="s">
        <v>108</v>
      </c>
      <c r="N108" s="10">
        <f t="shared" si="24"/>
        <v>0.5</v>
      </c>
      <c r="O108" s="10">
        <f t="shared" si="24"/>
        <v>0.25</v>
      </c>
      <c r="P108" s="10">
        <f t="shared" si="24"/>
        <v>0.25</v>
      </c>
      <c r="Q108" s="47">
        <f t="shared" si="25"/>
        <v>0</v>
      </c>
      <c r="R108" s="25">
        <f>IF(D108&gt;21,VLOOKUP(D108,Barem!$T$1:$U$141,2,1),0)</f>
        <v>0</v>
      </c>
      <c r="S108" s="25">
        <f>IF(D108&lt;1.609,0,IF(B108="F",VLOOKUP(I108,Barem!$X$2:$Z$13,2,1),VLOOKUP(I108,Barem!$X$14:$Z$25,2,1)))</f>
        <v>0</v>
      </c>
      <c r="T108" s="25">
        <f>VLOOKUP(A108,Participanti!A:C,3,0)</f>
        <v>0</v>
      </c>
      <c r="U108" s="20">
        <f t="shared" si="26"/>
        <v>2.7047619047619049</v>
      </c>
      <c r="V108" s="76">
        <v>44598</v>
      </c>
      <c r="W108" s="101">
        <f>COUNTIFS(A:A,A108,C:C,C108)</f>
        <v>1</v>
      </c>
      <c r="X108" s="74" t="str">
        <f>VLOOKUP(A108,Data_echipe!A:R,18,0)</f>
        <v>Trail</v>
      </c>
      <c r="Z108" s="106">
        <f t="shared" si="20"/>
        <v>1</v>
      </c>
    </row>
    <row r="109" spans="1:26" x14ac:dyDescent="0.25">
      <c r="A109" s="61" t="s">
        <v>60</v>
      </c>
      <c r="B109" s="74" t="str">
        <f>VLOOKUP(A109,Participanti!A:B,2,0)</f>
        <v>M</v>
      </c>
      <c r="C109" s="98">
        <v>4</v>
      </c>
      <c r="D109" s="63">
        <v>10.16</v>
      </c>
      <c r="E109" s="64">
        <v>3.2870370370370376E-2</v>
      </c>
      <c r="F109" s="64">
        <v>3.2870370370370376E-2</v>
      </c>
      <c r="G109" s="90">
        <f t="shared" si="21"/>
        <v>3.2870370370370376E-2</v>
      </c>
      <c r="H109" s="65">
        <v>67</v>
      </c>
      <c r="I109" s="13">
        <f t="shared" si="22"/>
        <v>3.2352726742490528E-3</v>
      </c>
      <c r="J109" s="84">
        <f t="shared" si="23"/>
        <v>2.4190476190476189</v>
      </c>
      <c r="K109" s="84">
        <f>IF(J109=0,0,IF(B109="F",VLOOKUP(I109,Barem!$G$2:$H$11,2,1),VLOOKUP(I109,Barem!$G$12:$H$21,2,1)))</f>
        <v>3.5</v>
      </c>
      <c r="L109" s="63">
        <v>1</v>
      </c>
      <c r="M109" s="62" t="str">
        <f>VLOOKUP(C109,Barem!L:R,7,0)</f>
        <v>V</v>
      </c>
      <c r="N109" s="10">
        <f t="shared" si="24"/>
        <v>0.25</v>
      </c>
      <c r="O109" s="10">
        <f t="shared" si="24"/>
        <v>0.5</v>
      </c>
      <c r="P109" s="10">
        <f t="shared" si="24"/>
        <v>0.25</v>
      </c>
      <c r="Q109" s="47">
        <f t="shared" si="25"/>
        <v>4.4666666666666667E-2</v>
      </c>
      <c r="R109" s="25">
        <f>IF(D109&gt;21,VLOOKUP(D109,Barem!$T$1:$U$141,2,1),0)</f>
        <v>0</v>
      </c>
      <c r="S109" s="25">
        <f>IF(D109&lt;1.609,0,IF(B109="F",VLOOKUP(I109,Barem!$X$2:$Z$13,2,1),VLOOKUP(I109,Barem!$X$14:$Z$25,2,1)))</f>
        <v>0</v>
      </c>
      <c r="T109" s="25">
        <f>VLOOKUP(A109,Participanti!A:C,3,0)</f>
        <v>0</v>
      </c>
      <c r="U109" s="20">
        <f t="shared" si="26"/>
        <v>2.6494285714285715</v>
      </c>
      <c r="V109" s="76">
        <v>44592</v>
      </c>
      <c r="W109" s="101">
        <f>COUNTIFS(A:A,A109,C:C,C109)</f>
        <v>1</v>
      </c>
      <c r="X109" s="74" t="str">
        <f>VLOOKUP(A109,Data_echipe!A:R,18,0)</f>
        <v>Road</v>
      </c>
      <c r="Z109" s="106">
        <f t="shared" si="20"/>
        <v>1</v>
      </c>
    </row>
    <row r="110" spans="1:26" x14ac:dyDescent="0.25">
      <c r="A110" s="61" t="s">
        <v>66</v>
      </c>
      <c r="B110" s="74" t="str">
        <f>VLOOKUP(A110,Participanti!A:B,2,0)</f>
        <v>M</v>
      </c>
      <c r="C110" s="98">
        <v>4</v>
      </c>
      <c r="D110" s="63">
        <v>5.01</v>
      </c>
      <c r="E110" s="64">
        <v>1.6273148148148148E-2</v>
      </c>
      <c r="F110" s="64">
        <v>1.6273148148148148E-2</v>
      </c>
      <c r="G110" s="90">
        <f t="shared" si="21"/>
        <v>1.6273148148148148E-2</v>
      </c>
      <c r="H110" s="65">
        <v>11</v>
      </c>
      <c r="I110" s="13">
        <f t="shared" si="22"/>
        <v>3.2481333629038218E-3</v>
      </c>
      <c r="J110" s="84">
        <f t="shared" si="23"/>
        <v>1.1928571428571428</v>
      </c>
      <c r="K110" s="84">
        <f>IF(J110=0,0,IF(B110="F",VLOOKUP(I110,Barem!$G$2:$H$11,2,1),VLOOKUP(I110,Barem!$G$12:$H$21,2,1)))</f>
        <v>3.5</v>
      </c>
      <c r="L110" s="63">
        <v>0.5</v>
      </c>
      <c r="M110" s="62" t="str">
        <f>VLOOKUP(C110,Barem!L:R,7,0)</f>
        <v>V</v>
      </c>
      <c r="N110" s="10">
        <f t="shared" si="24"/>
        <v>0.25</v>
      </c>
      <c r="O110" s="10">
        <f t="shared" si="24"/>
        <v>0.5</v>
      </c>
      <c r="P110" s="10">
        <f t="shared" si="24"/>
        <v>0.25</v>
      </c>
      <c r="Q110" s="47">
        <f t="shared" si="25"/>
        <v>0</v>
      </c>
      <c r="R110" s="25">
        <f>IF(D110&gt;21,VLOOKUP(D110,Barem!$T$1:$U$141,2,1),0)</f>
        <v>0</v>
      </c>
      <c r="S110" s="25">
        <f>IF(D110&lt;1.609,0,IF(B110="F",VLOOKUP(I110,Barem!$X$2:$Z$13,2,1),VLOOKUP(I110,Barem!$X$14:$Z$25,2,1)))</f>
        <v>0</v>
      </c>
      <c r="T110" s="25">
        <f>VLOOKUP(A110,Participanti!A:C,3,0)</f>
        <v>0</v>
      </c>
      <c r="U110" s="20">
        <f t="shared" si="26"/>
        <v>2.1732142857142858</v>
      </c>
      <c r="V110" s="76">
        <v>44597</v>
      </c>
      <c r="W110" s="101">
        <f>COUNTIFS(A:A,A110,C:C,C110)</f>
        <v>1</v>
      </c>
      <c r="X110" s="74" t="str">
        <f>VLOOKUP(A110,Data_echipe!A:R,18,0)</f>
        <v>Road</v>
      </c>
      <c r="Z110" s="106">
        <f t="shared" si="20"/>
        <v>1</v>
      </c>
    </row>
    <row r="111" spans="1:26" x14ac:dyDescent="0.25">
      <c r="A111" s="61" t="s">
        <v>185</v>
      </c>
      <c r="B111" s="74" t="str">
        <f>VLOOKUP(A111,Participanti!A:B,2,0)</f>
        <v>F</v>
      </c>
      <c r="C111" s="98">
        <v>4</v>
      </c>
      <c r="D111" s="63">
        <v>2.52</v>
      </c>
      <c r="E111" s="64">
        <v>9.9884259259259266E-3</v>
      </c>
      <c r="F111" s="64">
        <v>9.9884259259259266E-3</v>
      </c>
      <c r="G111" s="90">
        <f t="shared" si="21"/>
        <v>9.9884259259259266E-3</v>
      </c>
      <c r="H111" s="65">
        <v>24</v>
      </c>
      <c r="I111" s="13">
        <f t="shared" si="22"/>
        <v>3.9636610817166372E-3</v>
      </c>
      <c r="J111" s="84">
        <f t="shared" si="23"/>
        <v>0.63</v>
      </c>
      <c r="K111" s="84">
        <f>IF(J111=0,0,IF(B111="F",VLOOKUP(I111,Barem!$G$2:$H$11,2,1),VLOOKUP(I111,Barem!$G$12:$H$21,2,1)))</f>
        <v>2.5</v>
      </c>
      <c r="L111" s="63">
        <v>1.5</v>
      </c>
      <c r="M111" s="62" t="str">
        <f>VLOOKUP(C111,Barem!L:R,7,0)</f>
        <v>V</v>
      </c>
      <c r="N111" s="10">
        <f t="shared" si="24"/>
        <v>0.25</v>
      </c>
      <c r="O111" s="10">
        <f t="shared" si="24"/>
        <v>0.5</v>
      </c>
      <c r="P111" s="10">
        <f t="shared" si="24"/>
        <v>0.25</v>
      </c>
      <c r="Q111" s="47">
        <f t="shared" si="25"/>
        <v>0</v>
      </c>
      <c r="R111" s="25">
        <f>IF(D111&gt;21,VLOOKUP(D111,Barem!$T$1:$U$141,2,1),0)</f>
        <v>0</v>
      </c>
      <c r="S111" s="25">
        <f>IF(D111&lt;1.609,0,IF(B111="F",VLOOKUP(I111,Barem!$X$2:$Z$13,2,1),VLOOKUP(I111,Barem!$X$14:$Z$25,2,1)))</f>
        <v>0</v>
      </c>
      <c r="T111" s="25">
        <f>VLOOKUP(A111,Participanti!A:C,3,0)</f>
        <v>0</v>
      </c>
      <c r="U111" s="20">
        <f t="shared" si="26"/>
        <v>1.7825</v>
      </c>
      <c r="V111" s="76">
        <v>44595</v>
      </c>
      <c r="W111" s="101">
        <f>COUNTIFS(A:A,A111,C:C,C111)</f>
        <v>1</v>
      </c>
      <c r="X111" s="74" t="str">
        <f>VLOOKUP(A111,Data_echipe!A:R,18,0)</f>
        <v>Road</v>
      </c>
      <c r="Z111" s="106">
        <f t="shared" si="20"/>
        <v>1</v>
      </c>
    </row>
    <row r="112" spans="1:26" x14ac:dyDescent="0.25">
      <c r="A112" s="61" t="s">
        <v>222</v>
      </c>
      <c r="B112" s="74" t="str">
        <f>VLOOKUP(A112,Participanti!A:B,2,0)</f>
        <v>F</v>
      </c>
      <c r="C112" s="98">
        <v>4</v>
      </c>
      <c r="D112" s="63">
        <v>5</v>
      </c>
      <c r="E112" s="64">
        <v>2.3402777777777783E-2</v>
      </c>
      <c r="F112" s="64">
        <v>2.9849537037037036E-2</v>
      </c>
      <c r="G112" s="90">
        <f t="shared" si="21"/>
        <v>2.6626157407407411E-2</v>
      </c>
      <c r="H112" s="65">
        <v>3</v>
      </c>
      <c r="I112" s="13">
        <f t="shared" si="22"/>
        <v>5.325231481481482E-3</v>
      </c>
      <c r="J112" s="84">
        <f t="shared" si="23"/>
        <v>1.25</v>
      </c>
      <c r="K112" s="84">
        <f>IF(J112=0,0,IF(B112="F",VLOOKUP(I112,Barem!$G$2:$H$11,2,1),VLOOKUP(I112,Barem!$G$12:$H$21,2,1)))</f>
        <v>1</v>
      </c>
      <c r="L112" s="63">
        <v>3.5</v>
      </c>
      <c r="M112" s="62" t="str">
        <f>VLOOKUP(C112,Barem!L:R,7,0)</f>
        <v>V</v>
      </c>
      <c r="N112" s="10">
        <f t="shared" si="24"/>
        <v>0.25</v>
      </c>
      <c r="O112" s="10">
        <f t="shared" si="24"/>
        <v>0.5</v>
      </c>
      <c r="P112" s="10">
        <f t="shared" si="24"/>
        <v>0.25</v>
      </c>
      <c r="Q112" s="47">
        <f t="shared" si="25"/>
        <v>0</v>
      </c>
      <c r="R112" s="25">
        <f>IF(D112&gt;21,VLOOKUP(D112,Barem!$T$1:$U$141,2,1),0)</f>
        <v>0</v>
      </c>
      <c r="S112" s="25">
        <f>IF(D112&lt;1.609,0,IF(B112="F",VLOOKUP(I112,Barem!$X$2:$Z$13,2,1),VLOOKUP(I112,Barem!$X$14:$Z$25,2,1)))</f>
        <v>0</v>
      </c>
      <c r="T112" s="25">
        <f>VLOOKUP(A112,Participanti!A:C,3,0)</f>
        <v>0</v>
      </c>
      <c r="U112" s="20">
        <f t="shared" si="26"/>
        <v>1.6875</v>
      </c>
      <c r="V112" s="76">
        <v>44595</v>
      </c>
      <c r="W112" s="101">
        <f>COUNTIFS(A:A,A112,C:C,C112)</f>
        <v>1</v>
      </c>
      <c r="X112" s="74" t="e">
        <f>VLOOKUP(A112,Data_echipe!A:R,18,0)</f>
        <v>#N/A</v>
      </c>
      <c r="Z112" s="106">
        <f t="shared" si="20"/>
        <v>1</v>
      </c>
    </row>
    <row r="113" spans="1:26" x14ac:dyDescent="0.25">
      <c r="A113" s="61" t="s">
        <v>217</v>
      </c>
      <c r="B113" s="74" t="str">
        <f>VLOOKUP(A113,Participanti!A:B,2,0)</f>
        <v>M</v>
      </c>
      <c r="C113" s="98">
        <v>4</v>
      </c>
      <c r="D113" s="63">
        <v>3</v>
      </c>
      <c r="E113" s="64">
        <v>8.564814814814815E-3</v>
      </c>
      <c r="F113" s="64">
        <v>8.6921296296296312E-3</v>
      </c>
      <c r="G113" s="90">
        <f t="shared" si="21"/>
        <v>8.6284722222222231E-3</v>
      </c>
      <c r="H113" s="65">
        <v>0</v>
      </c>
      <c r="I113" s="13">
        <f t="shared" si="22"/>
        <v>2.8761574074074076E-3</v>
      </c>
      <c r="J113" s="84">
        <f t="shared" si="23"/>
        <v>0.7142857142857143</v>
      </c>
      <c r="K113" s="84">
        <f>IF(J113=0,0,IF(B113="F",VLOOKUP(I113,Barem!$G$2:$H$11,2,1),VLOOKUP(I113,Barem!$G$12:$H$21,2,1)))</f>
        <v>4.5</v>
      </c>
      <c r="L113" s="63">
        <v>1</v>
      </c>
      <c r="M113" s="62" t="str">
        <f>VLOOKUP(C113,Barem!L:R,7,0)</f>
        <v>V</v>
      </c>
      <c r="N113" s="10">
        <f t="shared" si="24"/>
        <v>0.25</v>
      </c>
      <c r="O113" s="10">
        <f t="shared" si="24"/>
        <v>0.5</v>
      </c>
      <c r="P113" s="10">
        <f t="shared" si="24"/>
        <v>0.25</v>
      </c>
      <c r="Q113" s="47">
        <f t="shared" si="25"/>
        <v>0</v>
      </c>
      <c r="R113" s="25">
        <f>IF(D113&gt;21,VLOOKUP(D113,Barem!$T$1:$U$141,2,1),0)</f>
        <v>0</v>
      </c>
      <c r="S113" s="25">
        <f>IF(D113&lt;1.609,0,IF(B113="F",VLOOKUP(I113,Barem!$X$2:$Z$13,2,1),VLOOKUP(I113,Barem!$X$14:$Z$25,2,1)))</f>
        <v>0</v>
      </c>
      <c r="T113" s="25">
        <f>VLOOKUP(A113,Participanti!A:C,3,0)</f>
        <v>0</v>
      </c>
      <c r="U113" s="20">
        <f t="shared" si="26"/>
        <v>2.6785714285714284</v>
      </c>
      <c r="V113" s="76">
        <v>44595</v>
      </c>
      <c r="W113" s="101">
        <f>COUNTIFS(A:A,A113,C:C,C113)</f>
        <v>1</v>
      </c>
      <c r="X113" s="74" t="e">
        <f>VLOOKUP(A113,Data_echipe!A:R,18,0)</f>
        <v>#N/A</v>
      </c>
      <c r="Z113" s="106">
        <f t="shared" si="20"/>
        <v>1</v>
      </c>
    </row>
    <row r="114" spans="1:26" x14ac:dyDescent="0.25">
      <c r="A114" s="61" t="s">
        <v>138</v>
      </c>
      <c r="B114" s="74" t="str">
        <f>VLOOKUP(A114,Participanti!A:B,2,0)</f>
        <v>F</v>
      </c>
      <c r="C114" s="98">
        <v>4</v>
      </c>
      <c r="D114" s="63">
        <v>10</v>
      </c>
      <c r="E114" s="64">
        <v>4.4328703703703703E-2</v>
      </c>
      <c r="F114" s="64">
        <v>4.6018518518518514E-2</v>
      </c>
      <c r="G114" s="90">
        <f t="shared" si="21"/>
        <v>4.5173611111111109E-2</v>
      </c>
      <c r="H114" s="65">
        <v>136</v>
      </c>
      <c r="I114" s="13">
        <f t="shared" si="22"/>
        <v>4.5173611111111109E-3</v>
      </c>
      <c r="J114" s="84">
        <f t="shared" si="23"/>
        <v>2.5</v>
      </c>
      <c r="K114" s="84">
        <f>IF(J114=0,0,IF(B114="F",VLOOKUP(I114,Barem!$G$2:$H$11,2,1),VLOOKUP(I114,Barem!$G$12:$H$21,2,1)))</f>
        <v>1.5</v>
      </c>
      <c r="L114" s="63">
        <v>3.5</v>
      </c>
      <c r="M114" s="149" t="s">
        <v>220</v>
      </c>
      <c r="N114" s="10">
        <f t="shared" si="24"/>
        <v>0.25</v>
      </c>
      <c r="O114" s="10">
        <f t="shared" si="24"/>
        <v>0.25</v>
      </c>
      <c r="P114" s="10">
        <f t="shared" si="24"/>
        <v>0.5</v>
      </c>
      <c r="Q114" s="47">
        <f t="shared" si="25"/>
        <v>9.0666666666666673E-2</v>
      </c>
      <c r="R114" s="25">
        <f>IF(D114&gt;21,VLOOKUP(D114,Barem!$T$1:$U$141,2,1),0)</f>
        <v>0</v>
      </c>
      <c r="S114" s="25">
        <f>IF(D114&lt;1.609,0,IF(B114="F",VLOOKUP(I114,Barem!$X$2:$Z$13,2,1),VLOOKUP(I114,Barem!$X$14:$Z$25,2,1)))</f>
        <v>0</v>
      </c>
      <c r="T114" s="25">
        <f>VLOOKUP(A114,Participanti!A:C,3,0)</f>
        <v>0</v>
      </c>
      <c r="U114" s="20">
        <f t="shared" si="26"/>
        <v>2.8406666666666665</v>
      </c>
      <c r="V114" s="76">
        <v>44597</v>
      </c>
      <c r="W114" s="101">
        <f>COUNTIFS(A:A,A114,C:C,C114)</f>
        <v>1</v>
      </c>
      <c r="X114" s="74" t="str">
        <f>VLOOKUP(A114,Data_echipe!A:R,18,0)</f>
        <v>Road</v>
      </c>
      <c r="Z114" s="106">
        <f t="shared" si="20"/>
        <v>1</v>
      </c>
    </row>
    <row r="115" spans="1:26" x14ac:dyDescent="0.25">
      <c r="A115" s="61" t="s">
        <v>179</v>
      </c>
      <c r="B115" s="74" t="str">
        <f>VLOOKUP(A115,Participanti!A:B,2,0)</f>
        <v>F</v>
      </c>
      <c r="C115" s="98">
        <v>4</v>
      </c>
      <c r="D115" s="63">
        <v>12.04</v>
      </c>
      <c r="E115" s="64">
        <v>4.7905092592592589E-2</v>
      </c>
      <c r="F115" s="64">
        <v>8.8368055555555547E-2</v>
      </c>
      <c r="G115" s="90">
        <f t="shared" si="21"/>
        <v>6.8136574074074072E-2</v>
      </c>
      <c r="H115" s="65">
        <v>275</v>
      </c>
      <c r="I115" s="13">
        <f t="shared" si="22"/>
        <v>5.6591838931955209E-3</v>
      </c>
      <c r="J115" s="84">
        <f t="shared" si="23"/>
        <v>3.01</v>
      </c>
      <c r="K115" s="84">
        <f>IF(J115=0,0,IF(B115="F",VLOOKUP(I115,Barem!$G$2:$H$11,2,1),VLOOKUP(I115,Barem!$G$12:$H$21,2,1)))</f>
        <v>1</v>
      </c>
      <c r="L115" s="63">
        <v>3.5</v>
      </c>
      <c r="M115" s="62" t="str">
        <f>VLOOKUP(C115,Barem!L:R,7,0)</f>
        <v>V</v>
      </c>
      <c r="N115" s="10">
        <f t="shared" si="24"/>
        <v>0.25</v>
      </c>
      <c r="O115" s="10">
        <f t="shared" si="24"/>
        <v>0.5</v>
      </c>
      <c r="P115" s="10">
        <f t="shared" si="24"/>
        <v>0.25</v>
      </c>
      <c r="Q115" s="47">
        <f t="shared" si="25"/>
        <v>0.18333333333333332</v>
      </c>
      <c r="R115" s="25">
        <f>IF(D115&gt;21,VLOOKUP(D115,Barem!$T$1:$U$141,2,1),0)</f>
        <v>0</v>
      </c>
      <c r="S115" s="25">
        <f>IF(D115&lt;1.609,0,IF(B115="F",VLOOKUP(I115,Barem!$X$2:$Z$13,2,1),VLOOKUP(I115,Barem!$X$14:$Z$25,2,1)))</f>
        <v>0</v>
      </c>
      <c r="T115" s="25">
        <f>VLOOKUP(A115,Participanti!A:C,3,0)</f>
        <v>0</v>
      </c>
      <c r="U115" s="20">
        <f t="shared" si="26"/>
        <v>2.3108333333333331</v>
      </c>
      <c r="V115" s="76">
        <v>44597</v>
      </c>
      <c r="W115" s="101">
        <f>COUNTIFS(A:A,A115,C:C,C115)</f>
        <v>1</v>
      </c>
      <c r="X115" s="74" t="str">
        <f>VLOOKUP(A115,Data_echipe!A:R,18,0)</f>
        <v>Trail</v>
      </c>
      <c r="Z115" s="106">
        <f t="shared" si="20"/>
        <v>1</v>
      </c>
    </row>
    <row r="116" spans="1:26" x14ac:dyDescent="0.25">
      <c r="A116" s="61" t="s">
        <v>48</v>
      </c>
      <c r="B116" s="74" t="str">
        <f>VLOOKUP(A116,Participanti!A:B,2,0)</f>
        <v>M</v>
      </c>
      <c r="C116" s="98">
        <v>4</v>
      </c>
      <c r="D116" s="63">
        <v>7.07</v>
      </c>
      <c r="E116" s="64">
        <v>2.6203703703703705E-2</v>
      </c>
      <c r="F116" s="64">
        <v>2.6377314814814815E-2</v>
      </c>
      <c r="G116" s="90">
        <f t="shared" si="21"/>
        <v>2.629050925925926E-2</v>
      </c>
      <c r="H116" s="65">
        <v>30</v>
      </c>
      <c r="I116" s="13">
        <f t="shared" si="22"/>
        <v>3.7186010267693435E-3</v>
      </c>
      <c r="J116" s="84">
        <f t="shared" si="23"/>
        <v>1.6833333333333333</v>
      </c>
      <c r="K116" s="84">
        <f>IF(J116=0,0,IF(B116="F",VLOOKUP(I116,Barem!$G$2:$H$11,2,1),VLOOKUP(I116,Barem!$G$12:$H$21,2,1)))</f>
        <v>2</v>
      </c>
      <c r="L116" s="63">
        <v>1.5</v>
      </c>
      <c r="M116" s="62" t="str">
        <f>VLOOKUP(C116,Barem!L:R,7,0)</f>
        <v>V</v>
      </c>
      <c r="N116" s="10">
        <f t="shared" si="24"/>
        <v>0.25</v>
      </c>
      <c r="O116" s="10">
        <f t="shared" si="24"/>
        <v>0.5</v>
      </c>
      <c r="P116" s="10">
        <f t="shared" si="24"/>
        <v>0.25</v>
      </c>
      <c r="Q116" s="47">
        <f t="shared" si="25"/>
        <v>0</v>
      </c>
      <c r="R116" s="25">
        <f>IF(D116&gt;21,VLOOKUP(D116,Barem!$T$1:$U$141,2,1),0)</f>
        <v>0</v>
      </c>
      <c r="S116" s="25">
        <f>IF(D116&lt;1.609,0,IF(B116="F",VLOOKUP(I116,Barem!$X$2:$Z$13,2,1),VLOOKUP(I116,Barem!$X$14:$Z$25,2,1)))</f>
        <v>0</v>
      </c>
      <c r="T116" s="25">
        <f>VLOOKUP(A116,Participanti!A:C,3,0)</f>
        <v>0</v>
      </c>
      <c r="U116" s="20">
        <f t="shared" si="26"/>
        <v>1.7958333333333334</v>
      </c>
      <c r="V116" s="76">
        <v>44596</v>
      </c>
      <c r="W116" s="101">
        <f>COUNTIFS(A:A,A116,C:C,C116)</f>
        <v>1</v>
      </c>
      <c r="X116" s="74" t="str">
        <f>VLOOKUP(A116,Data_echipe!A:R,18,0)</f>
        <v>Road</v>
      </c>
      <c r="Z116" s="106">
        <f t="shared" si="20"/>
        <v>1</v>
      </c>
    </row>
    <row r="117" spans="1:26" x14ac:dyDescent="0.25">
      <c r="A117" s="61" t="s">
        <v>221</v>
      </c>
      <c r="B117" s="74" t="str">
        <f>VLOOKUP(A117,Participanti!A:B,2,0)</f>
        <v>M</v>
      </c>
      <c r="C117" s="98">
        <v>4</v>
      </c>
      <c r="D117" s="63">
        <v>21.55</v>
      </c>
      <c r="E117" s="64">
        <v>8.5266203703703705E-2</v>
      </c>
      <c r="F117" s="64">
        <v>0.11400462962962964</v>
      </c>
      <c r="G117" s="90">
        <f>AVERAGE(E117:F117)</f>
        <v>9.9635416666666671E-2</v>
      </c>
      <c r="H117" s="65">
        <v>52</v>
      </c>
      <c r="I117" s="13">
        <f>G117/D117</f>
        <v>4.6234532095901009E-3</v>
      </c>
      <c r="J117" s="84">
        <f>IF(B117="F",IF(D117&lt;2.5,0,IF(D117&gt;19.99,5,D117/4)),IF(D117&lt;3,0, IF(D117&gt;20.99,5,D117/4.2)))</f>
        <v>5</v>
      </c>
      <c r="K117" s="84">
        <f>IF(J117=0,0,IF(B117="F",VLOOKUP(I117,Barem!$G$2:$H$11,2,1),VLOOKUP(I117,Barem!$G$12:$H$21,2,1)))</f>
        <v>1</v>
      </c>
      <c r="L117" s="63">
        <v>2.5</v>
      </c>
      <c r="M117" s="149" t="s">
        <v>108</v>
      </c>
      <c r="N117" s="10">
        <f t="shared" si="24"/>
        <v>0.5</v>
      </c>
      <c r="O117" s="10">
        <f t="shared" si="24"/>
        <v>0.25</v>
      </c>
      <c r="P117" s="10">
        <f t="shared" si="24"/>
        <v>0.25</v>
      </c>
      <c r="Q117" s="47">
        <f>IF(H117&gt;49,H117/1500,0)</f>
        <v>3.4666666666666665E-2</v>
      </c>
      <c r="R117" s="25">
        <f>IF(D117&gt;21,VLOOKUP(D117,Barem!$T$1:$U$141,2,1),0)</f>
        <v>0</v>
      </c>
      <c r="S117" s="25">
        <f>IF(D117&lt;1.609,0,IF(B117="F",VLOOKUP(I117,Barem!$X$2:$Z$13,2,1),VLOOKUP(I117,Barem!$X$14:$Z$25,2,1)))</f>
        <v>0</v>
      </c>
      <c r="T117" s="25">
        <f>VLOOKUP(A117,Participanti!A:C,3,0)</f>
        <v>0</v>
      </c>
      <c r="U117" s="20">
        <f>IF(H117&lt;0,0,J117*N117+K117*O117+L117*P117+Q117+R117+S117+T117)</f>
        <v>3.4096666666666668</v>
      </c>
      <c r="V117" s="76">
        <v>44596</v>
      </c>
      <c r="W117" s="101">
        <f>COUNTIFS(A:A,A117,C:C,C117)</f>
        <v>1</v>
      </c>
      <c r="X117" s="74" t="str">
        <f>VLOOKUP(A117,Data_echipe!A:R,18,0)</f>
        <v>Trail</v>
      </c>
      <c r="Z117" s="106">
        <f t="shared" si="20"/>
        <v>1</v>
      </c>
    </row>
    <row r="118" spans="1:26" ht="12.6" thickBot="1" x14ac:dyDescent="0.3">
      <c r="A118" s="130" t="s">
        <v>54</v>
      </c>
      <c r="B118" s="131" t="str">
        <f>VLOOKUP(A118,Participanti!A:B,2,0)</f>
        <v>M</v>
      </c>
      <c r="C118" s="132">
        <v>4</v>
      </c>
      <c r="D118" s="133">
        <v>16.03</v>
      </c>
      <c r="E118" s="134">
        <v>6.5347222222222223E-2</v>
      </c>
      <c r="F118" s="134">
        <v>0.10702546296296296</v>
      </c>
      <c r="G118" s="135">
        <f t="shared" si="21"/>
        <v>8.6186342592592585E-2</v>
      </c>
      <c r="H118" s="136">
        <v>58</v>
      </c>
      <c r="I118" s="137">
        <f t="shared" si="22"/>
        <v>5.3765653520020324E-3</v>
      </c>
      <c r="J118" s="138">
        <f t="shared" si="23"/>
        <v>3.8166666666666669</v>
      </c>
      <c r="K118" s="138">
        <f>IF(J118=0,0,IF(B118="F",VLOOKUP(I118,Barem!$G$2:$H$11,2,1),VLOOKUP(I118,Barem!$G$12:$H$21,2,1)))</f>
        <v>1</v>
      </c>
      <c r="L118" s="133">
        <v>2</v>
      </c>
      <c r="M118" s="139" t="str">
        <f>VLOOKUP(C118,Barem!L:R,7,0)</f>
        <v>V</v>
      </c>
      <c r="N118" s="140">
        <f t="shared" si="24"/>
        <v>0.25</v>
      </c>
      <c r="O118" s="140">
        <f t="shared" si="24"/>
        <v>0.5</v>
      </c>
      <c r="P118" s="140">
        <f t="shared" si="24"/>
        <v>0.25</v>
      </c>
      <c r="Q118" s="141">
        <f t="shared" si="25"/>
        <v>3.8666666666666669E-2</v>
      </c>
      <c r="R118" s="142">
        <f>IF(D118&gt;21,VLOOKUP(D118,Barem!$T$1:$U$141,2,1),0)</f>
        <v>0</v>
      </c>
      <c r="S118" s="142">
        <f>IF(D118&lt;1.609,0,IF(B118="F",VLOOKUP(I118,Barem!$X$2:$Z$13,2,1),VLOOKUP(I118,Barem!$X$14:$Z$25,2,1)))</f>
        <v>0</v>
      </c>
      <c r="T118" s="142">
        <f>VLOOKUP(A118,Participanti!A:C,3,0)</f>
        <v>0</v>
      </c>
      <c r="U118" s="143">
        <f t="shared" si="26"/>
        <v>1.9928333333333332</v>
      </c>
      <c r="V118" s="144">
        <v>44598</v>
      </c>
      <c r="W118" s="145">
        <f>COUNTIFS(A:A,A118,C:C,C118)</f>
        <v>1</v>
      </c>
      <c r="X118" s="131" t="e">
        <f>VLOOKUP(A118,Data_echipe!A:R,18,0)</f>
        <v>#N/A</v>
      </c>
      <c r="Y118" s="146"/>
      <c r="Z118" s="106">
        <f t="shared" si="20"/>
        <v>1</v>
      </c>
    </row>
    <row r="119" spans="1:26" x14ac:dyDescent="0.25">
      <c r="A119" s="61" t="s">
        <v>218</v>
      </c>
      <c r="B119" s="74" t="str">
        <f>VLOOKUP(A119,Participanti!A:B,2,0)</f>
        <v>M</v>
      </c>
      <c r="C119" s="98">
        <v>5</v>
      </c>
      <c r="D119" s="63">
        <v>10</v>
      </c>
      <c r="E119" s="64">
        <v>2.4560185185185185E-2</v>
      </c>
      <c r="F119" s="64">
        <v>2.4560185185185185E-2</v>
      </c>
      <c r="G119" s="90">
        <f t="shared" si="21"/>
        <v>2.4560185185185185E-2</v>
      </c>
      <c r="H119" s="65">
        <v>54</v>
      </c>
      <c r="I119" s="13">
        <f t="shared" ref="I119:I147" si="27">G119/D119</f>
        <v>2.4560185185185184E-3</v>
      </c>
      <c r="J119" s="84">
        <f t="shared" ref="J119:J147" si="28">IF(B119="F",IF(D119&lt;2.5,0,IF(D119&gt;19.99,5,D119/4)),IF(D119&lt;3,0, IF(D119&gt;20.99,5,D119/4.2)))</f>
        <v>2.3809523809523809</v>
      </c>
      <c r="K119" s="84">
        <f>IF(J119=0,0,IF(B119="F",VLOOKUP(I119,Barem!$G$2:$H$11,2,1),VLOOKUP(I119,Barem!$G$12:$H$21,2,1)))</f>
        <v>5</v>
      </c>
      <c r="L119" s="63">
        <v>3.5</v>
      </c>
      <c r="M119" s="149" t="s">
        <v>109</v>
      </c>
      <c r="N119" s="10">
        <f t="shared" si="24"/>
        <v>0.25</v>
      </c>
      <c r="O119" s="10">
        <f t="shared" si="24"/>
        <v>0.5</v>
      </c>
      <c r="P119" s="10">
        <f t="shared" si="24"/>
        <v>0.25</v>
      </c>
      <c r="Q119" s="47">
        <f t="shared" ref="Q119:Q147" si="29">IF(H119&gt;49,H119/1500,0)</f>
        <v>3.5999999999999997E-2</v>
      </c>
      <c r="R119" s="25">
        <f>IF(D119&gt;21,VLOOKUP(D119,Barem!$T$1:$U$141,2,1),0)</f>
        <v>0</v>
      </c>
      <c r="S119" s="25">
        <f>IF(D119&lt;1.609,0,IF(B119="F",VLOOKUP(I119,Barem!$X$2:$Z$13,2,1),VLOOKUP(I119,Barem!$X$14:$Z$25,2,1)))</f>
        <v>3.1500000000000004</v>
      </c>
      <c r="T119" s="25">
        <f>VLOOKUP(A119,Participanti!A:C,3,0)</f>
        <v>0</v>
      </c>
      <c r="U119" s="20">
        <f t="shared" ref="U119:U147" si="30">IF(H119&lt;0,0,J119*N119+K119*O119+L119*P119+Q119+R119+S119+T119)</f>
        <v>7.1562380952380957</v>
      </c>
      <c r="V119" s="76">
        <v>44602</v>
      </c>
      <c r="W119" s="101">
        <f>COUNTIFS(A:A,A119,C:C,C119)</f>
        <v>1</v>
      </c>
      <c r="X119" s="74" t="str">
        <f>VLOOKUP(A119,Data_echipe!A:R,18,0)</f>
        <v>Road</v>
      </c>
      <c r="Y119" s="22" t="s">
        <v>272</v>
      </c>
      <c r="Z119" s="106">
        <f t="shared" si="20"/>
        <v>1</v>
      </c>
    </row>
    <row r="120" spans="1:26" x14ac:dyDescent="0.25">
      <c r="A120" s="61" t="s">
        <v>50</v>
      </c>
      <c r="B120" s="74" t="str">
        <f>VLOOKUP(A120,Participanti!A:B,2,0)</f>
        <v>M</v>
      </c>
      <c r="C120" s="98">
        <v>5</v>
      </c>
      <c r="D120" s="63">
        <v>35.79</v>
      </c>
      <c r="E120" s="64">
        <v>0.19072916666666664</v>
      </c>
      <c r="F120" s="64">
        <v>0.22832175925925927</v>
      </c>
      <c r="G120" s="90">
        <f t="shared" si="21"/>
        <v>0.20952546296296296</v>
      </c>
      <c r="H120" s="65">
        <v>1526</v>
      </c>
      <c r="I120" s="13">
        <f t="shared" si="27"/>
        <v>5.8543018430556844E-3</v>
      </c>
      <c r="J120" s="84">
        <f t="shared" si="28"/>
        <v>5</v>
      </c>
      <c r="K120" s="84">
        <f>IF(J120=0,0,IF(B120="F",VLOOKUP(I120,Barem!$G$2:$H$11,2,1),VLOOKUP(I120,Barem!$G$12:$H$21,2,1)))</f>
        <v>0</v>
      </c>
      <c r="L120" s="63">
        <v>4.5</v>
      </c>
      <c r="M120" s="62" t="str">
        <f>VLOOKUP(C120,Barem!L:R,7,0)</f>
        <v>P</v>
      </c>
      <c r="N120" s="10">
        <f t="shared" ref="N120:P148" si="31">IF($M120=N$1,50%,25%)</f>
        <v>0.25</v>
      </c>
      <c r="O120" s="10">
        <f t="shared" si="31"/>
        <v>0.25</v>
      </c>
      <c r="P120" s="10">
        <f t="shared" si="31"/>
        <v>0.5</v>
      </c>
      <c r="Q120" s="47">
        <f t="shared" si="29"/>
        <v>1.0173333333333334</v>
      </c>
      <c r="R120" s="25">
        <f>IF(D120&gt;21,VLOOKUP(D120,Barem!$T$1:$U$141,2,1),0)</f>
        <v>0.7</v>
      </c>
      <c r="S120" s="25">
        <f>IF(D120&lt;1.609,0,IF(B120="F",VLOOKUP(I120,Barem!$X$2:$Z$13,2,1),VLOOKUP(I120,Barem!$X$14:$Z$25,2,1)))</f>
        <v>0</v>
      </c>
      <c r="T120" s="25">
        <f>VLOOKUP(A120,Participanti!A:C,3,0)</f>
        <v>0</v>
      </c>
      <c r="U120" s="20">
        <f t="shared" si="30"/>
        <v>5.2173333333333334</v>
      </c>
      <c r="V120" s="76">
        <v>44605</v>
      </c>
      <c r="W120" s="101">
        <f>COUNTIFS(A:A,A120,C:C,C120)</f>
        <v>1</v>
      </c>
      <c r="X120" s="74" t="str">
        <f>VLOOKUP(A120,Data_echipe!A:R,18,0)</f>
        <v>Trail</v>
      </c>
      <c r="Z120" s="106">
        <f t="shared" si="20"/>
        <v>0</v>
      </c>
    </row>
    <row r="121" spans="1:26" x14ac:dyDescent="0.25">
      <c r="A121" s="61" t="s">
        <v>64</v>
      </c>
      <c r="B121" s="74" t="str">
        <f>VLOOKUP(A121,Participanti!A:B,2,0)</f>
        <v>M</v>
      </c>
      <c r="C121" s="98">
        <v>5</v>
      </c>
      <c r="D121" s="63">
        <v>24.11</v>
      </c>
      <c r="E121" s="64">
        <v>0.13354166666666667</v>
      </c>
      <c r="F121" s="64">
        <v>0.15407407407407406</v>
      </c>
      <c r="G121" s="90">
        <f t="shared" si="21"/>
        <v>0.14380787037037035</v>
      </c>
      <c r="H121" s="65">
        <v>1089</v>
      </c>
      <c r="I121" s="13">
        <f t="shared" si="27"/>
        <v>5.9646565893973604E-3</v>
      </c>
      <c r="J121" s="84">
        <f t="shared" si="28"/>
        <v>5</v>
      </c>
      <c r="K121" s="84">
        <f>IF(J121=0,0,IF(B121="F",VLOOKUP(I121,Barem!$G$2:$H$11,2,1),VLOOKUP(I121,Barem!$G$12:$H$21,2,1)))</f>
        <v>0</v>
      </c>
      <c r="L121" s="63">
        <v>4.5</v>
      </c>
      <c r="M121" s="62" t="str">
        <f>VLOOKUP(C121,Barem!L:R,7,0)</f>
        <v>P</v>
      </c>
      <c r="N121" s="10">
        <f t="shared" si="31"/>
        <v>0.25</v>
      </c>
      <c r="O121" s="10">
        <f t="shared" si="31"/>
        <v>0.25</v>
      </c>
      <c r="P121" s="10">
        <f t="shared" si="31"/>
        <v>0.5</v>
      </c>
      <c r="Q121" s="47">
        <f t="shared" si="29"/>
        <v>0.72599999999999998</v>
      </c>
      <c r="R121" s="25">
        <f>IF(D121&gt;21,VLOOKUP(D121,Barem!$T$1:$U$141,2,1),0)</f>
        <v>0.1</v>
      </c>
      <c r="S121" s="25">
        <f>IF(D121&lt;1.609,0,IF(B121="F",VLOOKUP(I121,Barem!$X$2:$Z$13,2,1),VLOOKUP(I121,Barem!$X$14:$Z$25,2,1)))</f>
        <v>0</v>
      </c>
      <c r="T121" s="25">
        <f>VLOOKUP(A121,Participanti!A:C,3,0)</f>
        <v>0</v>
      </c>
      <c r="U121" s="20">
        <f t="shared" si="30"/>
        <v>4.3259999999999996</v>
      </c>
      <c r="V121" s="76">
        <v>44605</v>
      </c>
      <c r="W121" s="101">
        <f>COUNTIFS(A:A,A121,C:C,C121)</f>
        <v>1</v>
      </c>
      <c r="X121" s="74" t="str">
        <f>VLOOKUP(A121,Data_echipe!A:R,18,0)</f>
        <v>Trail</v>
      </c>
      <c r="Z121" s="106">
        <f t="shared" si="20"/>
        <v>0</v>
      </c>
    </row>
    <row r="122" spans="1:26" x14ac:dyDescent="0.25">
      <c r="A122" s="61" t="s">
        <v>52</v>
      </c>
      <c r="B122" s="74" t="str">
        <f>VLOOKUP(A122,Participanti!A:B,2,0)</f>
        <v>M</v>
      </c>
      <c r="C122" s="98">
        <v>5</v>
      </c>
      <c r="D122" s="63">
        <v>6.4</v>
      </c>
      <c r="E122" s="64">
        <v>1.7384259259259262E-2</v>
      </c>
      <c r="F122" s="64">
        <v>1.7384259259259262E-2</v>
      </c>
      <c r="G122" s="90">
        <f t="shared" si="21"/>
        <v>1.7384259259259262E-2</v>
      </c>
      <c r="H122" s="65">
        <v>11</v>
      </c>
      <c r="I122" s="13">
        <f t="shared" si="27"/>
        <v>2.7162905092592594E-3</v>
      </c>
      <c r="J122" s="84">
        <f t="shared" si="28"/>
        <v>1.5238095238095237</v>
      </c>
      <c r="K122" s="84">
        <f>IF(J122=0,0,IF(B122="F",VLOOKUP(I122,Barem!$G$2:$H$11,2,1),VLOOKUP(I122,Barem!$G$12:$H$21,2,1)))</f>
        <v>5</v>
      </c>
      <c r="L122" s="63">
        <v>2.5</v>
      </c>
      <c r="M122" s="149" t="s">
        <v>109</v>
      </c>
      <c r="N122" s="10">
        <f t="shared" si="31"/>
        <v>0.25</v>
      </c>
      <c r="O122" s="10">
        <f t="shared" si="31"/>
        <v>0.5</v>
      </c>
      <c r="P122" s="10">
        <f t="shared" si="31"/>
        <v>0.25</v>
      </c>
      <c r="Q122" s="47">
        <f t="shared" si="29"/>
        <v>0</v>
      </c>
      <c r="R122" s="25">
        <f>IF(D122&gt;21,VLOOKUP(D122,Barem!$T$1:$U$141,2,1),0)</f>
        <v>0</v>
      </c>
      <c r="S122" s="25">
        <f>IF(D122&lt;1.609,0,IF(B122="F",VLOOKUP(I122,Barem!$X$2:$Z$13,2,1),VLOOKUP(I122,Barem!$X$14:$Z$25,2,1)))</f>
        <v>0.45000000000000007</v>
      </c>
      <c r="T122" s="25">
        <f>VLOOKUP(A122,Participanti!A:C,3,0)</f>
        <v>0</v>
      </c>
      <c r="U122" s="20">
        <f t="shared" si="30"/>
        <v>3.9559523809523811</v>
      </c>
      <c r="V122" s="76">
        <v>44601</v>
      </c>
      <c r="W122" s="101">
        <f>COUNTIFS(A:A,A122,C:C,C122)</f>
        <v>1</v>
      </c>
      <c r="X122" s="74" t="str">
        <f>VLOOKUP(A122,Data_echipe!A:R,18,0)</f>
        <v>Trail</v>
      </c>
      <c r="Z122" s="106">
        <f t="shared" si="20"/>
        <v>1</v>
      </c>
    </row>
    <row r="123" spans="1:26" x14ac:dyDescent="0.25">
      <c r="A123" s="61" t="s">
        <v>117</v>
      </c>
      <c r="B123" s="74" t="str">
        <f>VLOOKUP(A123,Participanti!A:B,2,0)</f>
        <v>M</v>
      </c>
      <c r="C123" s="98">
        <v>5</v>
      </c>
      <c r="D123" s="63">
        <v>21.22</v>
      </c>
      <c r="E123" s="64">
        <v>6.9432870370370367E-2</v>
      </c>
      <c r="F123" s="64">
        <v>7.2430555555555554E-2</v>
      </c>
      <c r="G123" s="90">
        <f t="shared" si="21"/>
        <v>7.0931712962962967E-2</v>
      </c>
      <c r="H123" s="65">
        <v>58</v>
      </c>
      <c r="I123" s="13">
        <f t="shared" si="27"/>
        <v>3.3426820434949564E-3</v>
      </c>
      <c r="J123" s="84">
        <f t="shared" si="28"/>
        <v>5</v>
      </c>
      <c r="K123" s="84">
        <f>IF(J123=0,0,IF(B123="F",VLOOKUP(I123,Barem!$G$2:$H$11,2,1),VLOOKUP(I123,Barem!$G$12:$H$21,2,1)))</f>
        <v>3</v>
      </c>
      <c r="L123" s="63">
        <v>2.5</v>
      </c>
      <c r="M123" s="149" t="s">
        <v>108</v>
      </c>
      <c r="N123" s="10">
        <f t="shared" si="31"/>
        <v>0.5</v>
      </c>
      <c r="O123" s="10">
        <f t="shared" si="31"/>
        <v>0.25</v>
      </c>
      <c r="P123" s="10">
        <f t="shared" si="31"/>
        <v>0.25</v>
      </c>
      <c r="Q123" s="47">
        <f t="shared" si="29"/>
        <v>3.8666666666666669E-2</v>
      </c>
      <c r="R123" s="25">
        <f>IF(D123&gt;21,VLOOKUP(D123,Barem!$T$1:$U$141,2,1),0)</f>
        <v>0</v>
      </c>
      <c r="S123" s="25">
        <f>IF(D123&lt;1.609,0,IF(B123="F",VLOOKUP(I123,Barem!$X$2:$Z$13,2,1),VLOOKUP(I123,Barem!$X$14:$Z$25,2,1)))</f>
        <v>0</v>
      </c>
      <c r="T123" s="25">
        <f>VLOOKUP(A123,Participanti!A:C,3,0)</f>
        <v>0</v>
      </c>
      <c r="U123" s="20">
        <f t="shared" si="30"/>
        <v>3.9136666666666668</v>
      </c>
      <c r="V123" s="76">
        <v>44605</v>
      </c>
      <c r="W123" s="101">
        <f>COUNTIFS(A:A,A123,C:C,C123)</f>
        <v>1</v>
      </c>
      <c r="X123" s="74" t="str">
        <f>VLOOKUP(A123,Data_echipe!A:R,18,0)</f>
        <v>Trail</v>
      </c>
      <c r="Z123" s="106">
        <f t="shared" si="20"/>
        <v>1</v>
      </c>
    </row>
    <row r="124" spans="1:26" x14ac:dyDescent="0.25">
      <c r="A124" s="61" t="s">
        <v>254</v>
      </c>
      <c r="B124" s="74" t="str">
        <f>VLOOKUP(A124,Participanti!A:B,2,0)</f>
        <v>M</v>
      </c>
      <c r="C124" s="98">
        <v>5</v>
      </c>
      <c r="D124" s="63">
        <v>20.91</v>
      </c>
      <c r="E124" s="64">
        <v>0.15894675925925925</v>
      </c>
      <c r="F124" s="64">
        <v>0.2253125</v>
      </c>
      <c r="G124" s="90">
        <f t="shared" si="21"/>
        <v>0.19212962962962962</v>
      </c>
      <c r="H124" s="65">
        <v>1194</v>
      </c>
      <c r="I124" s="13">
        <f t="shared" si="27"/>
        <v>9.1884088775528276E-3</v>
      </c>
      <c r="J124" s="84">
        <f t="shared" si="28"/>
        <v>4.9785714285714286</v>
      </c>
      <c r="K124" s="84">
        <f>IF(J124=0,0,IF(B124="F",VLOOKUP(I124,Barem!$G$2:$H$11,2,1),VLOOKUP(I124,Barem!$G$12:$H$21,2,1)))</f>
        <v>0</v>
      </c>
      <c r="L124" s="63">
        <v>4.75</v>
      </c>
      <c r="M124" s="62" t="str">
        <f>VLOOKUP(C124,Barem!L:R,7,0)</f>
        <v>P</v>
      </c>
      <c r="N124" s="10">
        <f t="shared" si="31"/>
        <v>0.25</v>
      </c>
      <c r="O124" s="10">
        <f t="shared" si="31"/>
        <v>0.25</v>
      </c>
      <c r="P124" s="10">
        <f t="shared" si="31"/>
        <v>0.5</v>
      </c>
      <c r="Q124" s="47">
        <f t="shared" si="29"/>
        <v>0.79600000000000004</v>
      </c>
      <c r="R124" s="25">
        <f>IF(D124&gt;21,VLOOKUP(D124,Barem!$T$1:$U$141,2,1),0)</f>
        <v>0</v>
      </c>
      <c r="S124" s="25">
        <f>IF(D124&lt;1.609,0,IF(B124="F",VLOOKUP(I124,Barem!$X$2:$Z$13,2,1),VLOOKUP(I124,Barem!$X$14:$Z$25,2,1)))</f>
        <v>0</v>
      </c>
      <c r="T124" s="25">
        <f>VLOOKUP(A124,Participanti!A:C,3,0)</f>
        <v>0</v>
      </c>
      <c r="U124" s="20">
        <f t="shared" si="30"/>
        <v>4.4156428571428572</v>
      </c>
      <c r="V124" s="76">
        <v>44603</v>
      </c>
      <c r="W124" s="101">
        <f>COUNTIFS(A:A,A124,C:C,C124)</f>
        <v>1</v>
      </c>
      <c r="X124" s="74" t="str">
        <f>VLOOKUP(A124,Data_echipe!A:R,18,0)</f>
        <v>Trail</v>
      </c>
      <c r="Z124" s="106">
        <f t="shared" si="20"/>
        <v>0</v>
      </c>
    </row>
    <row r="125" spans="1:26" x14ac:dyDescent="0.25">
      <c r="A125" s="61" t="s">
        <v>256</v>
      </c>
      <c r="B125" s="74" t="str">
        <f>VLOOKUP(A125,Participanti!A:B,2,0)</f>
        <v>M</v>
      </c>
      <c r="C125" s="98">
        <v>5</v>
      </c>
      <c r="D125" s="63">
        <v>11.24</v>
      </c>
      <c r="E125" s="64">
        <v>3.7175925925925925E-2</v>
      </c>
      <c r="F125" s="64">
        <v>4.2905092592592592E-2</v>
      </c>
      <c r="G125" s="90">
        <f t="shared" si="21"/>
        <v>4.0040509259259255E-2</v>
      </c>
      <c r="H125" s="65">
        <v>4</v>
      </c>
      <c r="I125" s="13">
        <f t="shared" si="27"/>
        <v>3.5623228878344532E-3</v>
      </c>
      <c r="J125" s="84">
        <f t="shared" si="28"/>
        <v>2.676190476190476</v>
      </c>
      <c r="K125" s="84">
        <f>IF(J125=0,0,IF(B125="F",VLOOKUP(I125,Barem!$G$2:$H$11,2,1),VLOOKUP(I125,Barem!$G$12:$H$21,2,1)))</f>
        <v>2.5</v>
      </c>
      <c r="L125" s="63">
        <v>1.5</v>
      </c>
      <c r="M125" s="62" t="str">
        <f>VLOOKUP(C125,Barem!L:R,7,0)</f>
        <v>P</v>
      </c>
      <c r="N125" s="10">
        <f t="shared" si="31"/>
        <v>0.25</v>
      </c>
      <c r="O125" s="10">
        <f t="shared" si="31"/>
        <v>0.25</v>
      </c>
      <c r="P125" s="10">
        <f t="shared" si="31"/>
        <v>0.5</v>
      </c>
      <c r="Q125" s="47">
        <f t="shared" si="29"/>
        <v>0</v>
      </c>
      <c r="R125" s="25">
        <f>IF(D125&gt;21,VLOOKUP(D125,Barem!$T$1:$U$141,2,1),0)</f>
        <v>0</v>
      </c>
      <c r="S125" s="25">
        <f>IF(D125&lt;1.609,0,IF(B125="F",VLOOKUP(I125,Barem!$X$2:$Z$13,2,1),VLOOKUP(I125,Barem!$X$14:$Z$25,2,1)))</f>
        <v>0</v>
      </c>
      <c r="T125" s="25">
        <f>VLOOKUP(A125,Participanti!A:C,3,0)</f>
        <v>0</v>
      </c>
      <c r="U125" s="20">
        <f t="shared" si="30"/>
        <v>2.0440476190476189</v>
      </c>
      <c r="V125" s="76">
        <v>44605</v>
      </c>
      <c r="W125" s="101">
        <f>COUNTIFS(A:A,A125,C:C,C125)</f>
        <v>1</v>
      </c>
      <c r="X125" s="74" t="str">
        <f>VLOOKUP(A125,Data_echipe!A:R,18,0)</f>
        <v>Road</v>
      </c>
      <c r="Z125" s="106">
        <f t="shared" si="20"/>
        <v>1</v>
      </c>
    </row>
    <row r="126" spans="1:26" x14ac:dyDescent="0.25">
      <c r="A126" s="61" t="s">
        <v>110</v>
      </c>
      <c r="B126" s="74" t="str">
        <f>VLOOKUP(A126,Participanti!A:B,2,0)</f>
        <v>M</v>
      </c>
      <c r="C126" s="98">
        <v>5</v>
      </c>
      <c r="D126" s="63">
        <v>36.090000000000003</v>
      </c>
      <c r="E126" s="64">
        <v>0.20067129629629629</v>
      </c>
      <c r="F126" s="64">
        <v>0.22884259259259257</v>
      </c>
      <c r="G126" s="90">
        <f t="shared" si="21"/>
        <v>0.21475694444444443</v>
      </c>
      <c r="H126" s="65">
        <v>1573</v>
      </c>
      <c r="I126" s="13">
        <f t="shared" si="27"/>
        <v>5.9505941935285231E-3</v>
      </c>
      <c r="J126" s="84">
        <f t="shared" si="28"/>
        <v>5</v>
      </c>
      <c r="K126" s="84">
        <f>IF(J126=0,0,IF(B126="F",VLOOKUP(I126,Barem!$G$2:$H$11,2,1),VLOOKUP(I126,Barem!$G$12:$H$21,2,1)))</f>
        <v>0</v>
      </c>
      <c r="L126" s="63">
        <v>4.5</v>
      </c>
      <c r="M126" s="149" t="s">
        <v>108</v>
      </c>
      <c r="N126" s="10">
        <f t="shared" si="31"/>
        <v>0.5</v>
      </c>
      <c r="O126" s="10">
        <f t="shared" si="31"/>
        <v>0.25</v>
      </c>
      <c r="P126" s="10">
        <f t="shared" si="31"/>
        <v>0.25</v>
      </c>
      <c r="Q126" s="47">
        <f t="shared" si="29"/>
        <v>1.0486666666666666</v>
      </c>
      <c r="R126" s="25">
        <f>IF(D126&gt;21,VLOOKUP(D126,Barem!$T$1:$U$141,2,1),0)</f>
        <v>0.7</v>
      </c>
      <c r="S126" s="25">
        <f>IF(D126&lt;1.609,0,IF(B126="F",VLOOKUP(I126,Barem!$X$2:$Z$13,2,1),VLOOKUP(I126,Barem!$X$14:$Z$25,2,1)))</f>
        <v>0</v>
      </c>
      <c r="T126" s="25">
        <f>VLOOKUP(A126,Participanti!A:C,3,0)</f>
        <v>0</v>
      </c>
      <c r="U126" s="20">
        <f t="shared" si="30"/>
        <v>5.3736666666666668</v>
      </c>
      <c r="V126" s="76">
        <v>44605</v>
      </c>
      <c r="W126" s="101">
        <f>COUNTIFS(A:A,A126,C:C,C126)</f>
        <v>1</v>
      </c>
      <c r="X126" s="74" t="str">
        <f>VLOOKUP(A126,Data_echipe!A:R,18,0)</f>
        <v>Road</v>
      </c>
      <c r="Z126" s="106">
        <f t="shared" si="20"/>
        <v>0</v>
      </c>
    </row>
    <row r="127" spans="1:26" x14ac:dyDescent="0.25">
      <c r="A127" s="61" t="s">
        <v>141</v>
      </c>
      <c r="B127" s="74" t="str">
        <f>VLOOKUP(A127,Participanti!A:B,2,0)</f>
        <v>F</v>
      </c>
      <c r="C127" s="98">
        <v>5</v>
      </c>
      <c r="D127" s="63">
        <v>20.309999999999999</v>
      </c>
      <c r="E127" s="64">
        <v>7.2152777777777774E-2</v>
      </c>
      <c r="F127" s="64">
        <v>7.2152777777777774E-2</v>
      </c>
      <c r="G127" s="90">
        <f t="shared" si="21"/>
        <v>7.2152777777777774E-2</v>
      </c>
      <c r="H127" s="65">
        <v>479</v>
      </c>
      <c r="I127" s="13">
        <f t="shared" si="27"/>
        <v>3.5525739920126923E-3</v>
      </c>
      <c r="J127" s="84">
        <f t="shared" si="28"/>
        <v>5</v>
      </c>
      <c r="K127" s="84">
        <f>IF(J127=0,0,IF(B127="F",VLOOKUP(I127,Barem!$G$2:$H$11,2,1),VLOOKUP(I127,Barem!$G$12:$H$21,2,1)))</f>
        <v>3.5</v>
      </c>
      <c r="L127" s="63">
        <v>4.5</v>
      </c>
      <c r="M127" s="149" t="s">
        <v>108</v>
      </c>
      <c r="N127" s="10">
        <f t="shared" si="31"/>
        <v>0.5</v>
      </c>
      <c r="O127" s="10">
        <f t="shared" si="31"/>
        <v>0.25</v>
      </c>
      <c r="P127" s="10">
        <f t="shared" si="31"/>
        <v>0.25</v>
      </c>
      <c r="Q127" s="47">
        <f t="shared" si="29"/>
        <v>0.31933333333333336</v>
      </c>
      <c r="R127" s="25">
        <f>IF(D127&gt;21,VLOOKUP(D127,Barem!$T$1:$U$141,2,1),0)</f>
        <v>0</v>
      </c>
      <c r="S127" s="25">
        <f>IF(D127&lt;1.609,0,IF(B127="F",VLOOKUP(I127,Barem!$X$2:$Z$13,2,1),VLOOKUP(I127,Barem!$X$14:$Z$25,2,1)))</f>
        <v>0</v>
      </c>
      <c r="T127" s="25">
        <f>VLOOKUP(A127,Participanti!A:C,3,0)</f>
        <v>0</v>
      </c>
      <c r="U127" s="20">
        <f t="shared" si="30"/>
        <v>4.8193333333333337</v>
      </c>
      <c r="V127" s="76">
        <v>44604</v>
      </c>
      <c r="W127" s="101">
        <f>COUNTIFS(A:A,A127,C:C,C127)</f>
        <v>1</v>
      </c>
      <c r="X127" s="74" t="str">
        <f>VLOOKUP(A127,Data_echipe!A:R,18,0)</f>
        <v>Trail</v>
      </c>
      <c r="Z127" s="106">
        <f t="shared" si="20"/>
        <v>1</v>
      </c>
    </row>
    <row r="128" spans="1:26" ht="12.6" customHeight="1" x14ac:dyDescent="0.25">
      <c r="A128" s="61" t="s">
        <v>255</v>
      </c>
      <c r="B128" s="74" t="str">
        <f>VLOOKUP(A128,Participanti!A:B,2,0)</f>
        <v>F</v>
      </c>
      <c r="C128" s="98">
        <v>5</v>
      </c>
      <c r="D128" s="63">
        <v>18.010000000000002</v>
      </c>
      <c r="E128" s="64">
        <v>6.6851851851851843E-2</v>
      </c>
      <c r="F128" s="64">
        <v>6.9201388888888882E-2</v>
      </c>
      <c r="G128" s="90">
        <f t="shared" si="21"/>
        <v>6.8026620370370355E-2</v>
      </c>
      <c r="H128" s="65">
        <v>49</v>
      </c>
      <c r="I128" s="13">
        <f t="shared" si="27"/>
        <v>3.7771582659839173E-3</v>
      </c>
      <c r="J128" s="84">
        <f t="shared" si="28"/>
        <v>4.5025000000000004</v>
      </c>
      <c r="K128" s="84">
        <f>IF(J128=0,0,IF(B128="F",VLOOKUP(I128,Barem!$G$2:$H$11,2,1),VLOOKUP(I128,Barem!$G$12:$H$21,2,1)))</f>
        <v>3</v>
      </c>
      <c r="L128" s="63">
        <v>4</v>
      </c>
      <c r="M128" s="62" t="str">
        <f>VLOOKUP(C128,Barem!L:R,7,0)</f>
        <v>P</v>
      </c>
      <c r="N128" s="10">
        <f t="shared" si="31"/>
        <v>0.25</v>
      </c>
      <c r="O128" s="10">
        <f t="shared" si="31"/>
        <v>0.25</v>
      </c>
      <c r="P128" s="10">
        <f t="shared" si="31"/>
        <v>0.5</v>
      </c>
      <c r="Q128" s="47">
        <f t="shared" si="29"/>
        <v>0</v>
      </c>
      <c r="R128" s="25">
        <f>IF(D128&gt;21,VLOOKUP(D128,Barem!$T$1:$U$141,2,1),0)</f>
        <v>0</v>
      </c>
      <c r="S128" s="25">
        <f>IF(D128&lt;1.609,0,IF(B128="F",VLOOKUP(I128,Barem!$X$2:$Z$13,2,1),VLOOKUP(I128,Barem!$X$14:$Z$25,2,1)))</f>
        <v>0</v>
      </c>
      <c r="T128" s="25">
        <f>VLOOKUP(A128,Participanti!A:C,3,0)</f>
        <v>0</v>
      </c>
      <c r="U128" s="20">
        <f t="shared" si="30"/>
        <v>3.8756250000000003</v>
      </c>
      <c r="V128" s="76">
        <v>44605</v>
      </c>
      <c r="W128" s="101">
        <f>COUNTIFS(A:A,A128,C:C,C128)</f>
        <v>1</v>
      </c>
      <c r="X128" s="74" t="str">
        <f>VLOOKUP(A128,Data_echipe!A:R,18,0)</f>
        <v>Trail</v>
      </c>
      <c r="Z128" s="106">
        <f t="shared" si="20"/>
        <v>1</v>
      </c>
    </row>
    <row r="129" spans="1:26" x14ac:dyDescent="0.25">
      <c r="A129" s="61" t="s">
        <v>143</v>
      </c>
      <c r="B129" s="74" t="str">
        <f>VLOOKUP(A129,Participanti!A:B,2,0)</f>
        <v>M</v>
      </c>
      <c r="C129" s="98">
        <v>5</v>
      </c>
      <c r="D129" s="63">
        <v>13.16</v>
      </c>
      <c r="E129" s="64">
        <v>4.5613425925925925E-2</v>
      </c>
      <c r="F129" s="64">
        <v>4.9212962962962958E-2</v>
      </c>
      <c r="G129" s="90">
        <f t="shared" si="21"/>
        <v>4.7413194444444445E-2</v>
      </c>
      <c r="H129" s="65">
        <v>41</v>
      </c>
      <c r="I129" s="13">
        <f t="shared" si="27"/>
        <v>3.6028263255656872E-3</v>
      </c>
      <c r="J129" s="84">
        <f t="shared" si="28"/>
        <v>3.1333333333333333</v>
      </c>
      <c r="K129" s="84">
        <f>IF(J129=0,0,IF(B129="F",VLOOKUP(I129,Barem!$G$2:$H$11,2,1),VLOOKUP(I129,Barem!$G$12:$H$21,2,1)))</f>
        <v>2.5</v>
      </c>
      <c r="L129" s="63">
        <v>0.5</v>
      </c>
      <c r="M129" s="62" t="str">
        <f>VLOOKUP(C129,Barem!L:R,7,0)</f>
        <v>P</v>
      </c>
      <c r="N129" s="10">
        <f t="shared" si="31"/>
        <v>0.25</v>
      </c>
      <c r="O129" s="10">
        <f t="shared" si="31"/>
        <v>0.25</v>
      </c>
      <c r="P129" s="10">
        <f t="shared" si="31"/>
        <v>0.5</v>
      </c>
      <c r="Q129" s="47">
        <f t="shared" si="29"/>
        <v>0</v>
      </c>
      <c r="R129" s="25">
        <f>IF(D129&gt;21,VLOOKUP(D129,Barem!$T$1:$U$141,2,1),0)</f>
        <v>0</v>
      </c>
      <c r="S129" s="25">
        <f>IF(D129&lt;1.609,0,IF(B129="F",VLOOKUP(I129,Barem!$X$2:$Z$13,2,1),VLOOKUP(I129,Barem!$X$14:$Z$25,2,1)))</f>
        <v>0</v>
      </c>
      <c r="T129" s="25">
        <f>VLOOKUP(A129,Participanti!A:C,3,0)</f>
        <v>0</v>
      </c>
      <c r="U129" s="20">
        <f t="shared" si="30"/>
        <v>1.6583333333333332</v>
      </c>
      <c r="V129" s="76">
        <v>44605</v>
      </c>
      <c r="W129" s="101">
        <f>COUNTIFS(A:A,A129,C:C,C129)</f>
        <v>1</v>
      </c>
      <c r="X129" s="74" t="str">
        <f>VLOOKUP(A129,Data_echipe!A:R,18,0)</f>
        <v>Road</v>
      </c>
      <c r="Z129" s="106">
        <f t="shared" si="20"/>
        <v>1</v>
      </c>
    </row>
    <row r="130" spans="1:26" x14ac:dyDescent="0.25">
      <c r="A130" s="61" t="s">
        <v>49</v>
      </c>
      <c r="B130" s="74" t="str">
        <f>VLOOKUP(A130,Participanti!A:B,2,0)</f>
        <v>M</v>
      </c>
      <c r="C130" s="98">
        <v>5</v>
      </c>
      <c r="D130" s="63">
        <v>16.739999999999998</v>
      </c>
      <c r="E130" s="64">
        <v>8.3530092592592586E-2</v>
      </c>
      <c r="F130" s="64">
        <v>0.106875</v>
      </c>
      <c r="G130" s="90">
        <f t="shared" si="21"/>
        <v>9.5202546296296292E-2</v>
      </c>
      <c r="H130" s="65">
        <v>602</v>
      </c>
      <c r="I130" s="13">
        <f t="shared" si="27"/>
        <v>5.687129408380902E-3</v>
      </c>
      <c r="J130" s="84">
        <f t="shared" si="28"/>
        <v>3.9857142857142853</v>
      </c>
      <c r="K130" s="84">
        <f>IF(J130=0,0,IF(B130="F",VLOOKUP(I130,Barem!$G$2:$H$11,2,1),VLOOKUP(I130,Barem!$G$12:$H$21,2,1)))</f>
        <v>0</v>
      </c>
      <c r="L130" s="63">
        <v>2.5</v>
      </c>
      <c r="M130" s="62" t="str">
        <f>VLOOKUP(C130,Barem!L:R,7,0)</f>
        <v>P</v>
      </c>
      <c r="N130" s="10">
        <f t="shared" si="31"/>
        <v>0.25</v>
      </c>
      <c r="O130" s="10">
        <f t="shared" si="31"/>
        <v>0.25</v>
      </c>
      <c r="P130" s="10">
        <f t="shared" si="31"/>
        <v>0.5</v>
      </c>
      <c r="Q130" s="47">
        <f t="shared" si="29"/>
        <v>0.40133333333333332</v>
      </c>
      <c r="R130" s="25">
        <f>IF(D130&gt;21,VLOOKUP(D130,Barem!$T$1:$U$141,2,1),0)</f>
        <v>0</v>
      </c>
      <c r="S130" s="25">
        <f>IF(D130&lt;1.609,0,IF(B130="F",VLOOKUP(I130,Barem!$X$2:$Z$13,2,1),VLOOKUP(I130,Barem!$X$14:$Z$25,2,1)))</f>
        <v>0</v>
      </c>
      <c r="T130" s="25">
        <f>VLOOKUP(A130,Participanti!A:C,3,0)</f>
        <v>0.4</v>
      </c>
      <c r="U130" s="20">
        <f t="shared" si="30"/>
        <v>3.0477619047619045</v>
      </c>
      <c r="V130" s="76">
        <v>44605</v>
      </c>
      <c r="W130" s="101">
        <f>COUNTIFS(A:A,A130,C:C,C130)</f>
        <v>1</v>
      </c>
      <c r="X130" s="74" t="str">
        <f>VLOOKUP(A130,Data_echipe!A:R,18,0)</f>
        <v>Road</v>
      </c>
      <c r="Z130" s="106">
        <f t="shared" si="20"/>
        <v>0</v>
      </c>
    </row>
    <row r="131" spans="1:26" x14ac:dyDescent="0.25">
      <c r="A131" s="61" t="s">
        <v>216</v>
      </c>
      <c r="B131" s="74" t="str">
        <f>VLOOKUP(A131,Participanti!A:B,2,0)</f>
        <v>M</v>
      </c>
      <c r="C131" s="98">
        <v>5</v>
      </c>
      <c r="D131" s="63">
        <v>34.340000000000003</v>
      </c>
      <c r="E131" s="64">
        <v>0.12984953703703703</v>
      </c>
      <c r="F131" s="64">
        <v>0.13056712962962963</v>
      </c>
      <c r="G131" s="90">
        <f t="shared" si="21"/>
        <v>0.13020833333333331</v>
      </c>
      <c r="H131" s="65">
        <v>34</v>
      </c>
      <c r="I131" s="13">
        <f t="shared" si="27"/>
        <v>3.7917394680644528E-3</v>
      </c>
      <c r="J131" s="84">
        <f t="shared" si="28"/>
        <v>5</v>
      </c>
      <c r="K131" s="84">
        <f>IF(J131=0,0,IF(B131="F",VLOOKUP(I131,Barem!$G$2:$H$11,2,1),VLOOKUP(I131,Barem!$G$12:$H$21,2,1)))</f>
        <v>2</v>
      </c>
      <c r="L131" s="63">
        <v>3</v>
      </c>
      <c r="M131" s="149" t="s">
        <v>108</v>
      </c>
      <c r="N131" s="10">
        <f t="shared" si="31"/>
        <v>0.5</v>
      </c>
      <c r="O131" s="10">
        <f t="shared" si="31"/>
        <v>0.25</v>
      </c>
      <c r="P131" s="10">
        <f t="shared" si="31"/>
        <v>0.25</v>
      </c>
      <c r="Q131" s="47">
        <f t="shared" si="29"/>
        <v>0</v>
      </c>
      <c r="R131" s="25">
        <f>IF(D131&gt;21,VLOOKUP(D131,Barem!$T$1:$U$141,2,1),0)</f>
        <v>0.6</v>
      </c>
      <c r="S131" s="25">
        <f>IF(D131&lt;1.609,0,IF(B131="F",VLOOKUP(I131,Barem!$X$2:$Z$13,2,1),VLOOKUP(I131,Barem!$X$14:$Z$25,2,1)))</f>
        <v>0</v>
      </c>
      <c r="T131" s="25">
        <f>VLOOKUP(A131,Participanti!A:C,3,0)</f>
        <v>0</v>
      </c>
      <c r="U131" s="20">
        <f t="shared" si="30"/>
        <v>4.3499999999999996</v>
      </c>
      <c r="V131" s="76">
        <v>44604</v>
      </c>
      <c r="W131" s="101">
        <f>COUNTIFS(A:A,A131,C:C,C131)</f>
        <v>1</v>
      </c>
      <c r="X131" s="74" t="str">
        <f>VLOOKUP(A131,Data_echipe!A:R,18,0)</f>
        <v>Road</v>
      </c>
      <c r="Z131" s="106">
        <f t="shared" ref="Z131:Z194" si="32">IF(K131&gt;0,1,0)</f>
        <v>1</v>
      </c>
    </row>
    <row r="132" spans="1:26" x14ac:dyDescent="0.25">
      <c r="A132" s="61" t="s">
        <v>215</v>
      </c>
      <c r="B132" s="74" t="str">
        <f>VLOOKUP(A132,Participanti!A:B,2,0)</f>
        <v>M</v>
      </c>
      <c r="C132" s="98">
        <v>5</v>
      </c>
      <c r="D132" s="63">
        <v>20.350000000000001</v>
      </c>
      <c r="E132" s="64">
        <v>7.2708333333333333E-2</v>
      </c>
      <c r="F132" s="64">
        <v>7.3101851851851848E-2</v>
      </c>
      <c r="G132" s="90">
        <f t="shared" si="21"/>
        <v>7.2905092592592591E-2</v>
      </c>
      <c r="H132" s="65">
        <v>461</v>
      </c>
      <c r="I132" s="13">
        <f t="shared" si="27"/>
        <v>3.5825598325598322E-3</v>
      </c>
      <c r="J132" s="84">
        <f t="shared" si="28"/>
        <v>4.8452380952380958</v>
      </c>
      <c r="K132" s="84">
        <f>IF(J132=0,0,IF(B132="F",VLOOKUP(I132,Barem!$G$2:$H$11,2,1),VLOOKUP(I132,Barem!$G$12:$H$21,2,1)))</f>
        <v>2.5</v>
      </c>
      <c r="L132" s="63">
        <v>2.5</v>
      </c>
      <c r="M132" s="62" t="str">
        <f>VLOOKUP(C132,Barem!L:R,7,0)</f>
        <v>P</v>
      </c>
      <c r="N132" s="10">
        <f t="shared" si="31"/>
        <v>0.25</v>
      </c>
      <c r="O132" s="10">
        <f t="shared" si="31"/>
        <v>0.25</v>
      </c>
      <c r="P132" s="10">
        <f t="shared" si="31"/>
        <v>0.5</v>
      </c>
      <c r="Q132" s="47">
        <f t="shared" si="29"/>
        <v>0.30733333333333335</v>
      </c>
      <c r="R132" s="25">
        <f>IF(D132&gt;21,VLOOKUP(D132,Barem!$T$1:$U$141,2,1),0)</f>
        <v>0</v>
      </c>
      <c r="S132" s="25">
        <f>IF(D132&lt;1.609,0,IF(B132="F",VLOOKUP(I132,Barem!$X$2:$Z$13,2,1),VLOOKUP(I132,Barem!$X$14:$Z$25,2,1)))</f>
        <v>0</v>
      </c>
      <c r="T132" s="25">
        <f>VLOOKUP(A132,Participanti!A:C,3,0)</f>
        <v>0</v>
      </c>
      <c r="U132" s="20">
        <f t="shared" si="30"/>
        <v>3.393642857142857</v>
      </c>
      <c r="V132" s="76">
        <v>44604</v>
      </c>
      <c r="W132" s="101">
        <f>COUNTIFS(A:A,A132,C:C,C132)</f>
        <v>1</v>
      </c>
      <c r="X132" s="74" t="str">
        <f>VLOOKUP(A132,Data_echipe!A:R,18,0)</f>
        <v>Trail</v>
      </c>
      <c r="Z132" s="106">
        <f t="shared" si="32"/>
        <v>1</v>
      </c>
    </row>
    <row r="133" spans="1:26" x14ac:dyDescent="0.25">
      <c r="A133" s="61" t="s">
        <v>142</v>
      </c>
      <c r="B133" s="74" t="str">
        <f>VLOOKUP(A133,Participanti!A:B,2,0)</f>
        <v>F</v>
      </c>
      <c r="C133" s="98">
        <v>5</v>
      </c>
      <c r="D133" s="63">
        <v>5.01</v>
      </c>
      <c r="E133" s="64">
        <v>1.7997685185185186E-2</v>
      </c>
      <c r="F133" s="64">
        <v>1.7997685185185186E-2</v>
      </c>
      <c r="G133" s="90">
        <f t="shared" si="21"/>
        <v>1.7997685185185186E-2</v>
      </c>
      <c r="H133" s="65">
        <v>20</v>
      </c>
      <c r="I133" s="13">
        <f t="shared" si="27"/>
        <v>3.5923523323722929E-3</v>
      </c>
      <c r="J133" s="84">
        <f t="shared" si="28"/>
        <v>1.2524999999999999</v>
      </c>
      <c r="K133" s="84">
        <f>IF(J133=0,0,IF(B133="F",VLOOKUP(I133,Barem!$G$2:$H$11,2,1),VLOOKUP(I133,Barem!$G$12:$H$21,2,1)))</f>
        <v>3.5</v>
      </c>
      <c r="L133" s="63">
        <v>3.5</v>
      </c>
      <c r="M133" s="62" t="str">
        <f>VLOOKUP(C133,Barem!L:R,7,0)</f>
        <v>P</v>
      </c>
      <c r="N133" s="10">
        <f t="shared" si="31"/>
        <v>0.25</v>
      </c>
      <c r="O133" s="10">
        <f t="shared" si="31"/>
        <v>0.25</v>
      </c>
      <c r="P133" s="10">
        <f t="shared" si="31"/>
        <v>0.5</v>
      </c>
      <c r="Q133" s="47">
        <f t="shared" si="29"/>
        <v>0</v>
      </c>
      <c r="R133" s="25">
        <f>IF(D133&gt;21,VLOOKUP(D133,Barem!$T$1:$U$141,2,1),0)</f>
        <v>0</v>
      </c>
      <c r="S133" s="25">
        <f>IF(D133&lt;1.609,0,IF(B133="F",VLOOKUP(I133,Barem!$X$2:$Z$13,2,1),VLOOKUP(I133,Barem!$X$14:$Z$25,2,1)))</f>
        <v>0</v>
      </c>
      <c r="T133" s="25">
        <f>VLOOKUP(A133,Participanti!A:C,3,0)</f>
        <v>0</v>
      </c>
      <c r="U133" s="20">
        <f t="shared" si="30"/>
        <v>2.9381249999999999</v>
      </c>
      <c r="V133" s="76">
        <v>44605</v>
      </c>
      <c r="W133" s="101">
        <f>COUNTIFS(A:A,A133,C:C,C133)</f>
        <v>1</v>
      </c>
      <c r="X133" s="74" t="str">
        <f>VLOOKUP(A133,Data_echipe!A:R,18,0)</f>
        <v>Trail</v>
      </c>
      <c r="Z133" s="106">
        <f t="shared" si="32"/>
        <v>1</v>
      </c>
    </row>
    <row r="134" spans="1:26" x14ac:dyDescent="0.25">
      <c r="A134" s="61" t="s">
        <v>57</v>
      </c>
      <c r="B134" s="74" t="str">
        <f>VLOOKUP(A134,Participanti!A:B,2,0)</f>
        <v>M</v>
      </c>
      <c r="C134" s="98">
        <v>5</v>
      </c>
      <c r="D134" s="63">
        <v>4.03</v>
      </c>
      <c r="E134" s="64">
        <v>1.7592592592592594E-2</v>
      </c>
      <c r="F134" s="64">
        <v>1.8067129629629631E-2</v>
      </c>
      <c r="G134" s="90">
        <f t="shared" si="21"/>
        <v>1.7829861111111112E-2</v>
      </c>
      <c r="H134" s="65">
        <v>24</v>
      </c>
      <c r="I134" s="13">
        <f t="shared" si="27"/>
        <v>4.4242831541218639E-3</v>
      </c>
      <c r="J134" s="84">
        <f t="shared" si="28"/>
        <v>0.95952380952380956</v>
      </c>
      <c r="K134" s="84">
        <f>IF(J134=0,0,IF(B134="F",VLOOKUP(I134,Barem!$G$2:$H$11,2,1),VLOOKUP(I134,Barem!$G$12:$H$21,2,1)))</f>
        <v>1</v>
      </c>
      <c r="L134" s="63">
        <v>4</v>
      </c>
      <c r="M134" s="62" t="str">
        <f>VLOOKUP(C134,Barem!L:R,7,0)</f>
        <v>P</v>
      </c>
      <c r="N134" s="10">
        <f t="shared" si="31"/>
        <v>0.25</v>
      </c>
      <c r="O134" s="10">
        <f t="shared" si="31"/>
        <v>0.25</v>
      </c>
      <c r="P134" s="10">
        <f t="shared" si="31"/>
        <v>0.5</v>
      </c>
      <c r="Q134" s="47">
        <f t="shared" si="29"/>
        <v>0</v>
      </c>
      <c r="R134" s="25">
        <f>IF(D134&gt;21,VLOOKUP(D134,Barem!$T$1:$U$141,2,1),0)</f>
        <v>0</v>
      </c>
      <c r="S134" s="25">
        <f>IF(D134&lt;1.609,0,IF(B134="F",VLOOKUP(I134,Barem!$X$2:$Z$13,2,1),VLOOKUP(I134,Barem!$X$14:$Z$25,2,1)))</f>
        <v>0</v>
      </c>
      <c r="T134" s="25">
        <f>VLOOKUP(A134,Participanti!A:C,3,0)</f>
        <v>0</v>
      </c>
      <c r="U134" s="20">
        <f t="shared" si="30"/>
        <v>2.4898809523809522</v>
      </c>
      <c r="V134" s="76">
        <v>44605</v>
      </c>
      <c r="W134" s="101">
        <f>COUNTIFS(A:A,A134,C:C,C134)</f>
        <v>1</v>
      </c>
      <c r="X134" s="74" t="str">
        <f>VLOOKUP(A134,Data_echipe!A:R,18,0)</f>
        <v>Trail</v>
      </c>
      <c r="Z134" s="106">
        <f t="shared" si="32"/>
        <v>1</v>
      </c>
    </row>
    <row r="135" spans="1:26" x14ac:dyDescent="0.25">
      <c r="A135" s="61" t="s">
        <v>119</v>
      </c>
      <c r="B135" s="74" t="str">
        <f>VLOOKUP(A135,Participanti!A:B,2,0)</f>
        <v>F</v>
      </c>
      <c r="C135" s="98">
        <v>5</v>
      </c>
      <c r="D135" s="63">
        <v>7.32</v>
      </c>
      <c r="E135" s="64">
        <v>3.2858796296296296E-2</v>
      </c>
      <c r="F135" s="64">
        <v>3.425925925925926E-2</v>
      </c>
      <c r="G135" s="90">
        <f t="shared" si="21"/>
        <v>3.3559027777777778E-2</v>
      </c>
      <c r="H135" s="65">
        <v>13</v>
      </c>
      <c r="I135" s="13">
        <f t="shared" si="27"/>
        <v>4.5845666363084391E-3</v>
      </c>
      <c r="J135" s="84">
        <f t="shared" si="28"/>
        <v>1.83</v>
      </c>
      <c r="K135" s="84">
        <f>IF(J135=0,0,IF(B135="F",VLOOKUP(I135,Barem!$G$2:$H$11,2,1),VLOOKUP(I135,Barem!$G$12:$H$21,2,1)))</f>
        <v>1</v>
      </c>
      <c r="L135" s="63">
        <v>3.5</v>
      </c>
      <c r="M135" s="62" t="str">
        <f>VLOOKUP(C135,Barem!L:R,7,0)</f>
        <v>P</v>
      </c>
      <c r="N135" s="10">
        <f t="shared" si="31"/>
        <v>0.25</v>
      </c>
      <c r="O135" s="10">
        <f t="shared" si="31"/>
        <v>0.25</v>
      </c>
      <c r="P135" s="10">
        <f t="shared" si="31"/>
        <v>0.5</v>
      </c>
      <c r="Q135" s="47">
        <f t="shared" si="29"/>
        <v>0</v>
      </c>
      <c r="R135" s="25">
        <f>IF(D135&gt;21,VLOOKUP(D135,Barem!$T$1:$U$141,2,1),0)</f>
        <v>0</v>
      </c>
      <c r="S135" s="25">
        <f>IF(D135&lt;1.609,0,IF(B135="F",VLOOKUP(I135,Barem!$X$2:$Z$13,2,1),VLOOKUP(I135,Barem!$X$14:$Z$25,2,1)))</f>
        <v>0</v>
      </c>
      <c r="T135" s="25">
        <f>VLOOKUP(A135,Participanti!A:C,3,0)</f>
        <v>0</v>
      </c>
      <c r="U135" s="20">
        <f t="shared" si="30"/>
        <v>2.4575</v>
      </c>
      <c r="V135" s="76">
        <v>44601</v>
      </c>
      <c r="W135" s="101">
        <f>COUNTIFS(A:A,A135,C:C,C135)</f>
        <v>1</v>
      </c>
      <c r="X135" s="74" t="str">
        <f>VLOOKUP(A135,Data_echipe!A:R,18,0)</f>
        <v>Trail</v>
      </c>
      <c r="Z135" s="106">
        <f t="shared" si="32"/>
        <v>1</v>
      </c>
    </row>
    <row r="136" spans="1:26" x14ac:dyDescent="0.25">
      <c r="A136" s="61" t="s">
        <v>65</v>
      </c>
      <c r="B136" s="74" t="str">
        <f>VLOOKUP(A136,Participanti!A:B,2,0)</f>
        <v>F</v>
      </c>
      <c r="C136" s="98">
        <v>5</v>
      </c>
      <c r="D136" s="63">
        <v>8.18</v>
      </c>
      <c r="E136" s="64">
        <v>4.040509259259259E-2</v>
      </c>
      <c r="F136" s="64">
        <v>5.6562499999999995E-2</v>
      </c>
      <c r="G136" s="90">
        <f t="shared" si="21"/>
        <v>4.8483796296296289E-2</v>
      </c>
      <c r="H136" s="65">
        <v>0</v>
      </c>
      <c r="I136" s="13">
        <f t="shared" si="27"/>
        <v>5.9271144616499134E-3</v>
      </c>
      <c r="J136" s="84">
        <f t="shared" si="28"/>
        <v>2.0449999999999999</v>
      </c>
      <c r="K136" s="84">
        <f>IF(J136=0,0,IF(B136="F",VLOOKUP(I136,Barem!$G$2:$H$11,2,1),VLOOKUP(I136,Barem!$G$12:$H$21,2,1)))</f>
        <v>1</v>
      </c>
      <c r="L136" s="63">
        <v>2.5</v>
      </c>
      <c r="M136" s="62" t="str">
        <f>VLOOKUP(C136,Barem!L:R,7,0)</f>
        <v>P</v>
      </c>
      <c r="N136" s="10">
        <f t="shared" si="31"/>
        <v>0.25</v>
      </c>
      <c r="O136" s="10">
        <f t="shared" si="31"/>
        <v>0.25</v>
      </c>
      <c r="P136" s="10">
        <f t="shared" si="31"/>
        <v>0.5</v>
      </c>
      <c r="Q136" s="47">
        <f t="shared" si="29"/>
        <v>0</v>
      </c>
      <c r="R136" s="25">
        <f>IF(D136&gt;21,VLOOKUP(D136,Barem!$T$1:$U$141,2,1),0)</f>
        <v>0</v>
      </c>
      <c r="S136" s="25">
        <f>IF(D136&lt;1.609,0,IF(B136="F",VLOOKUP(I136,Barem!$X$2:$Z$13,2,1),VLOOKUP(I136,Barem!$X$14:$Z$25,2,1)))</f>
        <v>0</v>
      </c>
      <c r="T136" s="25">
        <f>VLOOKUP(A136,Participanti!A:C,3,0)</f>
        <v>0.7</v>
      </c>
      <c r="U136" s="20">
        <f t="shared" si="30"/>
        <v>2.7112499999999997</v>
      </c>
      <c r="V136" s="76">
        <v>44603</v>
      </c>
      <c r="W136" s="101">
        <f>COUNTIFS(A:A,A136,C:C,C136)</f>
        <v>1</v>
      </c>
      <c r="X136" s="74" t="str">
        <f>VLOOKUP(A136,Data_echipe!A:R,18,0)</f>
        <v>Road</v>
      </c>
      <c r="Z136" s="106">
        <f t="shared" si="32"/>
        <v>1</v>
      </c>
    </row>
    <row r="137" spans="1:26" x14ac:dyDescent="0.25">
      <c r="A137" s="61" t="s">
        <v>116</v>
      </c>
      <c r="B137" s="74" t="str">
        <f>VLOOKUP(A137,Participanti!A:B,2,0)</f>
        <v>M</v>
      </c>
      <c r="C137" s="98">
        <v>5</v>
      </c>
      <c r="D137" s="63">
        <v>12.02</v>
      </c>
      <c r="E137" s="64">
        <v>5.8611111111111114E-2</v>
      </c>
      <c r="F137" s="64">
        <v>6.7916666666666667E-2</v>
      </c>
      <c r="G137" s="90">
        <f t="shared" si="21"/>
        <v>6.3263888888888897E-2</v>
      </c>
      <c r="H137" s="65">
        <v>514</v>
      </c>
      <c r="I137" s="13">
        <f t="shared" si="27"/>
        <v>5.2632187095581449E-3</v>
      </c>
      <c r="J137" s="84">
        <f t="shared" si="28"/>
        <v>2.8619047619047615</v>
      </c>
      <c r="K137" s="84">
        <f>IF(J137=0,0,IF(B137="F",VLOOKUP(I137,Barem!$G$2:$H$11,2,1),VLOOKUP(I137,Barem!$G$12:$H$21,2,1)))</f>
        <v>1</v>
      </c>
      <c r="L137" s="63">
        <v>4</v>
      </c>
      <c r="M137" s="62" t="str">
        <f>VLOOKUP(C137,Barem!L:R,7,0)</f>
        <v>P</v>
      </c>
      <c r="N137" s="10">
        <f t="shared" si="31"/>
        <v>0.25</v>
      </c>
      <c r="O137" s="10">
        <f t="shared" si="31"/>
        <v>0.25</v>
      </c>
      <c r="P137" s="10">
        <f t="shared" si="31"/>
        <v>0.5</v>
      </c>
      <c r="Q137" s="47">
        <f t="shared" si="29"/>
        <v>0.34266666666666667</v>
      </c>
      <c r="R137" s="25">
        <f>IF(D137&gt;21,VLOOKUP(D137,Barem!$T$1:$U$141,2,1),0)</f>
        <v>0</v>
      </c>
      <c r="S137" s="25">
        <f>IF(D137&lt;1.609,0,IF(B137="F",VLOOKUP(I137,Barem!$X$2:$Z$13,2,1),VLOOKUP(I137,Barem!$X$14:$Z$25,2,1)))</f>
        <v>0</v>
      </c>
      <c r="T137" s="25">
        <f>VLOOKUP(A137,Participanti!A:C,3,0)</f>
        <v>0</v>
      </c>
      <c r="U137" s="20">
        <f t="shared" si="30"/>
        <v>3.3081428571428568</v>
      </c>
      <c r="V137" s="76">
        <v>44605</v>
      </c>
      <c r="W137" s="101">
        <f>COUNTIFS(A:A,A137,C:C,C137)</f>
        <v>1</v>
      </c>
      <c r="X137" s="74" t="str">
        <f>VLOOKUP(A137,Data_echipe!A:R,18,0)</f>
        <v>Trail</v>
      </c>
      <c r="Z137" s="106">
        <f t="shared" si="32"/>
        <v>1</v>
      </c>
    </row>
    <row r="138" spans="1:26" x14ac:dyDescent="0.25">
      <c r="A138" s="61" t="s">
        <v>102</v>
      </c>
      <c r="B138" s="74" t="str">
        <f>VLOOKUP(A138,Participanti!A:B,2,0)</f>
        <v>F</v>
      </c>
      <c r="C138" s="98">
        <v>5</v>
      </c>
      <c r="D138" s="63">
        <v>11</v>
      </c>
      <c r="E138" s="64">
        <v>4.9479166666666664E-2</v>
      </c>
      <c r="F138" s="64">
        <v>5.1400462962962967E-2</v>
      </c>
      <c r="G138" s="90">
        <f t="shared" si="21"/>
        <v>5.0439814814814812E-2</v>
      </c>
      <c r="H138" s="65">
        <v>220</v>
      </c>
      <c r="I138" s="13">
        <f t="shared" si="27"/>
        <v>4.5854377104377099E-3</v>
      </c>
      <c r="J138" s="84">
        <f t="shared" si="28"/>
        <v>2.75</v>
      </c>
      <c r="K138" s="84">
        <f>IF(J138=0,0,IF(B138="F",VLOOKUP(I138,Barem!$G$2:$H$11,2,1),VLOOKUP(I138,Barem!$G$12:$H$21,2,1)))</f>
        <v>1</v>
      </c>
      <c r="L138" s="63">
        <v>3.5</v>
      </c>
      <c r="M138" s="62" t="str">
        <f>VLOOKUP(C138,Barem!L:R,7,0)</f>
        <v>P</v>
      </c>
      <c r="N138" s="10">
        <f t="shared" si="31"/>
        <v>0.25</v>
      </c>
      <c r="O138" s="10">
        <f t="shared" si="31"/>
        <v>0.25</v>
      </c>
      <c r="P138" s="10">
        <f t="shared" si="31"/>
        <v>0.5</v>
      </c>
      <c r="Q138" s="47">
        <f t="shared" si="29"/>
        <v>0.14666666666666667</v>
      </c>
      <c r="R138" s="25">
        <f>IF(D138&gt;21,VLOOKUP(D138,Barem!$T$1:$U$141,2,1),0)</f>
        <v>0</v>
      </c>
      <c r="S138" s="25">
        <f>IF(D138&lt;1.609,0,IF(B138="F",VLOOKUP(I138,Barem!$X$2:$Z$13,2,1),VLOOKUP(I138,Barem!$X$14:$Z$25,2,1)))</f>
        <v>0</v>
      </c>
      <c r="T138" s="25">
        <f>VLOOKUP(A138,Participanti!A:C,3,0)</f>
        <v>0</v>
      </c>
      <c r="U138" s="20">
        <f t="shared" si="30"/>
        <v>2.8341666666666665</v>
      </c>
      <c r="V138" s="76">
        <v>44604</v>
      </c>
      <c r="W138" s="101">
        <f>COUNTIFS(A:A,A138,C:C,C138)</f>
        <v>1</v>
      </c>
      <c r="X138" s="74" t="str">
        <f>VLOOKUP(A138,Data_echipe!A:R,18,0)</f>
        <v>Trail</v>
      </c>
      <c r="Z138" s="106">
        <f t="shared" si="32"/>
        <v>1</v>
      </c>
    </row>
    <row r="139" spans="1:26" x14ac:dyDescent="0.25">
      <c r="A139" s="61" t="s">
        <v>60</v>
      </c>
      <c r="B139" s="74" t="str">
        <f>VLOOKUP(A139,Participanti!A:B,2,0)</f>
        <v>M</v>
      </c>
      <c r="C139" s="98">
        <v>5</v>
      </c>
      <c r="D139" s="63">
        <v>5.78</v>
      </c>
      <c r="E139" s="64">
        <v>1.7754629629629631E-2</v>
      </c>
      <c r="F139" s="64">
        <v>1.800925925925926E-2</v>
      </c>
      <c r="G139" s="90">
        <f t="shared" si="21"/>
        <v>1.7881944444444443E-2</v>
      </c>
      <c r="H139" s="65">
        <v>26</v>
      </c>
      <c r="I139" s="13">
        <f t="shared" si="27"/>
        <v>3.0937620146097651E-3</v>
      </c>
      <c r="J139" s="84">
        <f t="shared" si="28"/>
        <v>1.3761904761904762</v>
      </c>
      <c r="K139" s="84">
        <f>IF(J139=0,0,IF(B139="F",VLOOKUP(I139,Barem!$G$2:$H$11,2,1),VLOOKUP(I139,Barem!$G$12:$H$21,2,1)))</f>
        <v>4</v>
      </c>
      <c r="L139" s="63">
        <v>0.5</v>
      </c>
      <c r="M139" s="149" t="s">
        <v>109</v>
      </c>
      <c r="N139" s="10">
        <f t="shared" si="31"/>
        <v>0.25</v>
      </c>
      <c r="O139" s="10">
        <f t="shared" si="31"/>
        <v>0.5</v>
      </c>
      <c r="P139" s="10">
        <f t="shared" si="31"/>
        <v>0.25</v>
      </c>
      <c r="Q139" s="47">
        <f t="shared" si="29"/>
        <v>0</v>
      </c>
      <c r="R139" s="25">
        <f>IF(D139&gt;21,VLOOKUP(D139,Barem!$T$1:$U$141,2,1),0)</f>
        <v>0</v>
      </c>
      <c r="S139" s="25">
        <f>IF(D139&lt;1.609,0,IF(B139="F",VLOOKUP(I139,Barem!$X$2:$Z$13,2,1),VLOOKUP(I139,Barem!$X$14:$Z$25,2,1)))</f>
        <v>0</v>
      </c>
      <c r="T139" s="25">
        <f>VLOOKUP(A139,Participanti!A:C,3,0)</f>
        <v>0</v>
      </c>
      <c r="U139" s="20">
        <f t="shared" si="30"/>
        <v>2.4690476190476192</v>
      </c>
      <c r="V139" s="76">
        <v>44603</v>
      </c>
      <c r="W139" s="101">
        <f>COUNTIFS(A:A,A139,C:C,C139)</f>
        <v>1</v>
      </c>
      <c r="X139" s="74" t="str">
        <f>VLOOKUP(A139,Data_echipe!A:R,18,0)</f>
        <v>Road</v>
      </c>
      <c r="Z139" s="106">
        <f t="shared" si="32"/>
        <v>1</v>
      </c>
    </row>
    <row r="140" spans="1:26" x14ac:dyDescent="0.25">
      <c r="A140" s="61" t="s">
        <v>66</v>
      </c>
      <c r="B140" s="74" t="str">
        <f>VLOOKUP(A140,Participanti!A:B,2,0)</f>
        <v>M</v>
      </c>
      <c r="C140" s="98">
        <v>5</v>
      </c>
      <c r="D140" s="63">
        <v>25</v>
      </c>
      <c r="E140" s="64">
        <v>0.10525462962962963</v>
      </c>
      <c r="F140" s="64">
        <v>0.11390046296296297</v>
      </c>
      <c r="G140" s="90">
        <f t="shared" si="21"/>
        <v>0.10957754629629629</v>
      </c>
      <c r="H140" s="65">
        <v>163</v>
      </c>
      <c r="I140" s="13">
        <f t="shared" si="27"/>
        <v>4.3831018518518516E-3</v>
      </c>
      <c r="J140" s="84">
        <f t="shared" si="28"/>
        <v>5</v>
      </c>
      <c r="K140" s="84">
        <f>IF(J140=0,0,IF(B140="F",VLOOKUP(I140,Barem!$G$2:$H$11,2,1),VLOOKUP(I140,Barem!$G$12:$H$21,2,1)))</f>
        <v>1</v>
      </c>
      <c r="L140" s="63">
        <v>3.5</v>
      </c>
      <c r="M140" s="149" t="s">
        <v>108</v>
      </c>
      <c r="N140" s="10">
        <f t="shared" si="31"/>
        <v>0.5</v>
      </c>
      <c r="O140" s="10">
        <f t="shared" si="31"/>
        <v>0.25</v>
      </c>
      <c r="P140" s="10">
        <f t="shared" si="31"/>
        <v>0.25</v>
      </c>
      <c r="Q140" s="47">
        <f t="shared" si="29"/>
        <v>0.10866666666666666</v>
      </c>
      <c r="R140" s="25">
        <f>IF(D140&gt;21,VLOOKUP(D140,Barem!$T$1:$U$141,2,1),0)</f>
        <v>0.2</v>
      </c>
      <c r="S140" s="25">
        <f>IF(D140&lt;1.609,0,IF(B140="F",VLOOKUP(I140,Barem!$X$2:$Z$13,2,1),VLOOKUP(I140,Barem!$X$14:$Z$25,2,1)))</f>
        <v>0</v>
      </c>
      <c r="T140" s="25">
        <f>VLOOKUP(A140,Participanti!A:C,3,0)</f>
        <v>0</v>
      </c>
      <c r="U140" s="20">
        <f t="shared" si="30"/>
        <v>3.9336666666666669</v>
      </c>
      <c r="V140" s="76">
        <v>44604</v>
      </c>
      <c r="W140" s="101">
        <f>COUNTIFS(A:A,A140,C:C,C140)</f>
        <v>1</v>
      </c>
      <c r="X140" s="74" t="str">
        <f>VLOOKUP(A140,Data_echipe!A:R,18,0)</f>
        <v>Road</v>
      </c>
      <c r="Z140" s="106">
        <f t="shared" si="32"/>
        <v>1</v>
      </c>
    </row>
    <row r="141" spans="1:26" x14ac:dyDescent="0.25">
      <c r="A141" s="61" t="s">
        <v>217</v>
      </c>
      <c r="B141" s="74" t="str">
        <f>VLOOKUP(A141,Participanti!A:B,2,0)</f>
        <v>M</v>
      </c>
      <c r="C141" s="98">
        <v>5</v>
      </c>
      <c r="D141" s="63">
        <v>12.24</v>
      </c>
      <c r="E141" s="64">
        <v>4.05787037037037E-2</v>
      </c>
      <c r="F141" s="64">
        <v>4.2696759259259261E-2</v>
      </c>
      <c r="G141" s="90">
        <f t="shared" si="21"/>
        <v>4.1637731481481477E-2</v>
      </c>
      <c r="H141" s="65">
        <v>16</v>
      </c>
      <c r="I141" s="13">
        <f t="shared" si="27"/>
        <v>3.401775447833454E-3</v>
      </c>
      <c r="J141" s="84">
        <f t="shared" si="28"/>
        <v>2.9142857142857141</v>
      </c>
      <c r="K141" s="84">
        <f>IF(J141=0,0,IF(B141="F",VLOOKUP(I141,Barem!$G$2:$H$11,2,1),VLOOKUP(I141,Barem!$G$12:$H$21,2,1)))</f>
        <v>3</v>
      </c>
      <c r="L141" s="63">
        <v>0.5</v>
      </c>
      <c r="M141" s="62" t="str">
        <f>VLOOKUP(C141,Barem!L:R,7,0)</f>
        <v>P</v>
      </c>
      <c r="N141" s="10">
        <f t="shared" si="31"/>
        <v>0.25</v>
      </c>
      <c r="O141" s="10">
        <f t="shared" si="31"/>
        <v>0.25</v>
      </c>
      <c r="P141" s="10">
        <f t="shared" si="31"/>
        <v>0.5</v>
      </c>
      <c r="Q141" s="47">
        <f t="shared" si="29"/>
        <v>0</v>
      </c>
      <c r="R141" s="25">
        <f>IF(D141&gt;21,VLOOKUP(D141,Barem!$T$1:$U$141,2,1),0)</f>
        <v>0</v>
      </c>
      <c r="S141" s="25">
        <f>IF(D141&lt;1.609,0,IF(B141="F",VLOOKUP(I141,Barem!$X$2:$Z$13,2,1),VLOOKUP(I141,Barem!$X$14:$Z$25,2,1)))</f>
        <v>0</v>
      </c>
      <c r="T141" s="25">
        <f>VLOOKUP(A141,Participanti!A:C,3,0)</f>
        <v>0</v>
      </c>
      <c r="U141" s="20">
        <f t="shared" si="30"/>
        <v>1.7285714285714286</v>
      </c>
      <c r="V141" s="76">
        <v>44602</v>
      </c>
      <c r="W141" s="101">
        <f>COUNTIFS(A:A,A141,C:C,C141)</f>
        <v>1</v>
      </c>
      <c r="X141" s="74" t="e">
        <f>VLOOKUP(A141,Data_echipe!A:R,18,0)</f>
        <v>#N/A</v>
      </c>
      <c r="Z141" s="106">
        <f t="shared" si="32"/>
        <v>1</v>
      </c>
    </row>
    <row r="142" spans="1:26" x14ac:dyDescent="0.25">
      <c r="A142" s="61" t="s">
        <v>185</v>
      </c>
      <c r="B142" s="74" t="str">
        <f>VLOOKUP(A142,Participanti!A:B,2,0)</f>
        <v>F</v>
      </c>
      <c r="C142" s="98">
        <v>5</v>
      </c>
      <c r="D142" s="63">
        <v>21</v>
      </c>
      <c r="E142" s="64">
        <v>9.8020833333333335E-2</v>
      </c>
      <c r="F142" s="64">
        <v>0.10802083333333333</v>
      </c>
      <c r="G142" s="90">
        <f t="shared" si="21"/>
        <v>0.10302083333333334</v>
      </c>
      <c r="H142" s="65">
        <v>90</v>
      </c>
      <c r="I142" s="13">
        <f t="shared" si="27"/>
        <v>4.9057539682539689E-3</v>
      </c>
      <c r="J142" s="84">
        <f t="shared" si="28"/>
        <v>5</v>
      </c>
      <c r="K142" s="84">
        <f>IF(J142=0,0,IF(B142="F",VLOOKUP(I142,Barem!$G$2:$H$11,2,1),VLOOKUP(I142,Barem!$G$12:$H$21,2,1)))</f>
        <v>1</v>
      </c>
      <c r="L142" s="63">
        <v>3</v>
      </c>
      <c r="M142" s="149" t="s">
        <v>108</v>
      </c>
      <c r="N142" s="10">
        <f t="shared" si="31"/>
        <v>0.5</v>
      </c>
      <c r="O142" s="10">
        <f t="shared" si="31"/>
        <v>0.25</v>
      </c>
      <c r="P142" s="10">
        <f t="shared" si="31"/>
        <v>0.25</v>
      </c>
      <c r="Q142" s="47">
        <f t="shared" si="29"/>
        <v>0.06</v>
      </c>
      <c r="R142" s="25">
        <f>IF(D142&gt;21,VLOOKUP(D142,Barem!$T$1:$U$141,2,1),0)</f>
        <v>0</v>
      </c>
      <c r="S142" s="25">
        <f>IF(D142&lt;1.609,0,IF(B142="F",VLOOKUP(I142,Barem!$X$2:$Z$13,2,1),VLOOKUP(I142,Barem!$X$14:$Z$25,2,1)))</f>
        <v>0</v>
      </c>
      <c r="T142" s="25">
        <f>VLOOKUP(A142,Participanti!A:C,3,0)</f>
        <v>0</v>
      </c>
      <c r="U142" s="20">
        <f t="shared" si="30"/>
        <v>3.56</v>
      </c>
      <c r="V142" s="76">
        <v>44605</v>
      </c>
      <c r="W142" s="101">
        <f>COUNTIFS(A:A,A142,C:C,C142)</f>
        <v>1</v>
      </c>
      <c r="X142" s="74" t="str">
        <f>VLOOKUP(A142,Data_echipe!A:R,18,0)</f>
        <v>Road</v>
      </c>
      <c r="Z142" s="106">
        <f t="shared" si="32"/>
        <v>1</v>
      </c>
    </row>
    <row r="143" spans="1:26" x14ac:dyDescent="0.25">
      <c r="A143" s="61" t="s">
        <v>222</v>
      </c>
      <c r="B143" s="74" t="str">
        <f>VLOOKUP(A143,Participanti!A:B,2,0)</f>
        <v>F</v>
      </c>
      <c r="C143" s="98">
        <v>5</v>
      </c>
      <c r="D143" s="63">
        <v>12.2</v>
      </c>
      <c r="E143" s="64">
        <v>4.9803240740740738E-2</v>
      </c>
      <c r="F143" s="64">
        <v>5.0358796296296297E-2</v>
      </c>
      <c r="G143" s="90">
        <f t="shared" si="21"/>
        <v>5.0081018518518518E-2</v>
      </c>
      <c r="H143" s="65">
        <v>61</v>
      </c>
      <c r="I143" s="13">
        <f t="shared" si="27"/>
        <v>4.105001517911354E-3</v>
      </c>
      <c r="J143" s="84">
        <f t="shared" si="28"/>
        <v>3.05</v>
      </c>
      <c r="K143" s="84">
        <f>IF(J143=0,0,IF(B143="F",VLOOKUP(I143,Barem!$G$2:$H$11,2,1),VLOOKUP(I143,Barem!$G$12:$H$21,2,1)))</f>
        <v>2</v>
      </c>
      <c r="L143" s="63">
        <v>3</v>
      </c>
      <c r="M143" s="62" t="str">
        <f>VLOOKUP(C143,Barem!L:R,7,0)</f>
        <v>P</v>
      </c>
      <c r="N143" s="10">
        <f t="shared" si="31"/>
        <v>0.25</v>
      </c>
      <c r="O143" s="10">
        <f t="shared" si="31"/>
        <v>0.25</v>
      </c>
      <c r="P143" s="10">
        <f t="shared" si="31"/>
        <v>0.5</v>
      </c>
      <c r="Q143" s="47">
        <f t="shared" si="29"/>
        <v>4.0666666666666663E-2</v>
      </c>
      <c r="R143" s="25">
        <f>IF(D143&gt;21,VLOOKUP(D143,Barem!$T$1:$U$141,2,1),0)</f>
        <v>0</v>
      </c>
      <c r="S143" s="25">
        <f>IF(D143&lt;1.609,0,IF(B143="F",VLOOKUP(I143,Barem!$X$2:$Z$13,2,1),VLOOKUP(I143,Barem!$X$14:$Z$25,2,1)))</f>
        <v>0</v>
      </c>
      <c r="T143" s="25">
        <f>VLOOKUP(A143,Participanti!A:C,3,0)</f>
        <v>0</v>
      </c>
      <c r="U143" s="20">
        <f t="shared" si="30"/>
        <v>2.8031666666666668</v>
      </c>
      <c r="V143" s="76">
        <v>44603</v>
      </c>
      <c r="W143" s="101">
        <f>COUNTIFS(A:A,A143,C:C,C143)</f>
        <v>1</v>
      </c>
      <c r="X143" s="74" t="e">
        <f>VLOOKUP(A143,Data_echipe!A:R,18,0)</f>
        <v>#N/A</v>
      </c>
      <c r="Z143" s="106">
        <f t="shared" si="32"/>
        <v>1</v>
      </c>
    </row>
    <row r="144" spans="1:26" x14ac:dyDescent="0.25">
      <c r="A144" s="61" t="s">
        <v>179</v>
      </c>
      <c r="B144" s="74" t="str">
        <f>VLOOKUP(A144,Participanti!A:B,2,0)</f>
        <v>F</v>
      </c>
      <c r="C144" s="98">
        <v>5</v>
      </c>
      <c r="D144" s="63">
        <v>12.06</v>
      </c>
      <c r="E144" s="64">
        <v>6.4826388888888892E-2</v>
      </c>
      <c r="F144" s="64">
        <v>6.9722222222222227E-2</v>
      </c>
      <c r="G144" s="90">
        <f t="shared" si="21"/>
        <v>6.7274305555555552E-2</v>
      </c>
      <c r="H144" s="65">
        <v>462</v>
      </c>
      <c r="I144" s="13">
        <f t="shared" si="27"/>
        <v>5.5783006264971437E-3</v>
      </c>
      <c r="J144" s="84">
        <f t="shared" si="28"/>
        <v>3.0150000000000001</v>
      </c>
      <c r="K144" s="84">
        <f>IF(J144=0,0,IF(B144="F",VLOOKUP(I144,Barem!$G$2:$H$11,2,1),VLOOKUP(I144,Barem!$G$12:$H$21,2,1)))</f>
        <v>1</v>
      </c>
      <c r="L144" s="63">
        <v>4</v>
      </c>
      <c r="M144" s="62" t="str">
        <f>VLOOKUP(C144,Barem!L:R,7,0)</f>
        <v>P</v>
      </c>
      <c r="N144" s="10">
        <f t="shared" si="31"/>
        <v>0.25</v>
      </c>
      <c r="O144" s="10">
        <f t="shared" si="31"/>
        <v>0.25</v>
      </c>
      <c r="P144" s="10">
        <f t="shared" si="31"/>
        <v>0.5</v>
      </c>
      <c r="Q144" s="47">
        <f t="shared" si="29"/>
        <v>0.308</v>
      </c>
      <c r="R144" s="25">
        <f>IF(D144&gt;21,VLOOKUP(D144,Barem!$T$1:$U$141,2,1),0)</f>
        <v>0</v>
      </c>
      <c r="S144" s="25">
        <f>IF(D144&lt;1.609,0,IF(B144="F",VLOOKUP(I144,Barem!$X$2:$Z$13,2,1),VLOOKUP(I144,Barem!$X$14:$Z$25,2,1)))</f>
        <v>0</v>
      </c>
      <c r="T144" s="25">
        <f>VLOOKUP(A144,Participanti!A:C,3,0)</f>
        <v>0</v>
      </c>
      <c r="U144" s="20">
        <f t="shared" si="30"/>
        <v>3.31175</v>
      </c>
      <c r="V144" s="76">
        <v>44605</v>
      </c>
      <c r="W144" s="101">
        <f>COUNTIFS(A:A,A144,C:C,C144)</f>
        <v>1</v>
      </c>
      <c r="X144" s="74" t="str">
        <f>VLOOKUP(A144,Data_echipe!A:R,18,0)</f>
        <v>Trail</v>
      </c>
      <c r="Z144" s="106">
        <f t="shared" si="32"/>
        <v>1</v>
      </c>
    </row>
    <row r="145" spans="1:26" x14ac:dyDescent="0.25">
      <c r="A145" s="61" t="s">
        <v>48</v>
      </c>
      <c r="B145" s="74" t="str">
        <f>VLOOKUP(A145,Participanti!A:B,2,0)</f>
        <v>M</v>
      </c>
      <c r="C145" s="98">
        <v>5</v>
      </c>
      <c r="D145" s="63">
        <v>14.16</v>
      </c>
      <c r="E145" s="64">
        <v>4.8425925925925928E-2</v>
      </c>
      <c r="F145" s="64">
        <v>4.8657407407407406E-2</v>
      </c>
      <c r="G145" s="90">
        <f t="shared" si="21"/>
        <v>4.8541666666666664E-2</v>
      </c>
      <c r="H145" s="65">
        <v>34</v>
      </c>
      <c r="I145" s="13">
        <f t="shared" si="27"/>
        <v>3.428083804143126E-3</v>
      </c>
      <c r="J145" s="84">
        <f t="shared" si="28"/>
        <v>3.3714285714285714</v>
      </c>
      <c r="K145" s="84">
        <f>IF(J145=0,0,IF(B145="F",VLOOKUP(I145,Barem!$G$2:$H$11,2,1),VLOOKUP(I145,Barem!$G$12:$H$21,2,1)))</f>
        <v>3</v>
      </c>
      <c r="L145" s="63">
        <v>2</v>
      </c>
      <c r="M145" s="149" t="s">
        <v>108</v>
      </c>
      <c r="N145" s="10">
        <f t="shared" si="31"/>
        <v>0.5</v>
      </c>
      <c r="O145" s="10">
        <f t="shared" si="31"/>
        <v>0.25</v>
      </c>
      <c r="P145" s="10">
        <f t="shared" si="31"/>
        <v>0.25</v>
      </c>
      <c r="Q145" s="47">
        <f t="shared" si="29"/>
        <v>0</v>
      </c>
      <c r="R145" s="25">
        <f>IF(D145&gt;21,VLOOKUP(D145,Barem!$T$1:$U$141,2,1),0)</f>
        <v>0</v>
      </c>
      <c r="S145" s="25">
        <f>IF(D145&lt;1.609,0,IF(B145="F",VLOOKUP(I145,Barem!$X$2:$Z$13,2,1),VLOOKUP(I145,Barem!$X$14:$Z$25,2,1)))</f>
        <v>0</v>
      </c>
      <c r="T145" s="25">
        <f>VLOOKUP(A145,Participanti!A:C,3,0)</f>
        <v>0</v>
      </c>
      <c r="U145" s="20">
        <f t="shared" si="30"/>
        <v>2.9357142857142859</v>
      </c>
      <c r="V145" s="76">
        <v>44603</v>
      </c>
      <c r="W145" s="101">
        <f>COUNTIFS(A:A,A145,C:C,C145)</f>
        <v>1</v>
      </c>
      <c r="X145" s="74" t="str">
        <f>VLOOKUP(A145,Data_echipe!A:R,18,0)</f>
        <v>Road</v>
      </c>
      <c r="Z145" s="106">
        <f t="shared" si="32"/>
        <v>1</v>
      </c>
    </row>
    <row r="146" spans="1:26" x14ac:dyDescent="0.25">
      <c r="A146" s="61" t="s">
        <v>54</v>
      </c>
      <c r="B146" s="74" t="str">
        <f>VLOOKUP(A146,Participanti!A:B,2,0)</f>
        <v>M</v>
      </c>
      <c r="C146" s="98">
        <v>5</v>
      </c>
      <c r="D146" s="63">
        <v>11.65</v>
      </c>
      <c r="E146" s="64">
        <v>4.701388888888889E-2</v>
      </c>
      <c r="F146" s="64">
        <v>6.1261574074074072E-2</v>
      </c>
      <c r="G146" s="90">
        <f t="shared" si="21"/>
        <v>5.4137731481481481E-2</v>
      </c>
      <c r="H146" s="65">
        <v>41</v>
      </c>
      <c r="I146" s="13">
        <f t="shared" si="27"/>
        <v>4.6470155778095693E-3</v>
      </c>
      <c r="J146" s="84">
        <f t="shared" si="28"/>
        <v>2.7738095238095237</v>
      </c>
      <c r="K146" s="84">
        <f>IF(J146=0,0,IF(B146="F",VLOOKUP(I146,Barem!$G$2:$H$11,2,1),VLOOKUP(I146,Barem!$G$12:$H$21,2,1)))</f>
        <v>1</v>
      </c>
      <c r="L146" s="63">
        <v>2</v>
      </c>
      <c r="M146" s="62" t="str">
        <f>VLOOKUP(C146,Barem!L:R,7,0)</f>
        <v>P</v>
      </c>
      <c r="N146" s="10">
        <f t="shared" si="31"/>
        <v>0.25</v>
      </c>
      <c r="O146" s="10">
        <f t="shared" si="31"/>
        <v>0.25</v>
      </c>
      <c r="P146" s="10">
        <f t="shared" si="31"/>
        <v>0.5</v>
      </c>
      <c r="Q146" s="47">
        <f t="shared" si="29"/>
        <v>0</v>
      </c>
      <c r="R146" s="25">
        <f>IF(D146&gt;21,VLOOKUP(D146,Barem!$T$1:$U$141,2,1),0)</f>
        <v>0</v>
      </c>
      <c r="S146" s="25">
        <f>IF(D146&lt;1.609,0,IF(B146="F",VLOOKUP(I146,Barem!$X$2:$Z$13,2,1),VLOOKUP(I146,Barem!$X$14:$Z$25,2,1)))</f>
        <v>0</v>
      </c>
      <c r="T146" s="25">
        <f>VLOOKUP(A146,Participanti!A:C,3,0)</f>
        <v>0</v>
      </c>
      <c r="U146" s="20">
        <f t="shared" si="30"/>
        <v>1.9434523809523809</v>
      </c>
      <c r="V146" s="76">
        <v>44602</v>
      </c>
      <c r="W146" s="101">
        <f>COUNTIFS(A:A,A146,C:C,C146)</f>
        <v>1</v>
      </c>
      <c r="X146" s="74" t="e">
        <f>VLOOKUP(A146,Data_echipe!A:R,18,0)</f>
        <v>#N/A</v>
      </c>
      <c r="Z146" s="106">
        <f t="shared" si="32"/>
        <v>1</v>
      </c>
    </row>
    <row r="147" spans="1:26" s="146" customFormat="1" ht="12.6" thickBot="1" x14ac:dyDescent="0.3">
      <c r="A147" s="130" t="s">
        <v>59</v>
      </c>
      <c r="B147" s="131" t="str">
        <f>VLOOKUP(A147,Participanti!A:B,2,0)</f>
        <v>M</v>
      </c>
      <c r="C147" s="132">
        <v>5</v>
      </c>
      <c r="D147" s="133">
        <v>21.11</v>
      </c>
      <c r="E147" s="134">
        <v>0.10324074074074074</v>
      </c>
      <c r="F147" s="134">
        <v>0.10398148148148149</v>
      </c>
      <c r="G147" s="135">
        <f t="shared" si="21"/>
        <v>0.10361111111111113</v>
      </c>
      <c r="H147" s="136">
        <v>43</v>
      </c>
      <c r="I147" s="137">
        <f t="shared" si="27"/>
        <v>4.9081530606874058E-3</v>
      </c>
      <c r="J147" s="138">
        <f t="shared" si="28"/>
        <v>5</v>
      </c>
      <c r="K147" s="138">
        <f>IF(J147=0,0,IF(B147="F",VLOOKUP(I147,Barem!$G$2:$H$11,2,1),VLOOKUP(I147,Barem!$G$12:$H$21,2,1)))</f>
        <v>1</v>
      </c>
      <c r="L147" s="133">
        <v>2.75</v>
      </c>
      <c r="M147" s="139" t="str">
        <f>VLOOKUP(C147,Barem!L:R,7,0)</f>
        <v>P</v>
      </c>
      <c r="N147" s="140">
        <f t="shared" si="31"/>
        <v>0.25</v>
      </c>
      <c r="O147" s="140">
        <f t="shared" si="31"/>
        <v>0.25</v>
      </c>
      <c r="P147" s="140">
        <f t="shared" si="31"/>
        <v>0.5</v>
      </c>
      <c r="Q147" s="141">
        <f t="shared" si="29"/>
        <v>0</v>
      </c>
      <c r="R147" s="142">
        <f>IF(D147&gt;21,VLOOKUP(D147,Barem!$T$1:$U$141,2,1),0)</f>
        <v>0</v>
      </c>
      <c r="S147" s="142">
        <f>IF(D147&lt;1.609,0,IF(B147="F",VLOOKUP(I147,Barem!$X$2:$Z$13,2,1),VLOOKUP(I147,Barem!$X$14:$Z$25,2,1)))</f>
        <v>0</v>
      </c>
      <c r="T147" s="142">
        <f>VLOOKUP(A147,Participanti!A:C,3,0)</f>
        <v>0</v>
      </c>
      <c r="U147" s="143">
        <f t="shared" si="30"/>
        <v>2.875</v>
      </c>
      <c r="V147" s="144">
        <v>44605</v>
      </c>
      <c r="W147" s="145">
        <f>COUNTIFS(A:A,A147,C:C,C147)</f>
        <v>1</v>
      </c>
      <c r="X147" s="131" t="e">
        <f>VLOOKUP(A147,Data_echipe!A:R,18,0)</f>
        <v>#N/A</v>
      </c>
      <c r="Z147" s="106">
        <f t="shared" si="32"/>
        <v>1</v>
      </c>
    </row>
    <row r="148" spans="1:26" x14ac:dyDescent="0.25">
      <c r="A148" s="61" t="s">
        <v>218</v>
      </c>
      <c r="B148" s="74" t="str">
        <f>VLOOKUP(A148,Participanti!A:B,2,0)</f>
        <v>M</v>
      </c>
      <c r="C148" s="98">
        <v>6</v>
      </c>
      <c r="D148" s="63">
        <v>30.01</v>
      </c>
      <c r="E148" s="64">
        <v>9.0543981481481475E-2</v>
      </c>
      <c r="F148" s="64">
        <v>9.0590277777777783E-2</v>
      </c>
      <c r="G148" s="90">
        <f t="shared" si="21"/>
        <v>9.0567129629629622E-2</v>
      </c>
      <c r="H148" s="65">
        <v>285</v>
      </c>
      <c r="I148" s="13">
        <f t="shared" ref="I148:I180" si="33">G148/D148</f>
        <v>3.0178983548693641E-3</v>
      </c>
      <c r="J148" s="84">
        <f t="shared" ref="J148:J180" si="34">IF(B148="F",IF(D148&lt;2.5,0,IF(D148&gt;19.99,5,D148/4)),IF(D148&lt;3,0, IF(D148&gt;20.99,5,D148/4.2)))</f>
        <v>5</v>
      </c>
      <c r="K148" s="84">
        <f>IF(J148=0,0,IF(B148="F",VLOOKUP(I148,Barem!$G$2:$H$11,2,1),VLOOKUP(I148,Barem!$G$12:$H$21,2,1)))</f>
        <v>4</v>
      </c>
      <c r="L148" s="63">
        <v>3.75</v>
      </c>
      <c r="M148" s="149" t="s">
        <v>220</v>
      </c>
      <c r="N148" s="10">
        <f t="shared" si="31"/>
        <v>0.25</v>
      </c>
      <c r="O148" s="10">
        <f t="shared" si="31"/>
        <v>0.25</v>
      </c>
      <c r="P148" s="10">
        <f t="shared" si="31"/>
        <v>0.5</v>
      </c>
      <c r="Q148" s="47">
        <f t="shared" ref="Q148:Q180" si="35">IF(H148&gt;49,H148/1500,0)</f>
        <v>0.19</v>
      </c>
      <c r="R148" s="25">
        <f>IF(D148&gt;21,VLOOKUP(D148,Barem!$T$1:$U$141,2,1),0)</f>
        <v>0.4</v>
      </c>
      <c r="S148" s="25">
        <f>IF(D148&lt;1.609,0,IF(B148="F",VLOOKUP(I148,Barem!$X$2:$Z$13,2,1),VLOOKUP(I148,Barem!$X$14:$Z$25,2,1)))</f>
        <v>0</v>
      </c>
      <c r="T148" s="25">
        <f>VLOOKUP(A148,Participanti!A:C,3,0)</f>
        <v>0</v>
      </c>
      <c r="U148" s="20">
        <f t="shared" ref="U148:U180" si="36">IF(H148&lt;0,0,J148*N148+K148*O148+L148*P148+Q148+R148+S148+T148)</f>
        <v>4.7150000000000007</v>
      </c>
      <c r="V148" s="76">
        <v>44607</v>
      </c>
      <c r="W148" s="101">
        <f>COUNTIFS(A:A,A148,C:C,C148)</f>
        <v>1</v>
      </c>
      <c r="X148" s="74" t="str">
        <f>VLOOKUP(A148,Data_echipe!A:R,18,0)</f>
        <v>Road</v>
      </c>
      <c r="Y148" s="22" t="s">
        <v>274</v>
      </c>
      <c r="Z148" s="106">
        <f t="shared" si="32"/>
        <v>1</v>
      </c>
    </row>
    <row r="149" spans="1:26" x14ac:dyDescent="0.25">
      <c r="A149" s="61" t="s">
        <v>50</v>
      </c>
      <c r="B149" s="74" t="str">
        <f>VLOOKUP(A149,Participanti!A:B,2,0)</f>
        <v>M</v>
      </c>
      <c r="C149" s="98">
        <v>6</v>
      </c>
      <c r="D149" s="63">
        <v>21</v>
      </c>
      <c r="E149" s="64">
        <v>6.7962962962962961E-2</v>
      </c>
      <c r="F149" s="64">
        <v>6.8749999999999992E-2</v>
      </c>
      <c r="G149" s="90">
        <f t="shared" si="21"/>
        <v>6.8356481481481476E-2</v>
      </c>
      <c r="H149" s="65">
        <v>69</v>
      </c>
      <c r="I149" s="13">
        <f t="shared" si="33"/>
        <v>3.2550705467372133E-3</v>
      </c>
      <c r="J149" s="84">
        <f t="shared" si="34"/>
        <v>5</v>
      </c>
      <c r="K149" s="84">
        <f>IF(J149=0,0,IF(B149="F",VLOOKUP(I149,Barem!$G$2:$H$11,2,1),VLOOKUP(I149,Barem!$G$12:$H$21,2,1)))</f>
        <v>3.5</v>
      </c>
      <c r="L149" s="63">
        <v>3.75</v>
      </c>
      <c r="M149" s="149" t="s">
        <v>109</v>
      </c>
      <c r="N149" s="10">
        <f t="shared" ref="N149:P182" si="37">IF($M149=N$1,50%,25%)</f>
        <v>0.25</v>
      </c>
      <c r="O149" s="10">
        <f t="shared" si="37"/>
        <v>0.5</v>
      </c>
      <c r="P149" s="10">
        <f t="shared" si="37"/>
        <v>0.25</v>
      </c>
      <c r="Q149" s="47">
        <f t="shared" si="35"/>
        <v>4.5999999999999999E-2</v>
      </c>
      <c r="R149" s="25">
        <f>IF(D149&gt;21,VLOOKUP(D149,Barem!$T$1:$U$141,2,1),0)</f>
        <v>0</v>
      </c>
      <c r="S149" s="25">
        <f>IF(D149&lt;1.609,0,IF(B149="F",VLOOKUP(I149,Barem!$X$2:$Z$13,2,1),VLOOKUP(I149,Barem!$X$14:$Z$25,2,1)))</f>
        <v>0</v>
      </c>
      <c r="T149" s="25">
        <f>VLOOKUP(A149,Participanti!A:C,3,0)</f>
        <v>0</v>
      </c>
      <c r="U149" s="20">
        <f t="shared" si="36"/>
        <v>3.9834999999999998</v>
      </c>
      <c r="V149" s="76">
        <v>44612</v>
      </c>
      <c r="W149" s="101">
        <f>COUNTIFS(A:A,A149,C:C,C149)</f>
        <v>1</v>
      </c>
      <c r="X149" s="74" t="str">
        <f>VLOOKUP(A149,Data_echipe!A:R,18,0)</f>
        <v>Trail</v>
      </c>
      <c r="Z149" s="106">
        <f t="shared" si="32"/>
        <v>1</v>
      </c>
    </row>
    <row r="150" spans="1:26" x14ac:dyDescent="0.25">
      <c r="A150" s="61" t="s">
        <v>64</v>
      </c>
      <c r="B150" s="74" t="str">
        <f>VLOOKUP(A150,Participanti!A:B,2,0)</f>
        <v>M</v>
      </c>
      <c r="C150" s="98">
        <v>6</v>
      </c>
      <c r="D150" s="63">
        <v>10.02</v>
      </c>
      <c r="E150" s="64">
        <v>3.4317129629629628E-2</v>
      </c>
      <c r="F150" s="64">
        <v>3.4374999999999996E-2</v>
      </c>
      <c r="G150" s="90">
        <f t="shared" si="21"/>
        <v>3.4346064814814808E-2</v>
      </c>
      <c r="H150" s="65">
        <v>36</v>
      </c>
      <c r="I150" s="13">
        <f t="shared" si="33"/>
        <v>3.4277509795224361E-3</v>
      </c>
      <c r="J150" s="84">
        <f t="shared" si="34"/>
        <v>2.3857142857142857</v>
      </c>
      <c r="K150" s="84">
        <f>IF(J150=0,0,IF(B150="F",VLOOKUP(I150,Barem!$G$2:$H$11,2,1),VLOOKUP(I150,Barem!$G$12:$H$21,2,1)))</f>
        <v>3</v>
      </c>
      <c r="L150" s="63">
        <v>4</v>
      </c>
      <c r="M150" s="149" t="s">
        <v>109</v>
      </c>
      <c r="N150" s="10">
        <f t="shared" si="37"/>
        <v>0.25</v>
      </c>
      <c r="O150" s="10">
        <f t="shared" si="37"/>
        <v>0.5</v>
      </c>
      <c r="P150" s="10">
        <f t="shared" si="37"/>
        <v>0.25</v>
      </c>
      <c r="Q150" s="47">
        <f t="shared" si="35"/>
        <v>0</v>
      </c>
      <c r="R150" s="25">
        <f>IF(D150&gt;21,VLOOKUP(D150,Barem!$T$1:$U$141,2,1),0)</f>
        <v>0</v>
      </c>
      <c r="S150" s="25">
        <f>IF(D150&lt;1.609,0,IF(B150="F",VLOOKUP(I150,Barem!$X$2:$Z$13,2,1),VLOOKUP(I150,Barem!$X$14:$Z$25,2,1)))</f>
        <v>0</v>
      </c>
      <c r="T150" s="25">
        <f>VLOOKUP(A150,Participanti!A:C,3,0)</f>
        <v>0</v>
      </c>
      <c r="U150" s="20">
        <f t="shared" si="36"/>
        <v>3.0964285714285715</v>
      </c>
      <c r="V150" s="76">
        <v>44612</v>
      </c>
      <c r="W150" s="101">
        <f>COUNTIFS(A:A,A150,C:C,C150)</f>
        <v>1</v>
      </c>
      <c r="X150" s="74" t="str">
        <f>VLOOKUP(A150,Data_echipe!A:R,18,0)</f>
        <v>Trail</v>
      </c>
      <c r="Z150" s="106">
        <f t="shared" si="32"/>
        <v>1</v>
      </c>
    </row>
    <row r="151" spans="1:26" x14ac:dyDescent="0.25">
      <c r="A151" s="61" t="s">
        <v>52</v>
      </c>
      <c r="B151" s="74" t="str">
        <f>VLOOKUP(A151,Participanti!A:B,2,0)</f>
        <v>M</v>
      </c>
      <c r="C151" s="98">
        <v>6</v>
      </c>
      <c r="D151" s="63">
        <v>20.45</v>
      </c>
      <c r="E151" s="64">
        <v>8.3796296296296299E-2</v>
      </c>
      <c r="F151" s="64">
        <v>8.5555555555555551E-2</v>
      </c>
      <c r="G151" s="90">
        <f t="shared" si="21"/>
        <v>8.4675925925925932E-2</v>
      </c>
      <c r="H151" s="65">
        <v>637</v>
      </c>
      <c r="I151" s="13">
        <f t="shared" si="33"/>
        <v>4.1406320746174051E-3</v>
      </c>
      <c r="J151" s="84">
        <f t="shared" si="34"/>
        <v>4.8690476190476186</v>
      </c>
      <c r="K151" s="84">
        <f>IF(J151=0,0,IF(B151="F",VLOOKUP(I151,Barem!$G$2:$H$11,2,1),VLOOKUP(I151,Barem!$G$12:$H$21,2,1)))</f>
        <v>1.5</v>
      </c>
      <c r="L151" s="63">
        <v>3.5</v>
      </c>
      <c r="M151" s="149" t="s">
        <v>220</v>
      </c>
      <c r="N151" s="10">
        <f t="shared" si="37"/>
        <v>0.25</v>
      </c>
      <c r="O151" s="10">
        <f t="shared" si="37"/>
        <v>0.25</v>
      </c>
      <c r="P151" s="10">
        <f t="shared" si="37"/>
        <v>0.5</v>
      </c>
      <c r="Q151" s="47">
        <f t="shared" si="35"/>
        <v>0.42466666666666669</v>
      </c>
      <c r="R151" s="25">
        <f>IF(D151&gt;21,VLOOKUP(D151,Barem!$T$1:$U$141,2,1),0)</f>
        <v>0</v>
      </c>
      <c r="S151" s="25">
        <f>IF(D151&lt;1.609,0,IF(B151="F",VLOOKUP(I151,Barem!$X$2:$Z$13,2,1),VLOOKUP(I151,Barem!$X$14:$Z$25,2,1)))</f>
        <v>0</v>
      </c>
      <c r="T151" s="25">
        <f>VLOOKUP(A151,Participanti!A:C,3,0)</f>
        <v>0</v>
      </c>
      <c r="U151" s="20">
        <f t="shared" si="36"/>
        <v>3.7669285714285712</v>
      </c>
      <c r="V151" s="76">
        <v>44612</v>
      </c>
      <c r="W151" s="101">
        <f>COUNTIFS(A:A,A151,C:C,C151)</f>
        <v>1</v>
      </c>
      <c r="X151" s="74" t="str">
        <f>VLOOKUP(A151,Data_echipe!A:R,18,0)</f>
        <v>Trail</v>
      </c>
      <c r="Z151" s="106">
        <f t="shared" si="32"/>
        <v>1</v>
      </c>
    </row>
    <row r="152" spans="1:26" x14ac:dyDescent="0.25">
      <c r="A152" s="61" t="s">
        <v>117</v>
      </c>
      <c r="B152" s="74" t="str">
        <f>VLOOKUP(A152,Participanti!A:B,2,0)</f>
        <v>M</v>
      </c>
      <c r="C152" s="98">
        <v>6</v>
      </c>
      <c r="D152" s="63">
        <v>35.590000000000003</v>
      </c>
      <c r="E152" s="64">
        <v>0.13496527777777778</v>
      </c>
      <c r="F152" s="64">
        <v>0.15107638888888889</v>
      </c>
      <c r="G152" s="90">
        <f t="shared" si="21"/>
        <v>0.14302083333333332</v>
      </c>
      <c r="H152" s="65">
        <v>134</v>
      </c>
      <c r="I152" s="13">
        <f t="shared" si="33"/>
        <v>4.0185679497986319E-3</v>
      </c>
      <c r="J152" s="84">
        <f t="shared" si="34"/>
        <v>5</v>
      </c>
      <c r="K152" s="84">
        <f>IF(J152=0,0,IF(B152="F",VLOOKUP(I152,Barem!$G$2:$H$11,2,1),VLOOKUP(I152,Barem!$G$12:$H$21,2,1)))</f>
        <v>1.5</v>
      </c>
      <c r="L152" s="63">
        <v>3.5</v>
      </c>
      <c r="M152" s="62" t="str">
        <f>VLOOKUP(C152,Barem!L:R,7,0)</f>
        <v>D</v>
      </c>
      <c r="N152" s="10">
        <f t="shared" si="37"/>
        <v>0.5</v>
      </c>
      <c r="O152" s="10">
        <f t="shared" si="37"/>
        <v>0.25</v>
      </c>
      <c r="P152" s="10">
        <f t="shared" si="37"/>
        <v>0.25</v>
      </c>
      <c r="Q152" s="47">
        <f t="shared" si="35"/>
        <v>8.9333333333333334E-2</v>
      </c>
      <c r="R152" s="25">
        <f>IF(D152&gt;21,VLOOKUP(D152,Barem!$T$1:$U$141,2,1),0)</f>
        <v>0.7</v>
      </c>
      <c r="S152" s="25">
        <f>IF(D152&lt;1.609,0,IF(B152="F",VLOOKUP(I152,Barem!$X$2:$Z$13,2,1),VLOOKUP(I152,Barem!$X$14:$Z$25,2,1)))</f>
        <v>0</v>
      </c>
      <c r="T152" s="25">
        <f>VLOOKUP(A152,Participanti!A:C,3,0)</f>
        <v>0</v>
      </c>
      <c r="U152" s="20">
        <f t="shared" si="36"/>
        <v>4.5393333333333334</v>
      </c>
      <c r="V152" s="76">
        <v>44611</v>
      </c>
      <c r="W152" s="101">
        <f>COUNTIFS(A:A,A152,C:C,C152)</f>
        <v>1</v>
      </c>
      <c r="X152" s="74" t="str">
        <f>VLOOKUP(A152,Data_echipe!A:R,18,0)</f>
        <v>Trail</v>
      </c>
      <c r="Z152" s="106">
        <f t="shared" si="32"/>
        <v>1</v>
      </c>
    </row>
    <row r="153" spans="1:26" x14ac:dyDescent="0.25">
      <c r="A153" s="61" t="s">
        <v>254</v>
      </c>
      <c r="B153" s="74" t="str">
        <f>VLOOKUP(A153,Participanti!A:B,2,0)</f>
        <v>M</v>
      </c>
      <c r="C153" s="98">
        <v>6</v>
      </c>
      <c r="D153" s="63">
        <v>13.53</v>
      </c>
      <c r="E153" s="64">
        <v>4.8888888888888891E-2</v>
      </c>
      <c r="F153" s="64">
        <v>4.8888888888888891E-2</v>
      </c>
      <c r="G153" s="90">
        <f t="shared" si="21"/>
        <v>4.8888888888888891E-2</v>
      </c>
      <c r="H153" s="65">
        <v>84</v>
      </c>
      <c r="I153" s="13">
        <f t="shared" si="33"/>
        <v>3.6133694670280039E-3</v>
      </c>
      <c r="J153" s="84">
        <f t="shared" si="34"/>
        <v>3.2214285714285711</v>
      </c>
      <c r="K153" s="84">
        <f>IF(J153=0,0,IF(B153="F",VLOOKUP(I153,Barem!$G$2:$H$11,2,1),VLOOKUP(I153,Barem!$G$12:$H$21,2,1)))</f>
        <v>2.5</v>
      </c>
      <c r="L153" s="63">
        <v>3.25</v>
      </c>
      <c r="M153" s="149" t="s">
        <v>109</v>
      </c>
      <c r="N153" s="10">
        <f t="shared" si="37"/>
        <v>0.25</v>
      </c>
      <c r="O153" s="10">
        <f t="shared" si="37"/>
        <v>0.5</v>
      </c>
      <c r="P153" s="10">
        <f t="shared" si="37"/>
        <v>0.25</v>
      </c>
      <c r="Q153" s="47">
        <f t="shared" si="35"/>
        <v>5.6000000000000001E-2</v>
      </c>
      <c r="R153" s="25">
        <f>IF(D153&gt;21,VLOOKUP(D153,Barem!$T$1:$U$141,2,1),0)</f>
        <v>0</v>
      </c>
      <c r="S153" s="25">
        <f>IF(D153&lt;1.609,0,IF(B153="F",VLOOKUP(I153,Barem!$X$2:$Z$13,2,1),VLOOKUP(I153,Barem!$X$14:$Z$25,2,1)))</f>
        <v>0</v>
      </c>
      <c r="T153" s="25">
        <f>VLOOKUP(A153,Participanti!A:C,3,0)</f>
        <v>0</v>
      </c>
      <c r="U153" s="20">
        <f t="shared" si="36"/>
        <v>2.9238571428571429</v>
      </c>
      <c r="V153" s="76">
        <v>44608</v>
      </c>
      <c r="W153" s="101">
        <f>COUNTIFS(A:A,A153,C:C,C153)</f>
        <v>1</v>
      </c>
      <c r="X153" s="74" t="str">
        <f>VLOOKUP(A153,Data_echipe!A:R,18,0)</f>
        <v>Trail</v>
      </c>
      <c r="Z153" s="106">
        <f t="shared" si="32"/>
        <v>1</v>
      </c>
    </row>
    <row r="154" spans="1:26" x14ac:dyDescent="0.25">
      <c r="A154" s="61" t="s">
        <v>110</v>
      </c>
      <c r="B154" s="74" t="str">
        <f>VLOOKUP(A154,Participanti!A:B,2,0)</f>
        <v>M</v>
      </c>
      <c r="C154" s="98">
        <v>6</v>
      </c>
      <c r="D154" s="63">
        <v>34.700000000000003</v>
      </c>
      <c r="E154" s="64">
        <v>0.25440972222222219</v>
      </c>
      <c r="F154" s="64">
        <v>0.28777777777777774</v>
      </c>
      <c r="G154" s="90">
        <f t="shared" ref="G154:G208" si="38">AVERAGE(E154:F154)</f>
        <v>0.27109374999999997</v>
      </c>
      <c r="H154" s="65">
        <v>1577</v>
      </c>
      <c r="I154" s="13">
        <f t="shared" si="33"/>
        <v>7.8124999999999983E-3</v>
      </c>
      <c r="J154" s="84">
        <f t="shared" si="34"/>
        <v>5</v>
      </c>
      <c r="K154" s="84">
        <f>IF(J154=0,0,IF(B154="F",VLOOKUP(I154,Barem!$G$2:$H$11,2,1),VLOOKUP(I154,Barem!$G$12:$H$21,2,1)))</f>
        <v>0</v>
      </c>
      <c r="L154" s="63">
        <v>4.5</v>
      </c>
      <c r="M154" s="149" t="s">
        <v>220</v>
      </c>
      <c r="N154" s="10">
        <f t="shared" si="37"/>
        <v>0.25</v>
      </c>
      <c r="O154" s="10">
        <f t="shared" si="37"/>
        <v>0.25</v>
      </c>
      <c r="P154" s="10">
        <f t="shared" si="37"/>
        <v>0.5</v>
      </c>
      <c r="Q154" s="47">
        <f t="shared" si="35"/>
        <v>1.0513333333333332</v>
      </c>
      <c r="R154" s="25">
        <f>IF(D154&gt;21,VLOOKUP(D154,Barem!$T$1:$U$141,2,1),0)</f>
        <v>0.6</v>
      </c>
      <c r="S154" s="25">
        <f>IF(D154&lt;1.609,0,IF(B154="F",VLOOKUP(I154,Barem!$X$2:$Z$13,2,1),VLOOKUP(I154,Barem!$X$14:$Z$25,2,1)))</f>
        <v>0</v>
      </c>
      <c r="T154" s="25">
        <f>VLOOKUP(A154,Participanti!A:C,3,0)</f>
        <v>0</v>
      </c>
      <c r="U154" s="20">
        <f t="shared" si="36"/>
        <v>5.1513333333333327</v>
      </c>
      <c r="V154" s="76">
        <v>44612</v>
      </c>
      <c r="W154" s="101">
        <f>COUNTIFS(A:A,A154,C:C,C154)</f>
        <v>1</v>
      </c>
      <c r="X154" s="74" t="str">
        <f>VLOOKUP(A154,Data_echipe!A:R,18,0)</f>
        <v>Road</v>
      </c>
      <c r="Z154" s="106">
        <f t="shared" si="32"/>
        <v>0</v>
      </c>
    </row>
    <row r="155" spans="1:26" x14ac:dyDescent="0.25">
      <c r="A155" s="61" t="s">
        <v>141</v>
      </c>
      <c r="B155" s="74" t="str">
        <f>VLOOKUP(A155,Participanti!A:B,2,0)</f>
        <v>F</v>
      </c>
      <c r="C155" s="98">
        <v>6</v>
      </c>
      <c r="D155" s="63">
        <v>8</v>
      </c>
      <c r="E155" s="64">
        <v>2.4513888888888887E-2</v>
      </c>
      <c r="F155" s="64">
        <v>2.4513888888888887E-2</v>
      </c>
      <c r="G155" s="90">
        <f t="shared" si="38"/>
        <v>2.4513888888888887E-2</v>
      </c>
      <c r="H155" s="65">
        <v>0</v>
      </c>
      <c r="I155" s="13">
        <f t="shared" si="33"/>
        <v>3.0642361111111109E-3</v>
      </c>
      <c r="J155" s="84">
        <f t="shared" si="34"/>
        <v>2</v>
      </c>
      <c r="K155" s="84">
        <f>IF(J155=0,0,IF(B155="F",VLOOKUP(I155,Barem!$G$2:$H$11,2,1),VLOOKUP(I155,Barem!$G$12:$H$21,2,1)))</f>
        <v>5</v>
      </c>
      <c r="L155" s="63">
        <v>2.75</v>
      </c>
      <c r="M155" s="149" t="s">
        <v>109</v>
      </c>
      <c r="N155" s="10">
        <f t="shared" si="37"/>
        <v>0.25</v>
      </c>
      <c r="O155" s="10">
        <f t="shared" si="37"/>
        <v>0.5</v>
      </c>
      <c r="P155" s="10">
        <f t="shared" si="37"/>
        <v>0.25</v>
      </c>
      <c r="Q155" s="47">
        <f t="shared" si="35"/>
        <v>0</v>
      </c>
      <c r="R155" s="25">
        <f>IF(D155&gt;21,VLOOKUP(D155,Barem!$T$1:$U$141,2,1),0)</f>
        <v>0</v>
      </c>
      <c r="S155" s="25">
        <f>IF(D155&lt;1.609,0,IF(B155="F",VLOOKUP(I155,Barem!$X$2:$Z$13,2,1),VLOOKUP(I155,Barem!$X$14:$Z$25,2,1)))</f>
        <v>0.45000000000000007</v>
      </c>
      <c r="T155" s="25">
        <f>VLOOKUP(A155,Participanti!A:C,3,0)</f>
        <v>0</v>
      </c>
      <c r="U155" s="20">
        <f t="shared" si="36"/>
        <v>4.1375000000000002</v>
      </c>
      <c r="V155" s="76">
        <v>44606</v>
      </c>
      <c r="W155" s="101">
        <f>COUNTIFS(A:A,A155,C:C,C155)</f>
        <v>1</v>
      </c>
      <c r="X155" s="74" t="str">
        <f>VLOOKUP(A155,Data_echipe!A:R,18,0)</f>
        <v>Trail</v>
      </c>
      <c r="Z155" s="106">
        <f t="shared" si="32"/>
        <v>1</v>
      </c>
    </row>
    <row r="156" spans="1:26" ht="12.6" customHeight="1" x14ac:dyDescent="0.25">
      <c r="A156" s="61" t="s">
        <v>255</v>
      </c>
      <c r="B156" s="74" t="str">
        <f>VLOOKUP(A156,Participanti!A:B,2,0)</f>
        <v>F</v>
      </c>
      <c r="C156" s="98">
        <v>6</v>
      </c>
      <c r="D156" s="63">
        <v>17.010000000000002</v>
      </c>
      <c r="E156" s="64">
        <v>7.7800925925925926E-2</v>
      </c>
      <c r="F156" s="64">
        <v>8.0104166666666657E-2</v>
      </c>
      <c r="G156" s="90">
        <f t="shared" si="38"/>
        <v>7.8952546296296292E-2</v>
      </c>
      <c r="H156" s="65">
        <v>563</v>
      </c>
      <c r="I156" s="13">
        <f t="shared" si="33"/>
        <v>4.6415371132449311E-3</v>
      </c>
      <c r="J156" s="84">
        <f t="shared" si="34"/>
        <v>4.2525000000000004</v>
      </c>
      <c r="K156" s="84">
        <f>IF(J156=0,0,IF(B156="F",VLOOKUP(I156,Barem!$G$2:$H$11,2,1),VLOOKUP(I156,Barem!$G$12:$H$21,2,1)))</f>
        <v>1</v>
      </c>
      <c r="L156" s="63">
        <v>3.25</v>
      </c>
      <c r="M156" s="62" t="str">
        <f>VLOOKUP(C156,Barem!L:R,7,0)</f>
        <v>D</v>
      </c>
      <c r="N156" s="10">
        <f t="shared" si="37"/>
        <v>0.5</v>
      </c>
      <c r="O156" s="10">
        <f t="shared" si="37"/>
        <v>0.25</v>
      </c>
      <c r="P156" s="10">
        <f t="shared" si="37"/>
        <v>0.25</v>
      </c>
      <c r="Q156" s="47">
        <f t="shared" si="35"/>
        <v>0.37533333333333335</v>
      </c>
      <c r="R156" s="25">
        <f>IF(D156&gt;21,VLOOKUP(D156,Barem!$T$1:$U$141,2,1),0)</f>
        <v>0</v>
      </c>
      <c r="S156" s="25">
        <f>IF(D156&lt;1.609,0,IF(B156="F",VLOOKUP(I156,Barem!$X$2:$Z$13,2,1),VLOOKUP(I156,Barem!$X$14:$Z$25,2,1)))</f>
        <v>0</v>
      </c>
      <c r="T156" s="25">
        <f>VLOOKUP(A156,Participanti!A:C,3,0)</f>
        <v>0</v>
      </c>
      <c r="U156" s="20">
        <f t="shared" si="36"/>
        <v>3.5640833333333335</v>
      </c>
      <c r="V156" s="76">
        <v>44612</v>
      </c>
      <c r="W156" s="101">
        <f>COUNTIFS(A:A,A156,C:C,C156)</f>
        <v>1</v>
      </c>
      <c r="X156" s="74" t="str">
        <f>VLOOKUP(A156,Data_echipe!A:R,18,0)</f>
        <v>Trail</v>
      </c>
      <c r="Z156" s="106">
        <f t="shared" si="32"/>
        <v>1</v>
      </c>
    </row>
    <row r="157" spans="1:26" x14ac:dyDescent="0.25">
      <c r="A157" s="61" t="s">
        <v>216</v>
      </c>
      <c r="B157" s="74" t="str">
        <f>VLOOKUP(A157,Participanti!A:B,2,0)</f>
        <v>M</v>
      </c>
      <c r="C157" s="98">
        <v>6</v>
      </c>
      <c r="D157" s="63">
        <v>14.01</v>
      </c>
      <c r="E157" s="64">
        <v>4.7673611111111104E-2</v>
      </c>
      <c r="F157" s="64">
        <v>4.7893518518518523E-2</v>
      </c>
      <c r="G157" s="90">
        <f t="shared" si="38"/>
        <v>4.7783564814814813E-2</v>
      </c>
      <c r="H157" s="65">
        <v>28</v>
      </c>
      <c r="I157" s="13">
        <f t="shared" si="33"/>
        <v>3.4106755756470246E-3</v>
      </c>
      <c r="J157" s="84">
        <f t="shared" si="34"/>
        <v>3.3357142857142854</v>
      </c>
      <c r="K157" s="84">
        <f>IF(J157=0,0,IF(B157="F",VLOOKUP(I157,Barem!$G$2:$H$11,2,1),VLOOKUP(I157,Barem!$G$12:$H$21,2,1)))</f>
        <v>3</v>
      </c>
      <c r="L157" s="63">
        <v>3.5</v>
      </c>
      <c r="M157" s="149" t="s">
        <v>220</v>
      </c>
      <c r="N157" s="10">
        <f t="shared" si="37"/>
        <v>0.25</v>
      </c>
      <c r="O157" s="10">
        <f t="shared" si="37"/>
        <v>0.25</v>
      </c>
      <c r="P157" s="10">
        <f t="shared" si="37"/>
        <v>0.5</v>
      </c>
      <c r="Q157" s="47">
        <f t="shared" si="35"/>
        <v>0</v>
      </c>
      <c r="R157" s="25">
        <f>IF(D157&gt;21,VLOOKUP(D157,Barem!$T$1:$U$141,2,1),0)</f>
        <v>0</v>
      </c>
      <c r="S157" s="25">
        <f>IF(D157&lt;1.609,0,IF(B157="F",VLOOKUP(I157,Barem!$X$2:$Z$13,2,1),VLOOKUP(I157,Barem!$X$14:$Z$25,2,1)))</f>
        <v>0</v>
      </c>
      <c r="T157" s="25">
        <f>VLOOKUP(A157,Participanti!A:C,3,0)</f>
        <v>0</v>
      </c>
      <c r="U157" s="20">
        <f t="shared" si="36"/>
        <v>3.3339285714285714</v>
      </c>
      <c r="V157" s="76">
        <v>44608</v>
      </c>
      <c r="W157" s="101">
        <f>COUNTIFS(A:A,A157,C:C,C157)</f>
        <v>1</v>
      </c>
      <c r="X157" s="74" t="str">
        <f>VLOOKUP(A157,Data_echipe!A:R,18,0)</f>
        <v>Road</v>
      </c>
      <c r="Z157" s="106">
        <f t="shared" si="32"/>
        <v>1</v>
      </c>
    </row>
    <row r="158" spans="1:26" x14ac:dyDescent="0.25">
      <c r="A158" s="61" t="s">
        <v>256</v>
      </c>
      <c r="B158" s="74" t="str">
        <f>VLOOKUP(A158,Participanti!A:B,2,0)</f>
        <v>M</v>
      </c>
      <c r="C158" s="98">
        <v>6</v>
      </c>
      <c r="D158" s="63">
        <v>6.93</v>
      </c>
      <c r="E158" s="64">
        <v>2.568287037037037E-2</v>
      </c>
      <c r="F158" s="64">
        <v>2.642361111111111E-2</v>
      </c>
      <c r="G158" s="90">
        <f t="shared" si="38"/>
        <v>2.6053240740740738E-2</v>
      </c>
      <c r="H158" s="65">
        <v>2</v>
      </c>
      <c r="I158" s="13">
        <f t="shared" si="33"/>
        <v>3.759486398375287E-3</v>
      </c>
      <c r="J158" s="84">
        <f t="shared" si="34"/>
        <v>1.65</v>
      </c>
      <c r="K158" s="84">
        <f>IF(J158=0,0,IF(B158="F",VLOOKUP(I158,Barem!$G$2:$H$11,2,1),VLOOKUP(I158,Barem!$G$12:$H$21,2,1)))</f>
        <v>2</v>
      </c>
      <c r="L158" s="63">
        <v>2</v>
      </c>
      <c r="M158" s="62" t="str">
        <f>VLOOKUP(C158,Barem!L:R,7,0)</f>
        <v>D</v>
      </c>
      <c r="N158" s="10">
        <f t="shared" si="37"/>
        <v>0.5</v>
      </c>
      <c r="O158" s="10">
        <f t="shared" si="37"/>
        <v>0.25</v>
      </c>
      <c r="P158" s="10">
        <f t="shared" si="37"/>
        <v>0.25</v>
      </c>
      <c r="Q158" s="47">
        <f t="shared" si="35"/>
        <v>0</v>
      </c>
      <c r="R158" s="25">
        <f>IF(D158&gt;21,VLOOKUP(D158,Barem!$T$1:$U$141,2,1),0)</f>
        <v>0</v>
      </c>
      <c r="S158" s="25">
        <f>IF(D158&lt;1.609,0,IF(B158="F",VLOOKUP(I158,Barem!$X$2:$Z$13,2,1),VLOOKUP(I158,Barem!$X$14:$Z$25,2,1)))</f>
        <v>0</v>
      </c>
      <c r="T158" s="25">
        <f>VLOOKUP(A158,Participanti!A:C,3,0)</f>
        <v>0</v>
      </c>
      <c r="U158" s="20">
        <f t="shared" si="36"/>
        <v>1.825</v>
      </c>
      <c r="V158" s="76">
        <v>44612</v>
      </c>
      <c r="W158" s="101">
        <f>COUNTIFS(A:A,A158,C:C,C158)</f>
        <v>1</v>
      </c>
      <c r="X158" s="74" t="str">
        <f>VLOOKUP(A158,Data_echipe!A:R,18,0)</f>
        <v>Road</v>
      </c>
      <c r="Z158" s="106">
        <f t="shared" si="32"/>
        <v>1</v>
      </c>
    </row>
    <row r="159" spans="1:26" x14ac:dyDescent="0.25">
      <c r="A159" s="61" t="s">
        <v>49</v>
      </c>
      <c r="B159" s="74" t="str">
        <f>VLOOKUP(A159,Participanti!A:B,2,0)</f>
        <v>M</v>
      </c>
      <c r="C159" s="98">
        <v>6</v>
      </c>
      <c r="D159" s="63">
        <v>11.15</v>
      </c>
      <c r="E159" s="64">
        <v>4.4386574074074071E-2</v>
      </c>
      <c r="F159" s="64">
        <v>4.6354166666666669E-2</v>
      </c>
      <c r="G159" s="90">
        <f t="shared" si="38"/>
        <v>4.5370370370370366E-2</v>
      </c>
      <c r="H159" s="65">
        <v>183</v>
      </c>
      <c r="I159" s="13">
        <f t="shared" si="33"/>
        <v>4.0690915130377012E-3</v>
      </c>
      <c r="J159" s="84">
        <f t="shared" si="34"/>
        <v>2.6547619047619047</v>
      </c>
      <c r="K159" s="84">
        <f>IF(J159=0,0,IF(B159="F",VLOOKUP(I159,Barem!$G$2:$H$11,2,1),VLOOKUP(I159,Barem!$G$12:$H$21,2,1)))</f>
        <v>1.5</v>
      </c>
      <c r="L159" s="63">
        <v>2</v>
      </c>
      <c r="M159" s="149" t="s">
        <v>109</v>
      </c>
      <c r="N159" s="10">
        <f t="shared" si="37"/>
        <v>0.25</v>
      </c>
      <c r="O159" s="10">
        <f t="shared" si="37"/>
        <v>0.5</v>
      </c>
      <c r="P159" s="10">
        <f t="shared" si="37"/>
        <v>0.25</v>
      </c>
      <c r="Q159" s="47">
        <f t="shared" si="35"/>
        <v>0.122</v>
      </c>
      <c r="R159" s="25">
        <f>IF(D159&gt;21,VLOOKUP(D159,Barem!$T$1:$U$141,2,1),0)</f>
        <v>0</v>
      </c>
      <c r="S159" s="25">
        <f>IF(D159&lt;1.609,0,IF(B159="F",VLOOKUP(I159,Barem!$X$2:$Z$13,2,1),VLOOKUP(I159,Barem!$X$14:$Z$25,2,1)))</f>
        <v>0</v>
      </c>
      <c r="T159" s="25">
        <f>VLOOKUP(A159,Participanti!A:C,3,0)</f>
        <v>0.4</v>
      </c>
      <c r="U159" s="20">
        <f t="shared" si="36"/>
        <v>2.4356904761904761</v>
      </c>
      <c r="V159" s="76">
        <v>44608</v>
      </c>
      <c r="W159" s="101">
        <f>COUNTIFS(A:A,A159,C:C,C159)</f>
        <v>1</v>
      </c>
      <c r="X159" s="74" t="str">
        <f>VLOOKUP(A159,Data_echipe!A:R,18,0)</f>
        <v>Road</v>
      </c>
      <c r="Z159" s="106">
        <f t="shared" si="32"/>
        <v>1</v>
      </c>
    </row>
    <row r="160" spans="1:26" x14ac:dyDescent="0.25">
      <c r="A160" s="61" t="s">
        <v>142</v>
      </c>
      <c r="B160" s="74" t="str">
        <f>VLOOKUP(A160,Participanti!A:B,2,0)</f>
        <v>F</v>
      </c>
      <c r="C160" s="98">
        <v>6</v>
      </c>
      <c r="D160" s="63">
        <v>5.01</v>
      </c>
      <c r="E160" s="64">
        <v>1.8437499999999999E-2</v>
      </c>
      <c r="F160" s="64">
        <v>1.8437499999999999E-2</v>
      </c>
      <c r="G160" s="90">
        <f t="shared" si="38"/>
        <v>1.8437499999999999E-2</v>
      </c>
      <c r="H160" s="65">
        <v>20</v>
      </c>
      <c r="I160" s="13">
        <f t="shared" si="33"/>
        <v>3.6801397205588823E-3</v>
      </c>
      <c r="J160" s="84">
        <f t="shared" si="34"/>
        <v>1.2524999999999999</v>
      </c>
      <c r="K160" s="84">
        <f>IF(J160=0,0,IF(B160="F",VLOOKUP(I160,Barem!$G$2:$H$11,2,1),VLOOKUP(I160,Barem!$G$12:$H$21,2,1)))</f>
        <v>3</v>
      </c>
      <c r="L160" s="63">
        <v>2.5</v>
      </c>
      <c r="M160" s="149" t="s">
        <v>109</v>
      </c>
      <c r="N160" s="10">
        <f t="shared" si="37"/>
        <v>0.25</v>
      </c>
      <c r="O160" s="10">
        <f t="shared" si="37"/>
        <v>0.5</v>
      </c>
      <c r="P160" s="10">
        <f t="shared" si="37"/>
        <v>0.25</v>
      </c>
      <c r="Q160" s="47">
        <f t="shared" si="35"/>
        <v>0</v>
      </c>
      <c r="R160" s="25">
        <f>IF(D160&gt;21,VLOOKUP(D160,Barem!$T$1:$U$141,2,1),0)</f>
        <v>0</v>
      </c>
      <c r="S160" s="25">
        <f>IF(D160&lt;1.609,0,IF(B160="F",VLOOKUP(I160,Barem!$X$2:$Z$13,2,1),VLOOKUP(I160,Barem!$X$14:$Z$25,2,1)))</f>
        <v>0</v>
      </c>
      <c r="T160" s="25">
        <f>VLOOKUP(A160,Participanti!A:C,3,0)</f>
        <v>0</v>
      </c>
      <c r="U160" s="20">
        <f t="shared" si="36"/>
        <v>2.4381249999999999</v>
      </c>
      <c r="V160" s="76">
        <v>44611</v>
      </c>
      <c r="W160" s="101">
        <f>COUNTIFS(A:A,A160,C:C,C160)</f>
        <v>1</v>
      </c>
      <c r="X160" s="74" t="str">
        <f>VLOOKUP(A160,Data_echipe!A:R,18,0)</f>
        <v>Trail</v>
      </c>
      <c r="Z160" s="106">
        <f t="shared" si="32"/>
        <v>1</v>
      </c>
    </row>
    <row r="161" spans="1:26" x14ac:dyDescent="0.25">
      <c r="A161" s="61" t="s">
        <v>143</v>
      </c>
      <c r="B161" s="74" t="str">
        <f>VLOOKUP(A161,Participanti!A:B,2,0)</f>
        <v>M</v>
      </c>
      <c r="C161" s="98">
        <v>6</v>
      </c>
      <c r="D161" s="63">
        <v>13.02</v>
      </c>
      <c r="E161" s="64">
        <v>4.9155092592592597E-2</v>
      </c>
      <c r="F161" s="64">
        <v>5.0543981481481481E-2</v>
      </c>
      <c r="G161" s="90">
        <f t="shared" si="38"/>
        <v>4.9849537037037039E-2</v>
      </c>
      <c r="H161" s="65">
        <v>64</v>
      </c>
      <c r="I161" s="13">
        <f t="shared" si="33"/>
        <v>3.8286894805712015E-3</v>
      </c>
      <c r="J161" s="84">
        <f t="shared" si="34"/>
        <v>3.0999999999999996</v>
      </c>
      <c r="K161" s="84">
        <f>IF(J161=0,0,IF(B161="F",VLOOKUP(I161,Barem!$G$2:$H$11,2,1),VLOOKUP(I161,Barem!$G$12:$H$21,2,1)))</f>
        <v>2</v>
      </c>
      <c r="L161" s="63">
        <v>0</v>
      </c>
      <c r="M161" s="62" t="str">
        <f>VLOOKUP(C161,Barem!L:R,7,0)</f>
        <v>D</v>
      </c>
      <c r="N161" s="10">
        <f t="shared" si="37"/>
        <v>0.5</v>
      </c>
      <c r="O161" s="10">
        <f t="shared" si="37"/>
        <v>0.25</v>
      </c>
      <c r="P161" s="10">
        <f t="shared" si="37"/>
        <v>0.25</v>
      </c>
      <c r="Q161" s="47">
        <f t="shared" si="35"/>
        <v>4.2666666666666665E-2</v>
      </c>
      <c r="R161" s="25">
        <f>IF(D161&gt;21,VLOOKUP(D161,Barem!$T$1:$U$141,2,1),0)</f>
        <v>0</v>
      </c>
      <c r="S161" s="25">
        <f>IF(D161&lt;1.609,0,IF(B161="F",VLOOKUP(I161,Barem!$X$2:$Z$13,2,1),VLOOKUP(I161,Barem!$X$14:$Z$25,2,1)))</f>
        <v>0</v>
      </c>
      <c r="T161" s="25">
        <f>VLOOKUP(A161,Participanti!A:C,3,0)</f>
        <v>0</v>
      </c>
      <c r="U161" s="20">
        <f t="shared" si="36"/>
        <v>2.0926666666666667</v>
      </c>
      <c r="V161" s="76">
        <v>44609</v>
      </c>
      <c r="W161" s="101">
        <f>COUNTIFS(A:A,A161,C:C,C161)</f>
        <v>1</v>
      </c>
      <c r="X161" s="74" t="str">
        <f>VLOOKUP(A161,Data_echipe!A:R,18,0)</f>
        <v>Road</v>
      </c>
      <c r="Z161" s="106">
        <f t="shared" si="32"/>
        <v>1</v>
      </c>
    </row>
    <row r="162" spans="1:26" x14ac:dyDescent="0.25">
      <c r="A162" s="61" t="s">
        <v>57</v>
      </c>
      <c r="B162" s="74" t="str">
        <f>VLOOKUP(A162,Participanti!A:B,2,0)</f>
        <v>M</v>
      </c>
      <c r="C162" s="98">
        <v>6</v>
      </c>
      <c r="D162" s="63">
        <v>14</v>
      </c>
      <c r="E162" s="64">
        <v>8.8078703703703701E-2</v>
      </c>
      <c r="F162" s="64">
        <v>9.4918981481481479E-2</v>
      </c>
      <c r="G162" s="90">
        <f t="shared" si="38"/>
        <v>9.1498842592592583E-2</v>
      </c>
      <c r="H162" s="65">
        <v>505</v>
      </c>
      <c r="I162" s="13">
        <f t="shared" si="33"/>
        <v>6.5356316137566133E-3</v>
      </c>
      <c r="J162" s="84">
        <f t="shared" si="34"/>
        <v>3.333333333333333</v>
      </c>
      <c r="K162" s="84">
        <f>IF(J162=0,0,IF(B162="F",VLOOKUP(I162,Barem!$G$2:$H$11,2,1),VLOOKUP(I162,Barem!$G$12:$H$21,2,1)))</f>
        <v>0</v>
      </c>
      <c r="L162" s="63">
        <v>3.75</v>
      </c>
      <c r="M162" s="62" t="str">
        <f>VLOOKUP(C162,Barem!L:R,7,0)</f>
        <v>D</v>
      </c>
      <c r="N162" s="10">
        <f t="shared" si="37"/>
        <v>0.5</v>
      </c>
      <c r="O162" s="10">
        <f t="shared" si="37"/>
        <v>0.25</v>
      </c>
      <c r="P162" s="10">
        <f t="shared" si="37"/>
        <v>0.25</v>
      </c>
      <c r="Q162" s="47">
        <f t="shared" si="35"/>
        <v>0.33666666666666667</v>
      </c>
      <c r="R162" s="25">
        <f>IF(D162&gt;21,VLOOKUP(D162,Barem!$T$1:$U$141,2,1),0)</f>
        <v>0</v>
      </c>
      <c r="S162" s="25">
        <f>IF(D162&lt;1.609,0,IF(B162="F",VLOOKUP(I162,Barem!$X$2:$Z$13,2,1),VLOOKUP(I162,Barem!$X$14:$Z$25,2,1)))</f>
        <v>0</v>
      </c>
      <c r="T162" s="25">
        <f>VLOOKUP(A162,Participanti!A:C,3,0)</f>
        <v>0</v>
      </c>
      <c r="U162" s="20">
        <f t="shared" si="36"/>
        <v>2.940833333333333</v>
      </c>
      <c r="V162" s="76">
        <v>44612</v>
      </c>
      <c r="W162" s="101">
        <f>COUNTIFS(A:A,A162,C:C,C162)</f>
        <v>1</v>
      </c>
      <c r="X162" s="74" t="str">
        <f>VLOOKUP(A162,Data_echipe!A:R,18,0)</f>
        <v>Trail</v>
      </c>
      <c r="Z162" s="106">
        <f t="shared" si="32"/>
        <v>0</v>
      </c>
    </row>
    <row r="163" spans="1:26" x14ac:dyDescent="0.25">
      <c r="A163" s="61" t="s">
        <v>119</v>
      </c>
      <c r="B163" s="74" t="str">
        <f>VLOOKUP(A163,Participanti!A:B,2,0)</f>
        <v>F</v>
      </c>
      <c r="C163" s="98">
        <v>6</v>
      </c>
      <c r="D163" s="63">
        <v>7.01</v>
      </c>
      <c r="E163" s="64">
        <v>2.6504629629629628E-2</v>
      </c>
      <c r="F163" s="64">
        <v>2.6504629629629628E-2</v>
      </c>
      <c r="G163" s="90">
        <f t="shared" si="38"/>
        <v>2.6504629629629628E-2</v>
      </c>
      <c r="H163" s="65">
        <v>22</v>
      </c>
      <c r="I163" s="13">
        <f t="shared" si="33"/>
        <v>3.7809742695620011E-3</v>
      </c>
      <c r="J163" s="84">
        <f t="shared" si="34"/>
        <v>1.7524999999999999</v>
      </c>
      <c r="K163" s="84">
        <f>IF(J163=0,0,IF(B163="F",VLOOKUP(I163,Barem!$G$2:$H$11,2,1),VLOOKUP(I163,Barem!$G$12:$H$21,2,1)))</f>
        <v>3</v>
      </c>
      <c r="L163" s="63">
        <v>3</v>
      </c>
      <c r="M163" s="149" t="s">
        <v>109</v>
      </c>
      <c r="N163" s="10">
        <f t="shared" si="37"/>
        <v>0.25</v>
      </c>
      <c r="O163" s="10">
        <f t="shared" si="37"/>
        <v>0.5</v>
      </c>
      <c r="P163" s="10">
        <f t="shared" si="37"/>
        <v>0.25</v>
      </c>
      <c r="Q163" s="47">
        <f t="shared" si="35"/>
        <v>0</v>
      </c>
      <c r="R163" s="25">
        <f>IF(D163&gt;21,VLOOKUP(D163,Barem!$T$1:$U$141,2,1),0)</f>
        <v>0</v>
      </c>
      <c r="S163" s="25">
        <f>IF(D163&lt;1.609,0,IF(B163="F",VLOOKUP(I163,Barem!$X$2:$Z$13,2,1),VLOOKUP(I163,Barem!$X$14:$Z$25,2,1)))</f>
        <v>0</v>
      </c>
      <c r="T163" s="25">
        <f>VLOOKUP(A163,Participanti!A:C,3,0)</f>
        <v>0</v>
      </c>
      <c r="U163" s="20">
        <f t="shared" si="36"/>
        <v>2.6881249999999999</v>
      </c>
      <c r="V163" s="76">
        <v>44609</v>
      </c>
      <c r="W163" s="101">
        <f>COUNTIFS(A:A,A163,C:C,C163)</f>
        <v>1</v>
      </c>
      <c r="X163" s="74" t="str">
        <f>VLOOKUP(A163,Data_echipe!A:R,18,0)</f>
        <v>Trail</v>
      </c>
      <c r="Z163" s="106">
        <f t="shared" si="32"/>
        <v>1</v>
      </c>
    </row>
    <row r="164" spans="1:26" x14ac:dyDescent="0.25">
      <c r="A164" s="61" t="s">
        <v>116</v>
      </c>
      <c r="B164" s="74" t="str">
        <f>VLOOKUP(A164,Participanti!A:B,2,0)</f>
        <v>M</v>
      </c>
      <c r="C164" s="98">
        <v>6</v>
      </c>
      <c r="D164" s="63">
        <v>16.850000000000001</v>
      </c>
      <c r="E164" s="64">
        <v>7.2152777777777774E-2</v>
      </c>
      <c r="F164" s="64">
        <v>7.273148148148148E-2</v>
      </c>
      <c r="G164" s="90">
        <f t="shared" si="38"/>
        <v>7.244212962962962E-2</v>
      </c>
      <c r="H164" s="65">
        <v>39</v>
      </c>
      <c r="I164" s="13">
        <f t="shared" si="33"/>
        <v>4.2992361797999767E-3</v>
      </c>
      <c r="J164" s="84">
        <f t="shared" si="34"/>
        <v>4.0119047619047619</v>
      </c>
      <c r="K164" s="84">
        <f>IF(J164=0,0,IF(B164="F",VLOOKUP(I164,Barem!$G$2:$H$11,2,1),VLOOKUP(I164,Barem!$G$12:$H$21,2,1)))</f>
        <v>1</v>
      </c>
      <c r="L164" s="63">
        <v>3.5</v>
      </c>
      <c r="M164" s="62" t="str">
        <f>VLOOKUP(C164,Barem!L:R,7,0)</f>
        <v>D</v>
      </c>
      <c r="N164" s="10">
        <f t="shared" si="37"/>
        <v>0.5</v>
      </c>
      <c r="O164" s="10">
        <f t="shared" si="37"/>
        <v>0.25</v>
      </c>
      <c r="P164" s="10">
        <f t="shared" si="37"/>
        <v>0.25</v>
      </c>
      <c r="Q164" s="47">
        <f t="shared" si="35"/>
        <v>0</v>
      </c>
      <c r="R164" s="25">
        <f>IF(D164&gt;21,VLOOKUP(D164,Barem!$T$1:$U$141,2,1),0)</f>
        <v>0</v>
      </c>
      <c r="S164" s="25">
        <f>IF(D164&lt;1.609,0,IF(B164="F",VLOOKUP(I164,Barem!$X$2:$Z$13,2,1),VLOOKUP(I164,Barem!$X$14:$Z$25,2,1)))</f>
        <v>0</v>
      </c>
      <c r="T164" s="25">
        <f>VLOOKUP(A164,Participanti!A:C,3,0)</f>
        <v>0</v>
      </c>
      <c r="U164" s="20">
        <f t="shared" si="36"/>
        <v>3.1309523809523809</v>
      </c>
      <c r="V164" s="76">
        <v>44612</v>
      </c>
      <c r="W164" s="101">
        <f>COUNTIFS(A:A,A164,C:C,C164)</f>
        <v>1</v>
      </c>
      <c r="X164" s="74" t="str">
        <f>VLOOKUP(A164,Data_echipe!A:R,18,0)</f>
        <v>Trail</v>
      </c>
      <c r="Z164" s="106">
        <f t="shared" si="32"/>
        <v>1</v>
      </c>
    </row>
    <row r="165" spans="1:26" x14ac:dyDescent="0.25">
      <c r="A165" s="61" t="s">
        <v>66</v>
      </c>
      <c r="B165" s="74" t="str">
        <f>VLOOKUP(A165,Participanti!A:B,2,0)</f>
        <v>M</v>
      </c>
      <c r="C165" s="98">
        <v>6</v>
      </c>
      <c r="D165" s="63">
        <v>13.01</v>
      </c>
      <c r="E165" s="64">
        <v>4.6886574074074074E-2</v>
      </c>
      <c r="F165" s="64">
        <v>4.731481481481481E-2</v>
      </c>
      <c r="G165" s="90">
        <f t="shared" si="38"/>
        <v>4.7100694444444438E-2</v>
      </c>
      <c r="H165" s="65">
        <v>35</v>
      </c>
      <c r="I165" s="13">
        <f t="shared" si="33"/>
        <v>3.6203454607566824E-3</v>
      </c>
      <c r="J165" s="84">
        <f t="shared" si="34"/>
        <v>3.0976190476190473</v>
      </c>
      <c r="K165" s="84">
        <f>IF(J165=0,0,IF(B165="F",VLOOKUP(I165,Barem!$G$2:$H$11,2,1),VLOOKUP(I165,Barem!$G$12:$H$21,2,1)))</f>
        <v>2.5</v>
      </c>
      <c r="L165" s="63">
        <v>3.25</v>
      </c>
      <c r="M165" s="149" t="s">
        <v>109</v>
      </c>
      <c r="N165" s="10">
        <f t="shared" si="37"/>
        <v>0.25</v>
      </c>
      <c r="O165" s="10">
        <f t="shared" si="37"/>
        <v>0.5</v>
      </c>
      <c r="P165" s="10">
        <f t="shared" si="37"/>
        <v>0.25</v>
      </c>
      <c r="Q165" s="47">
        <f t="shared" si="35"/>
        <v>0</v>
      </c>
      <c r="R165" s="25">
        <f>IF(D165&gt;21,VLOOKUP(D165,Barem!$T$1:$U$141,2,1),0)</f>
        <v>0</v>
      </c>
      <c r="S165" s="25">
        <f>IF(D165&lt;1.609,0,IF(B165="F",VLOOKUP(I165,Barem!$X$2:$Z$13,2,1),VLOOKUP(I165,Barem!$X$14:$Z$25,2,1)))</f>
        <v>0</v>
      </c>
      <c r="T165" s="25">
        <f>VLOOKUP(A165,Participanti!A:C,3,0)</f>
        <v>0</v>
      </c>
      <c r="U165" s="20">
        <f t="shared" si="36"/>
        <v>2.836904761904762</v>
      </c>
      <c r="V165" s="76">
        <v>44611</v>
      </c>
      <c r="W165" s="101">
        <f>COUNTIFS(A:A,A165,C:C,C165)</f>
        <v>1</v>
      </c>
      <c r="X165" s="74" t="str">
        <f>VLOOKUP(A165,Data_echipe!A:R,18,0)</f>
        <v>Road</v>
      </c>
      <c r="Z165" s="106">
        <f t="shared" si="32"/>
        <v>1</v>
      </c>
    </row>
    <row r="166" spans="1:26" x14ac:dyDescent="0.25">
      <c r="A166" s="61" t="s">
        <v>65</v>
      </c>
      <c r="B166" s="74" t="str">
        <f>VLOOKUP(A166,Participanti!A:B,2,0)</f>
        <v>F</v>
      </c>
      <c r="C166" s="98">
        <v>6</v>
      </c>
      <c r="D166" s="63">
        <v>8.1199999999999992</v>
      </c>
      <c r="E166" s="64">
        <v>4.431712962962963E-2</v>
      </c>
      <c r="F166" s="64">
        <v>6.8981481481481477E-2</v>
      </c>
      <c r="G166" s="90">
        <f t="shared" si="38"/>
        <v>5.6649305555555557E-2</v>
      </c>
      <c r="H166" s="65">
        <v>0</v>
      </c>
      <c r="I166" s="13">
        <f t="shared" si="33"/>
        <v>6.9765154625068427E-3</v>
      </c>
      <c r="J166" s="84">
        <f t="shared" si="34"/>
        <v>2.0299999999999998</v>
      </c>
      <c r="K166" s="84">
        <f>IF(J166=0,0,IF(B166="F",VLOOKUP(I166,Barem!$G$2:$H$11,2,1),VLOOKUP(I166,Barem!$G$12:$H$21,2,1)))</f>
        <v>0</v>
      </c>
      <c r="L166" s="63">
        <v>2.5</v>
      </c>
      <c r="M166" s="62" t="str">
        <f>VLOOKUP(C166,Barem!L:R,7,0)</f>
        <v>D</v>
      </c>
      <c r="N166" s="10">
        <f t="shared" si="37"/>
        <v>0.5</v>
      </c>
      <c r="O166" s="10">
        <f t="shared" si="37"/>
        <v>0.25</v>
      </c>
      <c r="P166" s="10">
        <f t="shared" si="37"/>
        <v>0.25</v>
      </c>
      <c r="Q166" s="47">
        <f t="shared" si="35"/>
        <v>0</v>
      </c>
      <c r="R166" s="25">
        <f>IF(D166&gt;21,VLOOKUP(D166,Barem!$T$1:$U$141,2,1),0)</f>
        <v>0</v>
      </c>
      <c r="S166" s="25">
        <f>IF(D166&lt;1.609,0,IF(B166="F",VLOOKUP(I166,Barem!$X$2:$Z$13,2,1),VLOOKUP(I166,Barem!$X$14:$Z$25,2,1)))</f>
        <v>0</v>
      </c>
      <c r="T166" s="25">
        <f>VLOOKUP(A166,Participanti!A:C,3,0)</f>
        <v>0.7</v>
      </c>
      <c r="U166" s="20">
        <f t="shared" si="36"/>
        <v>2.34</v>
      </c>
      <c r="V166" s="76">
        <v>44608</v>
      </c>
      <c r="W166" s="101">
        <f>COUNTIFS(A:A,A166,C:C,C166)</f>
        <v>1</v>
      </c>
      <c r="X166" s="74" t="str">
        <f>VLOOKUP(A166,Data_echipe!A:R,18,0)</f>
        <v>Road</v>
      </c>
      <c r="Z166" s="106">
        <f t="shared" si="32"/>
        <v>0</v>
      </c>
    </row>
    <row r="167" spans="1:26" x14ac:dyDescent="0.25">
      <c r="A167" s="61" t="s">
        <v>102</v>
      </c>
      <c r="B167" s="74" t="str">
        <f>VLOOKUP(A167,Participanti!A:B,2,0)</f>
        <v>F</v>
      </c>
      <c r="C167" s="98">
        <v>6</v>
      </c>
      <c r="D167" s="63">
        <v>3.01</v>
      </c>
      <c r="E167" s="64">
        <v>1.0393518518518519E-2</v>
      </c>
      <c r="F167" s="64">
        <v>1.0474537037037037E-2</v>
      </c>
      <c r="G167" s="90">
        <f t="shared" si="38"/>
        <v>1.0434027777777778E-2</v>
      </c>
      <c r="H167" s="65">
        <v>0</v>
      </c>
      <c r="I167" s="13">
        <f t="shared" si="33"/>
        <v>3.4664544112218533E-3</v>
      </c>
      <c r="J167" s="84">
        <f t="shared" si="34"/>
        <v>0.75249999999999995</v>
      </c>
      <c r="K167" s="84">
        <f>IF(J167=0,0,IF(B167="F",VLOOKUP(I167,Barem!$G$2:$H$11,2,1),VLOOKUP(I167,Barem!$G$12:$H$21,2,1)))</f>
        <v>4</v>
      </c>
      <c r="L167" s="63">
        <v>0</v>
      </c>
      <c r="M167" s="149" t="s">
        <v>109</v>
      </c>
      <c r="N167" s="10">
        <f t="shared" si="37"/>
        <v>0.25</v>
      </c>
      <c r="O167" s="10">
        <f t="shared" si="37"/>
        <v>0.5</v>
      </c>
      <c r="P167" s="10">
        <f t="shared" si="37"/>
        <v>0.25</v>
      </c>
      <c r="Q167" s="47">
        <f t="shared" si="35"/>
        <v>0</v>
      </c>
      <c r="R167" s="25">
        <f>IF(D167&gt;21,VLOOKUP(D167,Barem!$T$1:$U$141,2,1),0)</f>
        <v>0</v>
      </c>
      <c r="S167" s="25">
        <f>IF(D167&lt;1.609,0,IF(B167="F",VLOOKUP(I167,Barem!$X$2:$Z$13,2,1),VLOOKUP(I167,Barem!$X$14:$Z$25,2,1)))</f>
        <v>0</v>
      </c>
      <c r="T167" s="25">
        <f>VLOOKUP(A167,Participanti!A:C,3,0)</f>
        <v>0</v>
      </c>
      <c r="U167" s="20">
        <f t="shared" si="36"/>
        <v>2.1881249999999999</v>
      </c>
      <c r="V167" s="76">
        <v>44612</v>
      </c>
      <c r="W167" s="101">
        <f>COUNTIFS(A:A,A167,C:C,C167)</f>
        <v>1</v>
      </c>
      <c r="X167" s="74" t="str">
        <f>VLOOKUP(A167,Data_echipe!A:R,18,0)</f>
        <v>Trail</v>
      </c>
      <c r="Z167" s="106">
        <f t="shared" si="32"/>
        <v>1</v>
      </c>
    </row>
    <row r="168" spans="1:26" x14ac:dyDescent="0.25">
      <c r="A168" s="61" t="s">
        <v>257</v>
      </c>
      <c r="B168" s="74" t="str">
        <f>VLOOKUP(A168,Participanti!A:B,2,0)</f>
        <v>M</v>
      </c>
      <c r="C168" s="98">
        <v>6</v>
      </c>
      <c r="D168" s="63">
        <v>15.14</v>
      </c>
      <c r="E168" s="64">
        <v>8.188657407407407E-2</v>
      </c>
      <c r="F168" s="64">
        <v>8.2048611111111114E-2</v>
      </c>
      <c r="G168" s="90">
        <f t="shared" si="38"/>
        <v>8.1967592592592592E-2</v>
      </c>
      <c r="H168" s="65">
        <v>1033</v>
      </c>
      <c r="I168" s="13">
        <f t="shared" si="33"/>
        <v>5.4139757326679382E-3</v>
      </c>
      <c r="J168" s="84">
        <f t="shared" si="34"/>
        <v>3.6047619047619048</v>
      </c>
      <c r="K168" s="84">
        <f>IF(J168=0,0,IF(B168="F",VLOOKUP(I168,Barem!$G$2:$H$11,2,1),VLOOKUP(I168,Barem!$G$12:$H$21,2,1)))</f>
        <v>1</v>
      </c>
      <c r="L168" s="63">
        <v>2</v>
      </c>
      <c r="M168" s="62" t="str">
        <f>VLOOKUP(C168,Barem!L:R,7,0)</f>
        <v>D</v>
      </c>
      <c r="N168" s="10">
        <f t="shared" si="37"/>
        <v>0.5</v>
      </c>
      <c r="O168" s="10">
        <f t="shared" si="37"/>
        <v>0.25</v>
      </c>
      <c r="P168" s="10">
        <f t="shared" si="37"/>
        <v>0.25</v>
      </c>
      <c r="Q168" s="47">
        <f t="shared" si="35"/>
        <v>0.68866666666666665</v>
      </c>
      <c r="R168" s="25">
        <f>IF(D168&gt;21,VLOOKUP(D168,Barem!$T$1:$U$141,2,1),0)</f>
        <v>0</v>
      </c>
      <c r="S168" s="25">
        <f>IF(D168&lt;1.609,0,IF(B168="F",VLOOKUP(I168,Barem!$X$2:$Z$13,2,1),VLOOKUP(I168,Barem!$X$14:$Z$25,2,1)))</f>
        <v>0</v>
      </c>
      <c r="T168" s="25">
        <f>VLOOKUP(A168,Participanti!A:C,3,0)</f>
        <v>0</v>
      </c>
      <c r="U168" s="20">
        <f t="shared" si="36"/>
        <v>3.241047619047619</v>
      </c>
      <c r="V168" s="76">
        <v>44612</v>
      </c>
      <c r="W168" s="101">
        <f>COUNTIFS(A:A,A168,C:C,C168)</f>
        <v>1</v>
      </c>
      <c r="X168" s="74" t="str">
        <f>VLOOKUP(A168,Data_echipe!A:R,18,0)</f>
        <v>Road</v>
      </c>
      <c r="Z168" s="106">
        <f t="shared" si="32"/>
        <v>1</v>
      </c>
    </row>
    <row r="169" spans="1:26" x14ac:dyDescent="0.25">
      <c r="A169" s="61" t="s">
        <v>60</v>
      </c>
      <c r="B169" s="74" t="str">
        <f>VLOOKUP(A169,Participanti!A:B,2,0)</f>
        <v>M</v>
      </c>
      <c r="C169" s="98">
        <v>6</v>
      </c>
      <c r="D169" s="63">
        <v>6.01</v>
      </c>
      <c r="E169" s="64">
        <v>1.8148148148148146E-2</v>
      </c>
      <c r="F169" s="64">
        <v>1.8148148148148146E-2</v>
      </c>
      <c r="G169" s="90">
        <f t="shared" si="38"/>
        <v>1.8148148148148146E-2</v>
      </c>
      <c r="H169" s="65">
        <v>0</v>
      </c>
      <c r="I169" s="13">
        <f t="shared" si="33"/>
        <v>3.0196585937018548E-3</v>
      </c>
      <c r="J169" s="84">
        <f t="shared" si="34"/>
        <v>1.4309523809523808</v>
      </c>
      <c r="K169" s="84">
        <f>IF(J169=0,0,IF(B169="F",VLOOKUP(I169,Barem!$G$2:$H$11,2,1),VLOOKUP(I169,Barem!$G$12:$H$21,2,1)))</f>
        <v>4</v>
      </c>
      <c r="L169" s="63">
        <v>0.5</v>
      </c>
      <c r="M169" s="149" t="s">
        <v>109</v>
      </c>
      <c r="N169" s="10">
        <f t="shared" si="37"/>
        <v>0.25</v>
      </c>
      <c r="O169" s="10">
        <f t="shared" si="37"/>
        <v>0.5</v>
      </c>
      <c r="P169" s="10">
        <f t="shared" si="37"/>
        <v>0.25</v>
      </c>
      <c r="Q169" s="47">
        <f t="shared" si="35"/>
        <v>0</v>
      </c>
      <c r="R169" s="25">
        <f>IF(D169&gt;21,VLOOKUP(D169,Barem!$T$1:$U$141,2,1),0)</f>
        <v>0</v>
      </c>
      <c r="S169" s="25">
        <f>IF(D169&lt;1.609,0,IF(B169="F",VLOOKUP(I169,Barem!$X$2:$Z$13,2,1),VLOOKUP(I169,Barem!$X$14:$Z$25,2,1)))</f>
        <v>0</v>
      </c>
      <c r="T169" s="25">
        <f>VLOOKUP(A169,Participanti!A:C,3,0)</f>
        <v>0</v>
      </c>
      <c r="U169" s="20">
        <f t="shared" si="36"/>
        <v>2.4827380952380951</v>
      </c>
      <c r="V169" s="76">
        <v>44610</v>
      </c>
      <c r="W169" s="101">
        <f>COUNTIFS(A:A,A169,C:C,C169)</f>
        <v>1</v>
      </c>
      <c r="X169" s="74" t="str">
        <f>VLOOKUP(A169,Data_echipe!A:R,18,0)</f>
        <v>Road</v>
      </c>
      <c r="Z169" s="106">
        <f t="shared" si="32"/>
        <v>1</v>
      </c>
    </row>
    <row r="170" spans="1:26" x14ac:dyDescent="0.25">
      <c r="A170" s="61" t="s">
        <v>185</v>
      </c>
      <c r="B170" s="74" t="str">
        <f>VLOOKUP(A170,Participanti!A:B,2,0)</f>
        <v>F</v>
      </c>
      <c r="C170" s="98">
        <v>6</v>
      </c>
      <c r="D170" s="63">
        <v>10</v>
      </c>
      <c r="E170" s="64">
        <v>4.3946759259259255E-2</v>
      </c>
      <c r="F170" s="64">
        <v>4.5960648148148146E-2</v>
      </c>
      <c r="G170" s="90">
        <f t="shared" si="38"/>
        <v>4.4953703703703704E-2</v>
      </c>
      <c r="H170" s="65">
        <v>8</v>
      </c>
      <c r="I170" s="13">
        <f t="shared" si="33"/>
        <v>4.4953703703703701E-3</v>
      </c>
      <c r="J170" s="84">
        <f t="shared" si="34"/>
        <v>2.5</v>
      </c>
      <c r="K170" s="84">
        <f>IF(J170=0,0,IF(B170="F",VLOOKUP(I170,Barem!$G$2:$H$11,2,1),VLOOKUP(I170,Barem!$G$12:$H$21,2,1)))</f>
        <v>1.5</v>
      </c>
      <c r="L170" s="63">
        <v>4</v>
      </c>
      <c r="M170" s="149" t="s">
        <v>220</v>
      </c>
      <c r="N170" s="10">
        <f t="shared" si="37"/>
        <v>0.25</v>
      </c>
      <c r="O170" s="10">
        <f t="shared" si="37"/>
        <v>0.25</v>
      </c>
      <c r="P170" s="10">
        <f t="shared" si="37"/>
        <v>0.5</v>
      </c>
      <c r="Q170" s="47">
        <f t="shared" si="35"/>
        <v>0</v>
      </c>
      <c r="R170" s="25">
        <f>IF(D170&gt;21,VLOOKUP(D170,Barem!$T$1:$U$141,2,1),0)</f>
        <v>0</v>
      </c>
      <c r="S170" s="25">
        <f>IF(D170&lt;1.609,0,IF(B170="F",VLOOKUP(I170,Barem!$X$2:$Z$13,2,1),VLOOKUP(I170,Barem!$X$14:$Z$25,2,1)))</f>
        <v>0</v>
      </c>
      <c r="T170" s="25">
        <f>VLOOKUP(A170,Participanti!A:C,3,0)</f>
        <v>0</v>
      </c>
      <c r="U170" s="20">
        <f t="shared" si="36"/>
        <v>3</v>
      </c>
      <c r="V170" s="76">
        <v>44611</v>
      </c>
      <c r="W170" s="101">
        <f>COUNTIFS(A:A,A170,C:C,C170)</f>
        <v>1</v>
      </c>
      <c r="X170" s="74" t="str">
        <f>VLOOKUP(A170,Data_echipe!A:R,18,0)</f>
        <v>Road</v>
      </c>
      <c r="Z170" s="106">
        <f t="shared" si="32"/>
        <v>1</v>
      </c>
    </row>
    <row r="171" spans="1:26" x14ac:dyDescent="0.25">
      <c r="A171" s="61" t="s">
        <v>222</v>
      </c>
      <c r="B171" s="74" t="str">
        <f>VLOOKUP(A171,Participanti!A:B,2,0)</f>
        <v>F</v>
      </c>
      <c r="C171" s="98">
        <v>6</v>
      </c>
      <c r="D171" s="63">
        <v>6.01</v>
      </c>
      <c r="E171" s="64">
        <v>2.2627314814814819E-2</v>
      </c>
      <c r="F171" s="64">
        <v>8.0474537037037039E-2</v>
      </c>
      <c r="G171" s="90">
        <f t="shared" si="38"/>
        <v>5.1550925925925931E-2</v>
      </c>
      <c r="H171" s="65">
        <v>10</v>
      </c>
      <c r="I171" s="13">
        <f t="shared" si="33"/>
        <v>8.5775251124668769E-3</v>
      </c>
      <c r="J171" s="84">
        <f t="shared" si="34"/>
        <v>1.5024999999999999</v>
      </c>
      <c r="K171" s="84">
        <f>IF(J171=0,0,IF(B171="F",VLOOKUP(I171,Barem!$G$2:$H$11,2,1),VLOOKUP(I171,Barem!$G$12:$H$21,2,1)))</f>
        <v>0</v>
      </c>
      <c r="L171" s="63">
        <v>2.5</v>
      </c>
      <c r="M171" s="149" t="s">
        <v>220</v>
      </c>
      <c r="N171" s="10">
        <f t="shared" si="37"/>
        <v>0.25</v>
      </c>
      <c r="O171" s="10">
        <f t="shared" si="37"/>
        <v>0.25</v>
      </c>
      <c r="P171" s="10">
        <f t="shared" si="37"/>
        <v>0.5</v>
      </c>
      <c r="Q171" s="47">
        <f t="shared" si="35"/>
        <v>0</v>
      </c>
      <c r="R171" s="25">
        <f>IF(D171&gt;21,VLOOKUP(D171,Barem!$T$1:$U$141,2,1),0)</f>
        <v>0</v>
      </c>
      <c r="S171" s="25">
        <f>IF(D171&lt;1.609,0,IF(B171="F",VLOOKUP(I171,Barem!$X$2:$Z$13,2,1),VLOOKUP(I171,Barem!$X$14:$Z$25,2,1)))</f>
        <v>0</v>
      </c>
      <c r="T171" s="25">
        <f>VLOOKUP(A171,Participanti!A:C,3,0)</f>
        <v>0</v>
      </c>
      <c r="U171" s="20">
        <f t="shared" si="36"/>
        <v>1.6256249999999999</v>
      </c>
      <c r="V171" s="76">
        <v>44609</v>
      </c>
      <c r="W171" s="101">
        <f>COUNTIFS(A:A,A171,C:C,C171)</f>
        <v>1</v>
      </c>
      <c r="X171" s="74" t="e">
        <f>VLOOKUP(A171,Data_echipe!A:R,18,0)</f>
        <v>#N/A</v>
      </c>
      <c r="Z171" s="106">
        <f t="shared" si="32"/>
        <v>0</v>
      </c>
    </row>
    <row r="172" spans="1:26" x14ac:dyDescent="0.25">
      <c r="A172" s="61" t="s">
        <v>179</v>
      </c>
      <c r="B172" s="74" t="str">
        <f>VLOOKUP(A172,Participanti!A:B,2,0)</f>
        <v>F</v>
      </c>
      <c r="C172" s="98">
        <v>6</v>
      </c>
      <c r="D172" s="63">
        <v>6</v>
      </c>
      <c r="E172" s="64">
        <v>3.0023148148148149E-2</v>
      </c>
      <c r="F172" s="64">
        <v>3.72337962962963E-2</v>
      </c>
      <c r="G172" s="90">
        <f t="shared" si="38"/>
        <v>3.3628472222222226E-2</v>
      </c>
      <c r="H172" s="65">
        <v>141</v>
      </c>
      <c r="I172" s="13">
        <f t="shared" si="33"/>
        <v>5.604745370370371E-3</v>
      </c>
      <c r="J172" s="84">
        <f t="shared" si="34"/>
        <v>1.5</v>
      </c>
      <c r="K172" s="84">
        <f>IF(J172=0,0,IF(B172="F",VLOOKUP(I172,Barem!$G$2:$H$11,2,1),VLOOKUP(I172,Barem!$G$12:$H$21,2,1)))</f>
        <v>1</v>
      </c>
      <c r="L172" s="63">
        <v>1</v>
      </c>
      <c r="M172" s="62" t="str">
        <f>VLOOKUP(C172,Barem!L:R,7,0)</f>
        <v>D</v>
      </c>
      <c r="N172" s="10">
        <f t="shared" si="37"/>
        <v>0.5</v>
      </c>
      <c r="O172" s="10">
        <f t="shared" si="37"/>
        <v>0.25</v>
      </c>
      <c r="P172" s="10">
        <f t="shared" si="37"/>
        <v>0.25</v>
      </c>
      <c r="Q172" s="47">
        <f t="shared" si="35"/>
        <v>9.4E-2</v>
      </c>
      <c r="R172" s="25">
        <f>IF(D172&gt;21,VLOOKUP(D172,Barem!$T$1:$U$141,2,1),0)</f>
        <v>0</v>
      </c>
      <c r="S172" s="25">
        <f>IF(D172&lt;1.609,0,IF(B172="F",VLOOKUP(I172,Barem!$X$2:$Z$13,2,1),VLOOKUP(I172,Barem!$X$14:$Z$25,2,1)))</f>
        <v>0</v>
      </c>
      <c r="T172" s="25">
        <f>VLOOKUP(A172,Participanti!A:C,3,0)</f>
        <v>0</v>
      </c>
      <c r="U172" s="20">
        <f t="shared" si="36"/>
        <v>1.3440000000000001</v>
      </c>
      <c r="V172" s="76">
        <v>44611</v>
      </c>
      <c r="W172" s="101">
        <f>COUNTIFS(A:A,A172,C:C,C172)</f>
        <v>1</v>
      </c>
      <c r="X172" s="74" t="str">
        <f>VLOOKUP(A172,Data_echipe!A:R,18,0)</f>
        <v>Trail</v>
      </c>
      <c r="Z172" s="106">
        <f t="shared" si="32"/>
        <v>1</v>
      </c>
    </row>
    <row r="173" spans="1:26" x14ac:dyDescent="0.25">
      <c r="A173" s="61" t="s">
        <v>217</v>
      </c>
      <c r="B173" s="74" t="str">
        <f>VLOOKUP(A173,Participanti!A:B,2,0)</f>
        <v>M</v>
      </c>
      <c r="C173" s="98">
        <v>6</v>
      </c>
      <c r="D173" s="63">
        <v>11.25</v>
      </c>
      <c r="E173" s="64">
        <v>3.771990740740741E-2</v>
      </c>
      <c r="F173" s="64">
        <v>3.8831018518518515E-2</v>
      </c>
      <c r="G173" s="90">
        <f t="shared" si="38"/>
        <v>3.8275462962962963E-2</v>
      </c>
      <c r="H173" s="65">
        <v>0</v>
      </c>
      <c r="I173" s="13">
        <f t="shared" si="33"/>
        <v>3.4022633744855966E-3</v>
      </c>
      <c r="J173" s="84">
        <f t="shared" si="34"/>
        <v>2.6785714285714284</v>
      </c>
      <c r="K173" s="84">
        <f>IF(J173=0,0,IF(B173="F",VLOOKUP(I173,Barem!$G$2:$H$11,2,1),VLOOKUP(I173,Barem!$G$12:$H$21,2,1)))</f>
        <v>3</v>
      </c>
      <c r="L173" s="63">
        <v>3</v>
      </c>
      <c r="M173" s="62" t="str">
        <f>VLOOKUP(C173,Barem!L:R,7,0)</f>
        <v>D</v>
      </c>
      <c r="N173" s="10">
        <f t="shared" si="37"/>
        <v>0.5</v>
      </c>
      <c r="O173" s="10">
        <f t="shared" si="37"/>
        <v>0.25</v>
      </c>
      <c r="P173" s="10">
        <f t="shared" si="37"/>
        <v>0.25</v>
      </c>
      <c r="Q173" s="47">
        <f t="shared" si="35"/>
        <v>0</v>
      </c>
      <c r="R173" s="25">
        <f>IF(D173&gt;21,VLOOKUP(D173,Barem!$T$1:$U$141,2,1),0)</f>
        <v>0</v>
      </c>
      <c r="S173" s="25">
        <f>IF(D173&lt;1.609,0,IF(B173="F",VLOOKUP(I173,Barem!$X$2:$Z$13,2,1),VLOOKUP(I173,Barem!$X$14:$Z$25,2,1)))</f>
        <v>0</v>
      </c>
      <c r="T173" s="25">
        <f>VLOOKUP(A173,Participanti!A:C,3,0)</f>
        <v>0</v>
      </c>
      <c r="U173" s="20">
        <f t="shared" si="36"/>
        <v>2.8392857142857144</v>
      </c>
      <c r="V173" s="76">
        <v>44609</v>
      </c>
      <c r="W173" s="101">
        <f>COUNTIFS(A:A,A173,C:C,C173)</f>
        <v>1</v>
      </c>
      <c r="X173" s="74" t="e">
        <f>VLOOKUP(A173,Data_echipe!A:R,18,0)</f>
        <v>#N/A</v>
      </c>
      <c r="Z173" s="106">
        <f t="shared" si="32"/>
        <v>1</v>
      </c>
    </row>
    <row r="174" spans="1:26" x14ac:dyDescent="0.25">
      <c r="A174" s="61" t="s">
        <v>48</v>
      </c>
      <c r="B174" s="74" t="str">
        <f>VLOOKUP(A174,Participanti!A:B,2,0)</f>
        <v>M</v>
      </c>
      <c r="C174" s="98">
        <v>6</v>
      </c>
      <c r="D174" s="63">
        <v>15.7</v>
      </c>
      <c r="E174" s="64">
        <v>6.2870370370370368E-2</v>
      </c>
      <c r="F174" s="64">
        <v>6.3206018518518522E-2</v>
      </c>
      <c r="G174" s="90">
        <f t="shared" si="38"/>
        <v>6.3038194444444445E-2</v>
      </c>
      <c r="H174" s="65">
        <v>36</v>
      </c>
      <c r="I174" s="13">
        <f t="shared" si="33"/>
        <v>4.0151716206652515E-3</v>
      </c>
      <c r="J174" s="84">
        <f t="shared" si="34"/>
        <v>3.7380952380952377</v>
      </c>
      <c r="K174" s="84">
        <f>IF(J174=0,0,IF(B174="F",VLOOKUP(I174,Barem!$G$2:$H$11,2,1),VLOOKUP(I174,Barem!$G$12:$H$21,2,1)))</f>
        <v>1.5</v>
      </c>
      <c r="L174" s="63">
        <v>2</v>
      </c>
      <c r="M174" s="62" t="str">
        <f>VLOOKUP(C174,Barem!L:R,7,0)</f>
        <v>D</v>
      </c>
      <c r="N174" s="10">
        <f t="shared" si="37"/>
        <v>0.5</v>
      </c>
      <c r="O174" s="10">
        <f t="shared" si="37"/>
        <v>0.25</v>
      </c>
      <c r="P174" s="10">
        <f t="shared" si="37"/>
        <v>0.25</v>
      </c>
      <c r="Q174" s="47">
        <f t="shared" si="35"/>
        <v>0</v>
      </c>
      <c r="R174" s="25">
        <f>IF(D174&gt;21,VLOOKUP(D174,Barem!$T$1:$U$141,2,1),0)</f>
        <v>0</v>
      </c>
      <c r="S174" s="25">
        <f>IF(D174&lt;1.609,0,IF(B174="F",VLOOKUP(I174,Barem!$X$2:$Z$13,2,1),VLOOKUP(I174,Barem!$X$14:$Z$25,2,1)))</f>
        <v>0</v>
      </c>
      <c r="T174" s="25">
        <f>VLOOKUP(A174,Participanti!A:C,3,0)</f>
        <v>0</v>
      </c>
      <c r="U174" s="20">
        <f t="shared" si="36"/>
        <v>2.7440476190476186</v>
      </c>
      <c r="V174" s="76">
        <v>44609</v>
      </c>
      <c r="W174" s="101">
        <f>COUNTIFS(A:A,A174,C:C,C174)</f>
        <v>1</v>
      </c>
      <c r="X174" s="74" t="str">
        <f>VLOOKUP(A174,Data_echipe!A:R,18,0)</f>
        <v>Road</v>
      </c>
      <c r="Z174" s="106">
        <f t="shared" si="32"/>
        <v>1</v>
      </c>
    </row>
    <row r="175" spans="1:26" x14ac:dyDescent="0.25">
      <c r="A175" s="61" t="s">
        <v>138</v>
      </c>
      <c r="B175" s="74" t="str">
        <f>VLOOKUP(A175,Participanti!A:B,2,0)</f>
        <v>F</v>
      </c>
      <c r="C175" s="98">
        <v>6</v>
      </c>
      <c r="D175" s="63">
        <v>6.01</v>
      </c>
      <c r="E175" s="64">
        <v>2.5208333333333333E-2</v>
      </c>
      <c r="F175" s="64">
        <v>2.5266203703703704E-2</v>
      </c>
      <c r="G175" s="90">
        <f t="shared" si="38"/>
        <v>2.523726851851852E-2</v>
      </c>
      <c r="H175" s="65">
        <v>91</v>
      </c>
      <c r="I175" s="13">
        <f t="shared" si="33"/>
        <v>4.1992127318666427E-3</v>
      </c>
      <c r="J175" s="84">
        <f t="shared" si="34"/>
        <v>1.5024999999999999</v>
      </c>
      <c r="K175" s="84">
        <f>IF(J175=0,0,IF(B175="F",VLOOKUP(I175,Barem!$G$2:$H$11,2,1),VLOOKUP(I175,Barem!$G$12:$H$21,2,1)))</f>
        <v>1.5</v>
      </c>
      <c r="L175" s="63">
        <v>1.5</v>
      </c>
      <c r="M175" s="62" t="str">
        <f>VLOOKUP(C175,Barem!L:R,7,0)</f>
        <v>D</v>
      </c>
      <c r="N175" s="10">
        <f t="shared" si="37"/>
        <v>0.5</v>
      </c>
      <c r="O175" s="10">
        <f t="shared" si="37"/>
        <v>0.25</v>
      </c>
      <c r="P175" s="10">
        <f t="shared" si="37"/>
        <v>0.25</v>
      </c>
      <c r="Q175" s="47">
        <f t="shared" si="35"/>
        <v>6.0666666666666667E-2</v>
      </c>
      <c r="R175" s="25">
        <f>IF(D175&gt;21,VLOOKUP(D175,Barem!$T$1:$U$141,2,1),0)</f>
        <v>0</v>
      </c>
      <c r="S175" s="25">
        <f>IF(D175&lt;1.609,0,IF(B175="F",VLOOKUP(I175,Barem!$X$2:$Z$13,2,1),VLOOKUP(I175,Barem!$X$14:$Z$25,2,1)))</f>
        <v>0</v>
      </c>
      <c r="T175" s="25">
        <f>VLOOKUP(A175,Participanti!A:C,3,0)</f>
        <v>0</v>
      </c>
      <c r="U175" s="20">
        <f t="shared" si="36"/>
        <v>1.5619166666666666</v>
      </c>
      <c r="V175" s="76">
        <v>44614</v>
      </c>
      <c r="W175" s="101">
        <f>COUNTIFS(A:A,A175,C:C,C175)</f>
        <v>1</v>
      </c>
      <c r="X175" s="74" t="str">
        <f>VLOOKUP(A175,Data_echipe!A:R,18,0)</f>
        <v>Road</v>
      </c>
      <c r="Z175" s="106">
        <f t="shared" si="32"/>
        <v>1</v>
      </c>
    </row>
    <row r="176" spans="1:26" x14ac:dyDescent="0.25">
      <c r="A176" s="61" t="s">
        <v>221</v>
      </c>
      <c r="B176" s="74" t="str">
        <f>VLOOKUP(A176,Participanti!A:B,2,0)</f>
        <v>M</v>
      </c>
      <c r="C176" s="98">
        <v>6</v>
      </c>
      <c r="D176" s="63">
        <v>12.01</v>
      </c>
      <c r="E176" s="64">
        <v>6.732638888888888E-2</v>
      </c>
      <c r="F176" s="64">
        <v>7.0104166666666676E-2</v>
      </c>
      <c r="G176" s="90">
        <f t="shared" si="38"/>
        <v>6.8715277777777778E-2</v>
      </c>
      <c r="H176" s="65">
        <v>660</v>
      </c>
      <c r="I176" s="13">
        <f t="shared" si="33"/>
        <v>5.7215052271255441E-3</v>
      </c>
      <c r="J176" s="84">
        <f t="shared" si="34"/>
        <v>2.8595238095238091</v>
      </c>
      <c r="K176" s="84">
        <f>IF(J176=0,0,IF(B176="F",VLOOKUP(I176,Barem!$G$2:$H$11,2,1),VLOOKUP(I176,Barem!$G$12:$H$21,2,1)))</f>
        <v>0</v>
      </c>
      <c r="L176" s="63">
        <v>2</v>
      </c>
      <c r="M176" s="62" t="str">
        <f>VLOOKUP(C176,Barem!L:R,7,0)</f>
        <v>D</v>
      </c>
      <c r="N176" s="10">
        <f t="shared" si="37"/>
        <v>0.5</v>
      </c>
      <c r="O176" s="10">
        <f t="shared" si="37"/>
        <v>0.25</v>
      </c>
      <c r="P176" s="10">
        <f t="shared" si="37"/>
        <v>0.25</v>
      </c>
      <c r="Q176" s="47">
        <f t="shared" si="35"/>
        <v>0.44</v>
      </c>
      <c r="R176" s="25">
        <f>IF(D176&gt;21,VLOOKUP(D176,Barem!$T$1:$U$141,2,1),0)</f>
        <v>0</v>
      </c>
      <c r="S176" s="25">
        <f>IF(D176&lt;1.609,0,IF(B176="F",VLOOKUP(I176,Barem!$X$2:$Z$13,2,1),VLOOKUP(I176,Barem!$X$14:$Z$25,2,1)))</f>
        <v>0</v>
      </c>
      <c r="T176" s="25">
        <f>VLOOKUP(A176,Participanti!A:C,3,0)</f>
        <v>0</v>
      </c>
      <c r="U176" s="20">
        <f t="shared" si="36"/>
        <v>2.3697619047619045</v>
      </c>
      <c r="V176" s="76">
        <v>44612</v>
      </c>
      <c r="W176" s="101">
        <f>COUNTIFS(A:A,A176,C:C,C176)</f>
        <v>1</v>
      </c>
      <c r="X176" s="74" t="str">
        <f>VLOOKUP(A176,Data_echipe!A:R,18,0)</f>
        <v>Trail</v>
      </c>
      <c r="Z176" s="106">
        <f t="shared" si="32"/>
        <v>0</v>
      </c>
    </row>
    <row r="177" spans="1:26" x14ac:dyDescent="0.25">
      <c r="A177" s="61" t="s">
        <v>59</v>
      </c>
      <c r="B177" s="74" t="str">
        <f>VLOOKUP(A177,Participanti!A:B,2,0)</f>
        <v>M</v>
      </c>
      <c r="C177" s="98">
        <v>6</v>
      </c>
      <c r="D177" s="63">
        <v>10.1</v>
      </c>
      <c r="E177" s="64">
        <v>4.4386574074074071E-2</v>
      </c>
      <c r="F177" s="64">
        <v>4.4386574074074071E-2</v>
      </c>
      <c r="G177" s="90">
        <f t="shared" si="38"/>
        <v>4.4386574074074071E-2</v>
      </c>
      <c r="H177" s="65">
        <v>8</v>
      </c>
      <c r="I177" s="13">
        <f t="shared" si="33"/>
        <v>4.3947103043637699E-3</v>
      </c>
      <c r="J177" s="84">
        <f t="shared" si="34"/>
        <v>2.4047619047619047</v>
      </c>
      <c r="K177" s="84">
        <f>IF(J177=0,0,IF(B177="F",VLOOKUP(I177,Barem!$G$2:$H$11,2,1),VLOOKUP(I177,Barem!$G$12:$H$21,2,1)))</f>
        <v>1</v>
      </c>
      <c r="L177" s="63">
        <v>2.5</v>
      </c>
      <c r="M177" s="62" t="str">
        <f>VLOOKUP(C177,Barem!L:R,7,0)</f>
        <v>D</v>
      </c>
      <c r="N177" s="10">
        <f t="shared" si="37"/>
        <v>0.5</v>
      </c>
      <c r="O177" s="10">
        <f t="shared" si="37"/>
        <v>0.25</v>
      </c>
      <c r="P177" s="10">
        <f t="shared" si="37"/>
        <v>0.25</v>
      </c>
      <c r="Q177" s="47">
        <f t="shared" si="35"/>
        <v>0</v>
      </c>
      <c r="R177" s="25">
        <f>IF(D177&gt;21,VLOOKUP(D177,Barem!$T$1:$U$141,2,1),0)</f>
        <v>0</v>
      </c>
      <c r="S177" s="25">
        <f>IF(D177&lt;1.609,0,IF(B177="F",VLOOKUP(I177,Barem!$X$2:$Z$13,2,1),VLOOKUP(I177,Barem!$X$14:$Z$25,2,1)))</f>
        <v>0</v>
      </c>
      <c r="T177" s="25">
        <f>VLOOKUP(A177,Participanti!A:C,3,0)</f>
        <v>0</v>
      </c>
      <c r="U177" s="20">
        <f t="shared" si="36"/>
        <v>2.0773809523809526</v>
      </c>
      <c r="V177" s="76">
        <v>44608</v>
      </c>
      <c r="W177" s="101">
        <f>COUNTIFS(A:A,A177,C:C,C177)</f>
        <v>1</v>
      </c>
      <c r="X177" s="74" t="e">
        <f>VLOOKUP(A177,Data_echipe!A:R,18,0)</f>
        <v>#N/A</v>
      </c>
      <c r="Z177" s="106">
        <f t="shared" si="32"/>
        <v>1</v>
      </c>
    </row>
    <row r="178" spans="1:26" x14ac:dyDescent="0.25">
      <c r="A178" s="61" t="s">
        <v>54</v>
      </c>
      <c r="B178" s="74" t="str">
        <f>VLOOKUP(A178,Participanti!A:B,2,0)</f>
        <v>M</v>
      </c>
      <c r="C178" s="98">
        <v>6</v>
      </c>
      <c r="D178" s="63">
        <v>17.2</v>
      </c>
      <c r="E178" s="64">
        <v>7.0833333333333331E-2</v>
      </c>
      <c r="F178" s="64">
        <v>8.2465277777777776E-2</v>
      </c>
      <c r="G178" s="90">
        <f t="shared" si="38"/>
        <v>7.6649305555555547E-2</v>
      </c>
      <c r="H178" s="65">
        <v>59</v>
      </c>
      <c r="I178" s="13">
        <f t="shared" si="33"/>
        <v>4.4563549741602065E-3</v>
      </c>
      <c r="J178" s="84">
        <f t="shared" si="34"/>
        <v>4.0952380952380949</v>
      </c>
      <c r="K178" s="84">
        <f>IF(J178=0,0,IF(B178="F",VLOOKUP(I178,Barem!$G$2:$H$11,2,1),VLOOKUP(I178,Barem!$G$12:$H$21,2,1)))</f>
        <v>1</v>
      </c>
      <c r="L178" s="63">
        <v>1</v>
      </c>
      <c r="M178" s="62" t="str">
        <f>VLOOKUP(C178,Barem!L:R,7,0)</f>
        <v>D</v>
      </c>
      <c r="N178" s="10">
        <f t="shared" si="37"/>
        <v>0.5</v>
      </c>
      <c r="O178" s="10">
        <f t="shared" si="37"/>
        <v>0.25</v>
      </c>
      <c r="P178" s="10">
        <f t="shared" si="37"/>
        <v>0.25</v>
      </c>
      <c r="Q178" s="47">
        <f t="shared" si="35"/>
        <v>3.9333333333333331E-2</v>
      </c>
      <c r="R178" s="25">
        <f>IF(D178&gt;21,VLOOKUP(D178,Barem!$T$1:$U$141,2,1),0)</f>
        <v>0</v>
      </c>
      <c r="S178" s="25">
        <f>IF(D178&lt;1.609,0,IF(B178="F",VLOOKUP(I178,Barem!$X$2:$Z$13,2,1),VLOOKUP(I178,Barem!$X$14:$Z$25,2,1)))</f>
        <v>0</v>
      </c>
      <c r="T178" s="25">
        <f>VLOOKUP(A178,Participanti!A:C,3,0)</f>
        <v>0</v>
      </c>
      <c r="U178" s="20">
        <f t="shared" si="36"/>
        <v>2.5869523809523809</v>
      </c>
      <c r="V178" s="76">
        <v>44611</v>
      </c>
      <c r="W178" s="101">
        <f>COUNTIFS(A:A,A178,C:C,C178)</f>
        <v>1</v>
      </c>
      <c r="X178" s="74" t="e">
        <f>VLOOKUP(A178,Data_echipe!A:R,18,0)</f>
        <v>#N/A</v>
      </c>
      <c r="Z178" s="106">
        <f t="shared" si="32"/>
        <v>1</v>
      </c>
    </row>
    <row r="179" spans="1:26" x14ac:dyDescent="0.25">
      <c r="A179" s="61" t="s">
        <v>219</v>
      </c>
      <c r="B179" s="74" t="str">
        <f>VLOOKUP(A179,Participanti!A:B,2,0)</f>
        <v>M</v>
      </c>
      <c r="C179" s="98">
        <v>6</v>
      </c>
      <c r="D179" s="63">
        <v>14.3</v>
      </c>
      <c r="E179" s="64">
        <v>0.10728009259259259</v>
      </c>
      <c r="F179" s="64">
        <v>0.11313657407407407</v>
      </c>
      <c r="G179" s="90">
        <f t="shared" si="38"/>
        <v>0.11020833333333332</v>
      </c>
      <c r="H179" s="65">
        <v>819</v>
      </c>
      <c r="I179" s="13">
        <f t="shared" si="33"/>
        <v>7.7068764568764556E-3</v>
      </c>
      <c r="J179" s="84">
        <f t="shared" si="34"/>
        <v>3.4047619047619047</v>
      </c>
      <c r="K179" s="84">
        <f>IF(J179=0,0,IF(B179="F",VLOOKUP(I179,Barem!$G$2:$H$11,2,1),VLOOKUP(I179,Barem!$G$12:$H$21,2,1)))</f>
        <v>0</v>
      </c>
      <c r="L179" s="63">
        <v>2</v>
      </c>
      <c r="M179" s="62" t="str">
        <f>VLOOKUP(C179,Barem!L:R,7,0)</f>
        <v>D</v>
      </c>
      <c r="N179" s="10">
        <f t="shared" si="37"/>
        <v>0.5</v>
      </c>
      <c r="O179" s="10">
        <f t="shared" si="37"/>
        <v>0.25</v>
      </c>
      <c r="P179" s="10">
        <f t="shared" si="37"/>
        <v>0.25</v>
      </c>
      <c r="Q179" s="47">
        <f t="shared" si="35"/>
        <v>0.54600000000000004</v>
      </c>
      <c r="R179" s="25">
        <f>IF(D179&gt;21,VLOOKUP(D179,Barem!$T$1:$U$141,2,1),0)</f>
        <v>0</v>
      </c>
      <c r="S179" s="25">
        <f>IF(D179&lt;1.609,0,IF(B179="F",VLOOKUP(I179,Barem!$X$2:$Z$13,2,1),VLOOKUP(I179,Barem!$X$14:$Z$25,2,1)))</f>
        <v>0</v>
      </c>
      <c r="T179" s="25">
        <f>VLOOKUP(A179,Participanti!A:C,3,0)</f>
        <v>0</v>
      </c>
      <c r="U179" s="20">
        <f t="shared" si="36"/>
        <v>2.7483809523809528</v>
      </c>
      <c r="V179" s="76">
        <v>44612</v>
      </c>
      <c r="W179" s="101">
        <f>COUNTIFS(A:A,A179,C:C,C179)</f>
        <v>1</v>
      </c>
      <c r="X179" s="74" t="str">
        <f>VLOOKUP(A179,Data_echipe!A:R,18,0)</f>
        <v>Road</v>
      </c>
      <c r="Z179" s="106">
        <f t="shared" si="32"/>
        <v>0</v>
      </c>
    </row>
    <row r="180" spans="1:26" s="146" customFormat="1" ht="12.6" thickBot="1" x14ac:dyDescent="0.3">
      <c r="A180" s="130" t="s">
        <v>273</v>
      </c>
      <c r="B180" s="131" t="str">
        <f>VLOOKUP(A180,Participanti!A:B,2,0)</f>
        <v>F</v>
      </c>
      <c r="C180" s="132">
        <v>6</v>
      </c>
      <c r="D180" s="133">
        <v>4.5199999999999996</v>
      </c>
      <c r="E180" s="134">
        <v>1.9652777777777779E-2</v>
      </c>
      <c r="F180" s="134">
        <v>2.0277777777777777E-2</v>
      </c>
      <c r="G180" s="135">
        <f t="shared" si="38"/>
        <v>1.9965277777777776E-2</v>
      </c>
      <c r="H180" s="136">
        <v>5</v>
      </c>
      <c r="I180" s="137">
        <f t="shared" si="33"/>
        <v>4.4170968534906589E-3</v>
      </c>
      <c r="J180" s="138">
        <f t="shared" si="34"/>
        <v>1.1299999999999999</v>
      </c>
      <c r="K180" s="138">
        <f>IF(J180=0,0,IF(B180="F",VLOOKUP(I180,Barem!$G$2:$H$11,2,1),VLOOKUP(I180,Barem!$G$12:$H$21,2,1)))</f>
        <v>1.5</v>
      </c>
      <c r="L180" s="133">
        <v>2</v>
      </c>
      <c r="M180" s="139" t="str">
        <f>VLOOKUP(C180,Barem!L:R,7,0)</f>
        <v>D</v>
      </c>
      <c r="N180" s="140">
        <f t="shared" si="37"/>
        <v>0.5</v>
      </c>
      <c r="O180" s="140">
        <f t="shared" si="37"/>
        <v>0.25</v>
      </c>
      <c r="P180" s="140">
        <f t="shared" si="37"/>
        <v>0.25</v>
      </c>
      <c r="Q180" s="141">
        <f t="shared" si="35"/>
        <v>0</v>
      </c>
      <c r="R180" s="142">
        <f>IF(D180&gt;21,VLOOKUP(D180,Barem!$T$1:$U$141,2,1),0)</f>
        <v>0</v>
      </c>
      <c r="S180" s="142">
        <f>IF(D180&lt;1.609,0,IF(B180="F",VLOOKUP(I180,Barem!$X$2:$Z$13,2,1),VLOOKUP(I180,Barem!$X$14:$Z$25,2,1)))</f>
        <v>0</v>
      </c>
      <c r="T180" s="142">
        <f>VLOOKUP(A180,Participanti!A:C,3,0)</f>
        <v>0</v>
      </c>
      <c r="U180" s="143">
        <f t="shared" si="36"/>
        <v>1.44</v>
      </c>
      <c r="V180" s="144">
        <v>44611</v>
      </c>
      <c r="W180" s="145">
        <f>COUNTIFS(A:A,A180,C:C,C180)</f>
        <v>1</v>
      </c>
      <c r="X180" s="131" t="e">
        <f>VLOOKUP(A180,Data_echipe!A:R,18,0)</f>
        <v>#N/A</v>
      </c>
      <c r="Z180" s="106">
        <f t="shared" si="32"/>
        <v>1</v>
      </c>
    </row>
    <row r="181" spans="1:26" x14ac:dyDescent="0.25">
      <c r="A181" s="61" t="s">
        <v>218</v>
      </c>
      <c r="B181" s="74" t="str">
        <f>VLOOKUP(A181,Participanti!A:B,2,0)</f>
        <v>M</v>
      </c>
      <c r="C181" s="98">
        <v>7</v>
      </c>
      <c r="D181" s="63">
        <v>10.01</v>
      </c>
      <c r="E181" s="64">
        <v>2.4328703703703703E-2</v>
      </c>
      <c r="F181" s="64">
        <v>2.4328703703703703E-2</v>
      </c>
      <c r="G181" s="90">
        <f t="shared" si="38"/>
        <v>2.4328703703703703E-2</v>
      </c>
      <c r="H181" s="65">
        <v>64</v>
      </c>
      <c r="I181" s="13">
        <f>G181/D181</f>
        <v>2.4304399304399303E-3</v>
      </c>
      <c r="J181" s="84">
        <f>IF(B181="F",IF(D181&lt;2.5,0,IF(D181&gt;19.99,5,D181/4)),IF(D181&lt;3,0, IF(D181&gt;20.99,5,D181/4.2)))</f>
        <v>2.3833333333333333</v>
      </c>
      <c r="K181" s="84">
        <f>IF(J181=0,0,IF(B181="F",VLOOKUP(I181,Barem!$G$2:$H$11,2,1),VLOOKUP(I181,Barem!$G$12:$H$21,2,1)))</f>
        <v>5</v>
      </c>
      <c r="L181" s="63">
        <v>2.5</v>
      </c>
      <c r="M181" s="62" t="str">
        <f>VLOOKUP(C181,Barem!L:R,7,0)</f>
        <v>V</v>
      </c>
      <c r="N181" s="10">
        <f t="shared" si="37"/>
        <v>0.25</v>
      </c>
      <c r="O181" s="10">
        <f t="shared" si="37"/>
        <v>0.5</v>
      </c>
      <c r="P181" s="10">
        <f t="shared" si="37"/>
        <v>0.25</v>
      </c>
      <c r="Q181" s="47">
        <f>IF(H181&gt;49,H181/1500,0)</f>
        <v>4.2666666666666665E-2</v>
      </c>
      <c r="R181" s="25">
        <f>IF(D181&gt;21,VLOOKUP(D181,Barem!$T$1:$U$141,2,1),0)</f>
        <v>0</v>
      </c>
      <c r="S181" s="25">
        <f>IF(D181&lt;1.609,0,IF(B181="F",VLOOKUP(I181,Barem!$X$2:$Z$13,2,1),VLOOKUP(I181,Barem!$X$14:$Z$25,2,1)))</f>
        <v>4.1999999999999993</v>
      </c>
      <c r="T181" s="25">
        <f>VLOOKUP(A181,Participanti!A:C,3,0)</f>
        <v>0</v>
      </c>
      <c r="U181" s="20">
        <f>IF(H181&lt;0,0,J181*N181+K181*O181+L181*P181+Q181+R181+S181+T181)</f>
        <v>7.9634999999999998</v>
      </c>
      <c r="V181" s="76">
        <v>44615</v>
      </c>
      <c r="W181" s="101">
        <f>COUNTIFS(A:A,A181,C:C,C181)</f>
        <v>1</v>
      </c>
      <c r="X181" s="74" t="str">
        <f>VLOOKUP(A181,Data_echipe!A:R,18,0)</f>
        <v>Road</v>
      </c>
      <c r="Y181" s="22" t="s">
        <v>275</v>
      </c>
      <c r="Z181" s="106">
        <f t="shared" si="32"/>
        <v>1</v>
      </c>
    </row>
    <row r="182" spans="1:26" x14ac:dyDescent="0.25">
      <c r="A182" s="61" t="s">
        <v>50</v>
      </c>
      <c r="B182" s="74" t="str">
        <f>VLOOKUP(A182,Participanti!A:B,2,0)</f>
        <v>M</v>
      </c>
      <c r="C182" s="98">
        <v>7</v>
      </c>
      <c r="D182" s="63">
        <v>43.4</v>
      </c>
      <c r="E182" s="64">
        <v>0.27480324074074075</v>
      </c>
      <c r="F182" s="64">
        <v>0.27730324074074075</v>
      </c>
      <c r="G182" s="90">
        <f t="shared" si="38"/>
        <v>0.27605324074074078</v>
      </c>
      <c r="H182" s="65">
        <v>1947</v>
      </c>
      <c r="I182" s="13">
        <f t="shared" ref="I182:I208" si="39">G182/D182</f>
        <v>6.3606737497866545E-3</v>
      </c>
      <c r="J182" s="84">
        <f t="shared" ref="J182:J208" si="40">IF(B182="F",IF(D182&lt;2.5,0,IF(D182&gt;19.99,5,D182/4)),IF(D182&lt;3,0, IF(D182&gt;20.99,5,D182/4.2)))</f>
        <v>5</v>
      </c>
      <c r="K182" s="84">
        <f>IF(J182=0,0,IF(B182="F",VLOOKUP(I182,Barem!$G$2:$H$11,2,1),VLOOKUP(I182,Barem!$G$12:$H$21,2,1)))</f>
        <v>0</v>
      </c>
      <c r="L182" s="63">
        <v>4.5</v>
      </c>
      <c r="M182" s="149" t="s">
        <v>220</v>
      </c>
      <c r="N182" s="10">
        <f t="shared" si="37"/>
        <v>0.25</v>
      </c>
      <c r="O182" s="10">
        <f t="shared" si="37"/>
        <v>0.25</v>
      </c>
      <c r="P182" s="10">
        <f t="shared" si="37"/>
        <v>0.5</v>
      </c>
      <c r="Q182" s="47">
        <f t="shared" ref="Q182:Q208" si="41">IF(H182&gt;49,H182/1500,0)</f>
        <v>1.298</v>
      </c>
      <c r="R182" s="25">
        <f>IF(D182&gt;21,VLOOKUP(D182,Barem!$T$1:$U$141,2,1),0)</f>
        <v>1.1000000000000001</v>
      </c>
      <c r="S182" s="25">
        <f>IF(D182&lt;1.609,0,IF(B182="F",VLOOKUP(I182,Barem!$X$2:$Z$13,2,1),VLOOKUP(I182,Barem!$X$14:$Z$25,2,1)))</f>
        <v>0</v>
      </c>
      <c r="T182" s="25">
        <f>VLOOKUP(A182,Participanti!A:C,3,0)</f>
        <v>0</v>
      </c>
      <c r="U182" s="20">
        <f t="shared" ref="U182:U208" si="42">IF(H182&lt;0,0,J182*N182+K182*O182+L182*P182+Q182+R182+S182+T182)</f>
        <v>5.8979999999999997</v>
      </c>
      <c r="V182" s="76">
        <v>44619</v>
      </c>
      <c r="W182" s="101">
        <f>COUNTIFS(A:A,A182,C:C,C182)</f>
        <v>1</v>
      </c>
      <c r="X182" s="74" t="str">
        <f>VLOOKUP(A182,Data_echipe!A:R,18,0)</f>
        <v>Trail</v>
      </c>
      <c r="Z182" s="106">
        <f t="shared" si="32"/>
        <v>0</v>
      </c>
    </row>
    <row r="183" spans="1:26" x14ac:dyDescent="0.25">
      <c r="A183" s="61" t="s">
        <v>64</v>
      </c>
      <c r="B183" s="74" t="str">
        <f>VLOOKUP(A183,Participanti!A:B,2,0)</f>
        <v>M</v>
      </c>
      <c r="C183" s="98">
        <v>7</v>
      </c>
      <c r="D183" s="63">
        <v>43.76</v>
      </c>
      <c r="E183" s="64">
        <v>0.25881944444444444</v>
      </c>
      <c r="F183" s="64">
        <v>0.27762731481481479</v>
      </c>
      <c r="G183" s="90">
        <f t="shared" si="38"/>
        <v>0.26822337962962961</v>
      </c>
      <c r="H183" s="65">
        <v>1955</v>
      </c>
      <c r="I183" s="13">
        <f t="shared" si="39"/>
        <v>6.1294190957410788E-3</v>
      </c>
      <c r="J183" s="84">
        <f t="shared" si="40"/>
        <v>5</v>
      </c>
      <c r="K183" s="84">
        <f>IF(J183=0,0,IF(B183="F",VLOOKUP(I183,Barem!$G$2:$H$11,2,1),VLOOKUP(I183,Barem!$G$12:$H$21,2,1)))</f>
        <v>0</v>
      </c>
      <c r="L183" s="63">
        <v>2</v>
      </c>
      <c r="M183" s="149" t="s">
        <v>108</v>
      </c>
      <c r="N183" s="10">
        <f t="shared" ref="N183:P210" si="43">IF($M183=N$1,50%,25%)</f>
        <v>0.5</v>
      </c>
      <c r="O183" s="10">
        <f t="shared" si="43"/>
        <v>0.25</v>
      </c>
      <c r="P183" s="10">
        <f t="shared" si="43"/>
        <v>0.25</v>
      </c>
      <c r="Q183" s="47">
        <f t="shared" si="41"/>
        <v>1.3033333333333332</v>
      </c>
      <c r="R183" s="25">
        <f>IF(D183&gt;21,VLOOKUP(D183,Barem!$T$1:$U$141,2,1),0)</f>
        <v>1.1000000000000001</v>
      </c>
      <c r="S183" s="25">
        <f>IF(D183&lt;1.609,0,IF(B183="F",VLOOKUP(I183,Barem!$X$2:$Z$13,2,1),VLOOKUP(I183,Barem!$X$14:$Z$25,2,1)))</f>
        <v>0</v>
      </c>
      <c r="T183" s="25">
        <f>VLOOKUP(A183,Participanti!A:C,3,0)</f>
        <v>0</v>
      </c>
      <c r="U183" s="20">
        <f t="shared" si="42"/>
        <v>5.4033333333333324</v>
      </c>
      <c r="V183" s="76">
        <v>44619</v>
      </c>
      <c r="W183" s="101">
        <f>COUNTIFS(A:A,A183,C:C,C183)</f>
        <v>1</v>
      </c>
      <c r="X183" s="74" t="str">
        <f>VLOOKUP(A183,Data_echipe!A:R,18,0)</f>
        <v>Trail</v>
      </c>
      <c r="Z183" s="106">
        <f t="shared" si="32"/>
        <v>0</v>
      </c>
    </row>
    <row r="184" spans="1:26" x14ac:dyDescent="0.25">
      <c r="A184" s="61" t="s">
        <v>52</v>
      </c>
      <c r="B184" s="74" t="str">
        <f>VLOOKUP(A184,Participanti!A:B,2,0)</f>
        <v>M</v>
      </c>
      <c r="C184" s="98">
        <v>7</v>
      </c>
      <c r="D184" s="63">
        <v>35.549999999999997</v>
      </c>
      <c r="E184" s="64">
        <v>0.14292824074074073</v>
      </c>
      <c r="F184" s="64">
        <v>0.14812499999999998</v>
      </c>
      <c r="G184" s="90">
        <f t="shared" si="38"/>
        <v>0.14552662037037034</v>
      </c>
      <c r="H184" s="65">
        <v>831</v>
      </c>
      <c r="I184" s="13">
        <f t="shared" si="39"/>
        <v>4.0935758191384067E-3</v>
      </c>
      <c r="J184" s="84">
        <f t="shared" si="40"/>
        <v>5</v>
      </c>
      <c r="K184" s="84">
        <f>IF(J184=0,0,IF(B184="F",VLOOKUP(I184,Barem!$G$2:$H$11,2,1),VLOOKUP(I184,Barem!$G$12:$H$21,2,1)))</f>
        <v>1.5</v>
      </c>
      <c r="L184" s="63">
        <v>4</v>
      </c>
      <c r="M184" s="149" t="s">
        <v>108</v>
      </c>
      <c r="N184" s="10">
        <f t="shared" si="43"/>
        <v>0.5</v>
      </c>
      <c r="O184" s="10">
        <f t="shared" si="43"/>
        <v>0.25</v>
      </c>
      <c r="P184" s="10">
        <f t="shared" si="43"/>
        <v>0.25</v>
      </c>
      <c r="Q184" s="47">
        <f t="shared" si="41"/>
        <v>0.55400000000000005</v>
      </c>
      <c r="R184" s="25">
        <f>IF(D184&gt;21,VLOOKUP(D184,Barem!$T$1:$U$141,2,1),0)</f>
        <v>0.7</v>
      </c>
      <c r="S184" s="25">
        <f>IF(D184&lt;1.609,0,IF(B184="F",VLOOKUP(I184,Barem!$X$2:$Z$13,2,1),VLOOKUP(I184,Barem!$X$14:$Z$25,2,1)))</f>
        <v>0</v>
      </c>
      <c r="T184" s="25">
        <f>VLOOKUP(A184,Participanti!A:C,3,0)</f>
        <v>0</v>
      </c>
      <c r="U184" s="20">
        <f t="shared" si="42"/>
        <v>5.1290000000000004</v>
      </c>
      <c r="V184" s="76">
        <v>44619</v>
      </c>
      <c r="W184" s="101">
        <f>COUNTIFS(A:A,A184,C:C,C184)</f>
        <v>1</v>
      </c>
      <c r="X184" s="74" t="str">
        <f>VLOOKUP(A184,Data_echipe!A:R,18,0)</f>
        <v>Trail</v>
      </c>
      <c r="Z184" s="106">
        <f t="shared" si="32"/>
        <v>1</v>
      </c>
    </row>
    <row r="185" spans="1:26" x14ac:dyDescent="0.25">
      <c r="A185" s="61" t="s">
        <v>117</v>
      </c>
      <c r="B185" s="74" t="str">
        <f>VLOOKUP(A185,Participanti!A:B,2,0)</f>
        <v>M</v>
      </c>
      <c r="C185" s="98">
        <v>7</v>
      </c>
      <c r="D185" s="63">
        <v>16.21</v>
      </c>
      <c r="E185" s="64">
        <v>6.3726851851851854E-2</v>
      </c>
      <c r="F185" s="64">
        <v>7.5289351851851857E-2</v>
      </c>
      <c r="G185" s="90">
        <f t="shared" si="38"/>
        <v>6.9508101851851856E-2</v>
      </c>
      <c r="H185" s="65">
        <v>77</v>
      </c>
      <c r="I185" s="13">
        <f t="shared" si="39"/>
        <v>4.2879766719217671E-3</v>
      </c>
      <c r="J185" s="84">
        <f t="shared" si="40"/>
        <v>3.8595238095238096</v>
      </c>
      <c r="K185" s="84">
        <f>IF(J185=0,0,IF(B185="F",VLOOKUP(I185,Barem!$G$2:$H$11,2,1),VLOOKUP(I185,Barem!$G$12:$H$21,2,1)))</f>
        <v>1</v>
      </c>
      <c r="L185" s="63">
        <v>4</v>
      </c>
      <c r="M185" s="149" t="s">
        <v>220</v>
      </c>
      <c r="N185" s="10">
        <f t="shared" si="43"/>
        <v>0.25</v>
      </c>
      <c r="O185" s="10">
        <f t="shared" si="43"/>
        <v>0.25</v>
      </c>
      <c r="P185" s="10">
        <f t="shared" si="43"/>
        <v>0.5</v>
      </c>
      <c r="Q185" s="47">
        <f t="shared" si="41"/>
        <v>5.1333333333333335E-2</v>
      </c>
      <c r="R185" s="25">
        <f>IF(D185&gt;21,VLOOKUP(D185,Barem!$T$1:$U$141,2,1),0)</f>
        <v>0</v>
      </c>
      <c r="S185" s="25">
        <f>IF(D185&lt;1.609,0,IF(B185="F",VLOOKUP(I185,Barem!$X$2:$Z$13,2,1),VLOOKUP(I185,Barem!$X$14:$Z$25,2,1)))</f>
        <v>0</v>
      </c>
      <c r="T185" s="25">
        <f>VLOOKUP(A185,Participanti!A:C,3,0)</f>
        <v>0</v>
      </c>
      <c r="U185" s="20">
        <f t="shared" si="42"/>
        <v>3.2662142857142857</v>
      </c>
      <c r="V185" s="76">
        <v>44618</v>
      </c>
      <c r="W185" s="101">
        <f>COUNTIFS(A:A,A185,C:C,C185)</f>
        <v>1</v>
      </c>
      <c r="X185" s="74" t="str">
        <f>VLOOKUP(A185,Data_echipe!A:R,18,0)</f>
        <v>Trail</v>
      </c>
      <c r="Z185" s="106">
        <f t="shared" si="32"/>
        <v>1</v>
      </c>
    </row>
    <row r="186" spans="1:26" x14ac:dyDescent="0.25">
      <c r="A186" s="61" t="s">
        <v>110</v>
      </c>
      <c r="B186" s="74" t="str">
        <f>VLOOKUP(A186,Participanti!A:B,2,0)</f>
        <v>M</v>
      </c>
      <c r="C186" s="98">
        <v>7</v>
      </c>
      <c r="D186" s="63">
        <v>12.4</v>
      </c>
      <c r="E186" s="64">
        <v>3.9328703703703706E-2</v>
      </c>
      <c r="F186" s="64">
        <v>3.9409722222222221E-2</v>
      </c>
      <c r="G186" s="90">
        <f t="shared" si="38"/>
        <v>3.936921296296296E-2</v>
      </c>
      <c r="H186" s="65">
        <v>14</v>
      </c>
      <c r="I186" s="13">
        <f t="shared" si="39"/>
        <v>3.1749365292712065E-3</v>
      </c>
      <c r="J186" s="84">
        <f t="shared" si="40"/>
        <v>2.9523809523809526</v>
      </c>
      <c r="K186" s="84">
        <f>IF(J186=0,0,IF(B186="F",VLOOKUP(I186,Barem!$G$2:$H$11,2,1),VLOOKUP(I186,Barem!$G$12:$H$21,2,1)))</f>
        <v>3.5</v>
      </c>
      <c r="L186" s="63">
        <v>3.5</v>
      </c>
      <c r="M186" s="62" t="str">
        <f>VLOOKUP(C186,Barem!L:R,7,0)</f>
        <v>V</v>
      </c>
      <c r="N186" s="10">
        <f t="shared" si="43"/>
        <v>0.25</v>
      </c>
      <c r="O186" s="10">
        <f t="shared" si="43"/>
        <v>0.5</v>
      </c>
      <c r="P186" s="10">
        <f t="shared" si="43"/>
        <v>0.25</v>
      </c>
      <c r="Q186" s="47">
        <f t="shared" si="41"/>
        <v>0</v>
      </c>
      <c r="R186" s="25">
        <f>IF(D186&gt;21,VLOOKUP(D186,Barem!$T$1:$U$141,2,1),0)</f>
        <v>0</v>
      </c>
      <c r="S186" s="25">
        <f>IF(D186&lt;1.609,0,IF(B186="F",VLOOKUP(I186,Barem!$X$2:$Z$13,2,1),VLOOKUP(I186,Barem!$X$14:$Z$25,2,1)))</f>
        <v>0</v>
      </c>
      <c r="T186" s="25">
        <f>VLOOKUP(A186,Participanti!A:C,3,0)</f>
        <v>0</v>
      </c>
      <c r="U186" s="20">
        <f t="shared" si="42"/>
        <v>3.3630952380952381</v>
      </c>
      <c r="V186" s="76">
        <v>44616</v>
      </c>
      <c r="W186" s="101">
        <f>COUNTIFS(A:A,A186,C:C,C186)</f>
        <v>1</v>
      </c>
      <c r="X186" s="74" t="str">
        <f>VLOOKUP(A186,Data_echipe!A:R,18,0)</f>
        <v>Road</v>
      </c>
      <c r="Z186" s="106">
        <f t="shared" si="32"/>
        <v>1</v>
      </c>
    </row>
    <row r="187" spans="1:26" x14ac:dyDescent="0.25">
      <c r="A187" s="61" t="s">
        <v>254</v>
      </c>
      <c r="B187" s="74" t="str">
        <f>VLOOKUP(A187,Participanti!A:B,2,0)</f>
        <v>M</v>
      </c>
      <c r="C187" s="98">
        <v>7</v>
      </c>
      <c r="D187" s="63">
        <v>21.17</v>
      </c>
      <c r="E187" s="64">
        <v>8.6180555555555552E-2</v>
      </c>
      <c r="F187" s="64">
        <v>8.622685185185186E-2</v>
      </c>
      <c r="G187" s="90">
        <f t="shared" si="38"/>
        <v>8.6203703703703699E-2</v>
      </c>
      <c r="H187" s="65">
        <v>337</v>
      </c>
      <c r="I187" s="13">
        <f t="shared" si="39"/>
        <v>4.0719746671565278E-3</v>
      </c>
      <c r="J187" s="84">
        <f t="shared" si="40"/>
        <v>5</v>
      </c>
      <c r="K187" s="84">
        <f>IF(J187=0,0,IF(B187="F",VLOOKUP(I187,Barem!$G$2:$H$11,2,1),VLOOKUP(I187,Barem!$G$12:$H$21,2,1)))</f>
        <v>1.5</v>
      </c>
      <c r="L187" s="63">
        <v>3.75</v>
      </c>
      <c r="M187" s="149" t="s">
        <v>108</v>
      </c>
      <c r="N187" s="10">
        <f t="shared" si="43"/>
        <v>0.5</v>
      </c>
      <c r="O187" s="10">
        <f t="shared" si="43"/>
        <v>0.25</v>
      </c>
      <c r="P187" s="10">
        <f t="shared" si="43"/>
        <v>0.25</v>
      </c>
      <c r="Q187" s="47">
        <f t="shared" si="41"/>
        <v>0.22466666666666665</v>
      </c>
      <c r="R187" s="25">
        <f>IF(D187&gt;21,VLOOKUP(D187,Barem!$T$1:$U$141,2,1),0)</f>
        <v>0</v>
      </c>
      <c r="S187" s="25">
        <f>IF(D187&lt;1.609,0,IF(B187="F",VLOOKUP(I187,Barem!$X$2:$Z$13,2,1),VLOOKUP(I187,Barem!$X$14:$Z$25,2,1)))</f>
        <v>0</v>
      </c>
      <c r="T187" s="25">
        <f>VLOOKUP(A187,Participanti!A:C,3,0)</f>
        <v>0</v>
      </c>
      <c r="U187" s="20">
        <f t="shared" si="42"/>
        <v>4.0371666666666668</v>
      </c>
      <c r="V187" s="76">
        <v>44613</v>
      </c>
      <c r="W187" s="101">
        <f>COUNTIFS(A:A,A187,C:C,C187)</f>
        <v>1</v>
      </c>
      <c r="X187" s="74" t="str">
        <f>VLOOKUP(A187,Data_echipe!A:R,18,0)</f>
        <v>Trail</v>
      </c>
      <c r="Z187" s="106">
        <f t="shared" si="32"/>
        <v>1</v>
      </c>
    </row>
    <row r="188" spans="1:26" x14ac:dyDescent="0.25">
      <c r="A188" s="61" t="s">
        <v>141</v>
      </c>
      <c r="B188" s="74" t="str">
        <f>VLOOKUP(A188,Participanti!A:B,2,0)</f>
        <v>F</v>
      </c>
      <c r="C188" s="98">
        <v>7</v>
      </c>
      <c r="D188" s="63">
        <v>18.52</v>
      </c>
      <c r="E188" s="64">
        <v>6.7210648148148144E-2</v>
      </c>
      <c r="F188" s="64">
        <v>7.3865740740740746E-2</v>
      </c>
      <c r="G188" s="90">
        <f t="shared" si="38"/>
        <v>7.0538194444444452E-2</v>
      </c>
      <c r="H188" s="65">
        <v>81</v>
      </c>
      <c r="I188" s="13">
        <f t="shared" si="39"/>
        <v>3.8087577993760505E-3</v>
      </c>
      <c r="J188" s="84">
        <f t="shared" si="40"/>
        <v>4.63</v>
      </c>
      <c r="K188" s="84">
        <f>IF(J188=0,0,IF(B188="F",VLOOKUP(I188,Barem!$G$2:$H$11,2,1),VLOOKUP(I188,Barem!$G$12:$H$21,2,1)))</f>
        <v>3</v>
      </c>
      <c r="L188" s="63">
        <v>3.5</v>
      </c>
      <c r="M188" s="149" t="s">
        <v>108</v>
      </c>
      <c r="N188" s="10">
        <f t="shared" si="43"/>
        <v>0.5</v>
      </c>
      <c r="O188" s="10">
        <f t="shared" si="43"/>
        <v>0.25</v>
      </c>
      <c r="P188" s="10">
        <f t="shared" si="43"/>
        <v>0.25</v>
      </c>
      <c r="Q188" s="47">
        <f t="shared" si="41"/>
        <v>5.3999999999999999E-2</v>
      </c>
      <c r="R188" s="25">
        <f>IF(D188&gt;21,VLOOKUP(D188,Barem!$T$1:$U$141,2,1),0)</f>
        <v>0</v>
      </c>
      <c r="S188" s="25">
        <f>IF(D188&lt;1.609,0,IF(B188="F",VLOOKUP(I188,Barem!$X$2:$Z$13,2,1),VLOOKUP(I188,Barem!$X$14:$Z$25,2,1)))</f>
        <v>0</v>
      </c>
      <c r="T188" s="25">
        <f>VLOOKUP(A188,Participanti!A:C,3,0)</f>
        <v>0</v>
      </c>
      <c r="U188" s="20">
        <f t="shared" si="42"/>
        <v>3.9939999999999998</v>
      </c>
      <c r="V188" s="76">
        <v>44616</v>
      </c>
      <c r="W188" s="101">
        <f>COUNTIFS(A:A,A188,C:C,C188)</f>
        <v>1</v>
      </c>
      <c r="X188" s="74" t="str">
        <f>VLOOKUP(A188,Data_echipe!A:R,18,0)</f>
        <v>Trail</v>
      </c>
      <c r="Z188" s="106">
        <f t="shared" si="32"/>
        <v>1</v>
      </c>
    </row>
    <row r="189" spans="1:26" ht="11.4" customHeight="1" x14ac:dyDescent="0.25">
      <c r="A189" s="61" t="s">
        <v>255</v>
      </c>
      <c r="B189" s="74" t="str">
        <f>VLOOKUP(A189,Participanti!A:B,2,0)</f>
        <v>F</v>
      </c>
      <c r="C189" s="98">
        <v>7</v>
      </c>
      <c r="D189" s="63">
        <v>16.010000000000002</v>
      </c>
      <c r="E189" s="64">
        <v>5.8437499999999996E-2</v>
      </c>
      <c r="F189" s="64">
        <v>6.1932870370370374E-2</v>
      </c>
      <c r="G189" s="90">
        <f t="shared" si="38"/>
        <v>6.0185185185185189E-2</v>
      </c>
      <c r="H189" s="65">
        <v>70</v>
      </c>
      <c r="I189" s="13">
        <f t="shared" si="39"/>
        <v>3.7592245587248709E-3</v>
      </c>
      <c r="J189" s="84">
        <f t="shared" si="40"/>
        <v>4.0025000000000004</v>
      </c>
      <c r="K189" s="84">
        <f>IF(J189=0,0,IF(B189="F",VLOOKUP(I189,Barem!$G$2:$H$11,2,1),VLOOKUP(I189,Barem!$G$12:$H$21,2,1)))</f>
        <v>3</v>
      </c>
      <c r="L189" s="63">
        <v>1.5</v>
      </c>
      <c r="M189" s="62" t="str">
        <f>VLOOKUP(C189,Barem!L:R,7,0)</f>
        <v>V</v>
      </c>
      <c r="N189" s="10">
        <f t="shared" si="43"/>
        <v>0.25</v>
      </c>
      <c r="O189" s="10">
        <f t="shared" si="43"/>
        <v>0.5</v>
      </c>
      <c r="P189" s="10">
        <f t="shared" si="43"/>
        <v>0.25</v>
      </c>
      <c r="Q189" s="47">
        <f t="shared" si="41"/>
        <v>4.6666666666666669E-2</v>
      </c>
      <c r="R189" s="25">
        <f>IF(D189&gt;21,VLOOKUP(D189,Barem!$T$1:$U$141,2,1),0)</f>
        <v>0</v>
      </c>
      <c r="S189" s="25">
        <f>IF(D189&lt;1.609,0,IF(B189="F",VLOOKUP(I189,Barem!$X$2:$Z$13,2,1),VLOOKUP(I189,Barem!$X$14:$Z$25,2,1)))</f>
        <v>0</v>
      </c>
      <c r="T189" s="25">
        <f>VLOOKUP(A189,Participanti!A:C,3,0)</f>
        <v>0</v>
      </c>
      <c r="U189" s="20">
        <f t="shared" si="42"/>
        <v>2.9222916666666672</v>
      </c>
      <c r="V189" s="76">
        <v>44619</v>
      </c>
      <c r="W189" s="101">
        <f>COUNTIFS(A:A,A189,C:C,C189)</f>
        <v>1</v>
      </c>
      <c r="X189" s="74" t="str">
        <f>VLOOKUP(A189,Data_echipe!A:R,18,0)</f>
        <v>Trail</v>
      </c>
      <c r="Z189" s="106">
        <f t="shared" si="32"/>
        <v>1</v>
      </c>
    </row>
    <row r="190" spans="1:26" x14ac:dyDescent="0.25">
      <c r="A190" s="61" t="s">
        <v>216</v>
      </c>
      <c r="B190" s="74" t="str">
        <f>VLOOKUP(A190,Participanti!A:B,2,0)</f>
        <v>M</v>
      </c>
      <c r="C190" s="98">
        <v>7</v>
      </c>
      <c r="D190" s="63">
        <v>10</v>
      </c>
      <c r="E190" s="64">
        <v>2.9120370370370366E-2</v>
      </c>
      <c r="F190" s="64">
        <v>2.9201388888888888E-2</v>
      </c>
      <c r="G190" s="90">
        <f t="shared" si="38"/>
        <v>2.9160879629629627E-2</v>
      </c>
      <c r="H190" s="65">
        <v>31</v>
      </c>
      <c r="I190" s="13">
        <f t="shared" si="39"/>
        <v>2.9160879629629628E-3</v>
      </c>
      <c r="J190" s="84">
        <f t="shared" si="40"/>
        <v>2.3809523809523809</v>
      </c>
      <c r="K190" s="84">
        <f>IF(J190=0,0,IF(B190="F",VLOOKUP(I190,Barem!$G$2:$H$11,2,1),VLOOKUP(I190,Barem!$G$12:$H$21,2,1)))</f>
        <v>4.5</v>
      </c>
      <c r="L190" s="63">
        <v>2.75</v>
      </c>
      <c r="M190" s="62" t="str">
        <f>VLOOKUP(C190,Barem!L:R,7,0)</f>
        <v>V</v>
      </c>
      <c r="N190" s="10">
        <f t="shared" si="43"/>
        <v>0.25</v>
      </c>
      <c r="O190" s="10">
        <f t="shared" si="43"/>
        <v>0.5</v>
      </c>
      <c r="P190" s="10">
        <f t="shared" si="43"/>
        <v>0.25</v>
      </c>
      <c r="Q190" s="47">
        <f t="shared" si="41"/>
        <v>0</v>
      </c>
      <c r="R190" s="25">
        <f>IF(D190&gt;21,VLOOKUP(D190,Barem!$T$1:$U$141,2,1),0)</f>
        <v>0</v>
      </c>
      <c r="S190" s="25">
        <f>IF(D190&lt;1.609,0,IF(B190="F",VLOOKUP(I190,Barem!$X$2:$Z$13,2,1),VLOOKUP(I190,Barem!$X$14:$Z$25,2,1)))</f>
        <v>0</v>
      </c>
      <c r="T190" s="25">
        <f>VLOOKUP(A190,Participanti!A:C,3,0)</f>
        <v>0</v>
      </c>
      <c r="U190" s="20">
        <f t="shared" si="42"/>
        <v>3.5327380952380953</v>
      </c>
      <c r="V190" s="76">
        <v>44615</v>
      </c>
      <c r="W190" s="101">
        <f>COUNTIFS(A:A,A190,C:C,C190)</f>
        <v>1</v>
      </c>
      <c r="X190" s="74" t="str">
        <f>VLOOKUP(A190,Data_echipe!A:R,18,0)</f>
        <v>Road</v>
      </c>
      <c r="Z190" s="106">
        <f t="shared" si="32"/>
        <v>1</v>
      </c>
    </row>
    <row r="191" spans="1:26" x14ac:dyDescent="0.25">
      <c r="A191" s="61" t="s">
        <v>256</v>
      </c>
      <c r="B191" s="74" t="str">
        <f>VLOOKUP(A191,Participanti!A:B,2,0)</f>
        <v>M</v>
      </c>
      <c r="C191" s="98">
        <v>7</v>
      </c>
      <c r="D191" s="63">
        <v>20.23</v>
      </c>
      <c r="E191" s="64">
        <v>7.2372685185185193E-2</v>
      </c>
      <c r="F191" s="64">
        <v>7.5416666666666674E-2</v>
      </c>
      <c r="G191" s="90">
        <f t="shared" si="38"/>
        <v>7.389467592592594E-2</v>
      </c>
      <c r="H191" s="65">
        <v>15</v>
      </c>
      <c r="I191" s="13">
        <f t="shared" si="39"/>
        <v>3.6527274308416182E-3</v>
      </c>
      <c r="J191" s="84">
        <f t="shared" si="40"/>
        <v>4.8166666666666664</v>
      </c>
      <c r="K191" s="84">
        <f>IF(J191=0,0,IF(B191="F",VLOOKUP(I191,Barem!$G$2:$H$11,2,1),VLOOKUP(I191,Barem!$G$12:$H$21,2,1)))</f>
        <v>2.5</v>
      </c>
      <c r="L191" s="63">
        <v>0.5</v>
      </c>
      <c r="M191" s="62" t="str">
        <f>VLOOKUP(C191,Barem!L:R,7,0)</f>
        <v>V</v>
      </c>
      <c r="N191" s="10">
        <f t="shared" si="43"/>
        <v>0.25</v>
      </c>
      <c r="O191" s="10">
        <f t="shared" si="43"/>
        <v>0.5</v>
      </c>
      <c r="P191" s="10">
        <f t="shared" si="43"/>
        <v>0.25</v>
      </c>
      <c r="Q191" s="47">
        <f t="shared" si="41"/>
        <v>0</v>
      </c>
      <c r="R191" s="25">
        <f>IF(D191&gt;21,VLOOKUP(D191,Barem!$T$1:$U$141,2,1),0)</f>
        <v>0</v>
      </c>
      <c r="S191" s="25">
        <f>IF(D191&lt;1.609,0,IF(B191="F",VLOOKUP(I191,Barem!$X$2:$Z$13,2,1),VLOOKUP(I191,Barem!$X$14:$Z$25,2,1)))</f>
        <v>0</v>
      </c>
      <c r="T191" s="25">
        <f>VLOOKUP(A191,Participanti!A:C,3,0)</f>
        <v>0</v>
      </c>
      <c r="U191" s="20">
        <f t="shared" si="42"/>
        <v>2.5791666666666666</v>
      </c>
      <c r="V191" s="76">
        <v>44619</v>
      </c>
      <c r="W191" s="101">
        <f>COUNTIFS(A:A,A191,C:C,C191)</f>
        <v>1</v>
      </c>
      <c r="X191" s="74" t="str">
        <f>VLOOKUP(A191,Data_echipe!A:R,18,0)</f>
        <v>Road</v>
      </c>
      <c r="Z191" s="106">
        <f t="shared" si="32"/>
        <v>1</v>
      </c>
    </row>
    <row r="192" spans="1:26" x14ac:dyDescent="0.25">
      <c r="A192" s="61" t="s">
        <v>49</v>
      </c>
      <c r="B192" s="74" t="str">
        <f>VLOOKUP(A192,Participanti!A:B,2,0)</f>
        <v>M</v>
      </c>
      <c r="C192" s="98">
        <v>7</v>
      </c>
      <c r="D192" s="63">
        <v>22.01</v>
      </c>
      <c r="E192" s="64">
        <v>0.10226851851851852</v>
      </c>
      <c r="F192" s="64">
        <v>0.12118055555555556</v>
      </c>
      <c r="G192" s="90">
        <f t="shared" si="38"/>
        <v>0.11172453703703704</v>
      </c>
      <c r="H192" s="65">
        <v>514</v>
      </c>
      <c r="I192" s="13">
        <f t="shared" si="39"/>
        <v>5.0760807377118146E-3</v>
      </c>
      <c r="J192" s="84">
        <f t="shared" si="40"/>
        <v>5</v>
      </c>
      <c r="K192" s="84">
        <f>IF(J192=0,0,IF(B192="F",VLOOKUP(I192,Barem!$G$2:$H$11,2,1),VLOOKUP(I192,Barem!$G$12:$H$21,2,1)))</f>
        <v>1</v>
      </c>
      <c r="L192" s="63">
        <v>4</v>
      </c>
      <c r="M192" s="62" t="str">
        <f>VLOOKUP(C192,Barem!L:R,7,0)</f>
        <v>V</v>
      </c>
      <c r="N192" s="10">
        <f t="shared" si="43"/>
        <v>0.25</v>
      </c>
      <c r="O192" s="10">
        <f t="shared" si="43"/>
        <v>0.5</v>
      </c>
      <c r="P192" s="10">
        <f t="shared" si="43"/>
        <v>0.25</v>
      </c>
      <c r="Q192" s="47">
        <f t="shared" si="41"/>
        <v>0.34266666666666667</v>
      </c>
      <c r="R192" s="25">
        <f>IF(D192&gt;21,VLOOKUP(D192,Barem!$T$1:$U$141,2,1),0)</f>
        <v>0</v>
      </c>
      <c r="S192" s="25">
        <f>IF(D192&lt;1.609,0,IF(B192="F",VLOOKUP(I192,Barem!$X$2:$Z$13,2,1),VLOOKUP(I192,Barem!$X$14:$Z$25,2,1)))</f>
        <v>0</v>
      </c>
      <c r="T192" s="25">
        <f>VLOOKUP(A192,Participanti!A:C,3,0)</f>
        <v>0.4</v>
      </c>
      <c r="U192" s="20">
        <f t="shared" si="42"/>
        <v>3.4926666666666666</v>
      </c>
      <c r="V192" s="76">
        <v>44619</v>
      </c>
      <c r="W192" s="101">
        <f>COUNTIFS(A:A,A192,C:C,C192)</f>
        <v>1</v>
      </c>
      <c r="X192" s="74" t="str">
        <f>VLOOKUP(A192,Data_echipe!A:R,18,0)</f>
        <v>Road</v>
      </c>
      <c r="Z192" s="106">
        <f t="shared" si="32"/>
        <v>1</v>
      </c>
    </row>
    <row r="193" spans="1:26" x14ac:dyDescent="0.25">
      <c r="A193" s="61" t="s">
        <v>142</v>
      </c>
      <c r="B193" s="74" t="str">
        <f>VLOOKUP(A193,Participanti!A:B,2,0)</f>
        <v>F</v>
      </c>
      <c r="C193" s="98">
        <v>7</v>
      </c>
      <c r="D193" s="63">
        <v>10.02</v>
      </c>
      <c r="E193" s="64">
        <v>4.0474537037037038E-2</v>
      </c>
      <c r="F193" s="64">
        <v>4.7962962962962964E-2</v>
      </c>
      <c r="G193" s="90">
        <f t="shared" si="38"/>
        <v>4.4218750000000001E-2</v>
      </c>
      <c r="H193" s="65">
        <v>123</v>
      </c>
      <c r="I193" s="13">
        <f t="shared" si="39"/>
        <v>4.4130489021956092E-3</v>
      </c>
      <c r="J193" s="84">
        <f t="shared" si="40"/>
        <v>2.5049999999999999</v>
      </c>
      <c r="K193" s="84">
        <f>IF(J193=0,0,IF(B193="F",VLOOKUP(I193,Barem!$G$2:$H$11,2,1),VLOOKUP(I193,Barem!$G$12:$H$21,2,1)))</f>
        <v>1.5</v>
      </c>
      <c r="L193" s="63">
        <v>2.5</v>
      </c>
      <c r="M193" s="62" t="str">
        <f>VLOOKUP(C193,Barem!L:R,7,0)</f>
        <v>V</v>
      </c>
      <c r="N193" s="10">
        <f t="shared" si="43"/>
        <v>0.25</v>
      </c>
      <c r="O193" s="10">
        <f t="shared" si="43"/>
        <v>0.5</v>
      </c>
      <c r="P193" s="10">
        <f t="shared" si="43"/>
        <v>0.25</v>
      </c>
      <c r="Q193" s="47">
        <f t="shared" si="41"/>
        <v>8.2000000000000003E-2</v>
      </c>
      <c r="R193" s="25">
        <f>IF(D193&gt;21,VLOOKUP(D193,Barem!$T$1:$U$141,2,1),0)</f>
        <v>0</v>
      </c>
      <c r="S193" s="25">
        <f>IF(D193&lt;1.609,0,IF(B193="F",VLOOKUP(I193,Barem!$X$2:$Z$13,2,1),VLOOKUP(I193,Barem!$X$14:$Z$25,2,1)))</f>
        <v>0</v>
      </c>
      <c r="T193" s="25">
        <f>VLOOKUP(A193,Participanti!A:C,3,0)</f>
        <v>0</v>
      </c>
      <c r="U193" s="20">
        <f t="shared" si="42"/>
        <v>2.0832499999999996</v>
      </c>
      <c r="V193" s="76">
        <v>44614</v>
      </c>
      <c r="W193" s="101">
        <f>COUNTIFS(A:A,A193,C:C,C193)</f>
        <v>1</v>
      </c>
      <c r="X193" s="74" t="str">
        <f>VLOOKUP(A193,Data_echipe!A:R,18,0)</f>
        <v>Trail</v>
      </c>
      <c r="Z193" s="106">
        <f t="shared" si="32"/>
        <v>1</v>
      </c>
    </row>
    <row r="194" spans="1:26" x14ac:dyDescent="0.25">
      <c r="A194" s="61" t="s">
        <v>57</v>
      </c>
      <c r="B194" s="74" t="str">
        <f>VLOOKUP(A194,Participanti!A:B,2,0)</f>
        <v>M</v>
      </c>
      <c r="C194" s="98">
        <v>7</v>
      </c>
      <c r="D194" s="63">
        <v>3.02</v>
      </c>
      <c r="E194" s="64">
        <v>9.0740740740740729E-3</v>
      </c>
      <c r="F194" s="64">
        <v>9.0740740740740729E-3</v>
      </c>
      <c r="G194" s="90">
        <f t="shared" si="38"/>
        <v>9.0740740740740729E-3</v>
      </c>
      <c r="H194" s="65">
        <v>10</v>
      </c>
      <c r="I194" s="13">
        <f t="shared" si="39"/>
        <v>3.0046602894285008E-3</v>
      </c>
      <c r="J194" s="84">
        <f t="shared" si="40"/>
        <v>0.71904761904761905</v>
      </c>
      <c r="K194" s="84">
        <f>IF(J194=0,0,IF(B194="F",VLOOKUP(I194,Barem!$G$2:$H$11,2,1),VLOOKUP(I194,Barem!$G$12:$H$21,2,1)))</f>
        <v>4</v>
      </c>
      <c r="L194" s="63">
        <v>3.5</v>
      </c>
      <c r="M194" s="62" t="str">
        <f>VLOOKUP(C194,Barem!L:R,7,0)</f>
        <v>V</v>
      </c>
      <c r="N194" s="10">
        <f t="shared" si="43"/>
        <v>0.25</v>
      </c>
      <c r="O194" s="10">
        <f t="shared" si="43"/>
        <v>0.5</v>
      </c>
      <c r="P194" s="10">
        <f t="shared" si="43"/>
        <v>0.25</v>
      </c>
      <c r="Q194" s="47">
        <f t="shared" si="41"/>
        <v>0</v>
      </c>
      <c r="R194" s="25">
        <f>IF(D194&gt;21,VLOOKUP(D194,Barem!$T$1:$U$141,2,1),0)</f>
        <v>0</v>
      </c>
      <c r="S194" s="25">
        <f>IF(D194&lt;1.609,0,IF(B194="F",VLOOKUP(I194,Barem!$X$2:$Z$13,2,1),VLOOKUP(I194,Barem!$X$14:$Z$25,2,1)))</f>
        <v>0</v>
      </c>
      <c r="T194" s="25">
        <f>VLOOKUP(A194,Participanti!A:C,3,0)</f>
        <v>0</v>
      </c>
      <c r="U194" s="20">
        <f t="shared" si="42"/>
        <v>3.0547619047619046</v>
      </c>
      <c r="V194" s="76">
        <v>44619</v>
      </c>
      <c r="W194" s="101">
        <f>COUNTIFS(A:A,A194,C:C,C194)</f>
        <v>1</v>
      </c>
      <c r="X194" s="74" t="str">
        <f>VLOOKUP(A194,Data_echipe!A:R,18,0)</f>
        <v>Trail</v>
      </c>
      <c r="Z194" s="106">
        <f t="shared" si="32"/>
        <v>1</v>
      </c>
    </row>
    <row r="195" spans="1:26" x14ac:dyDescent="0.25">
      <c r="A195" s="61" t="s">
        <v>143</v>
      </c>
      <c r="B195" s="74" t="str">
        <f>VLOOKUP(A195,Participanti!A:B,2,0)</f>
        <v>M</v>
      </c>
      <c r="C195" s="98">
        <v>7</v>
      </c>
      <c r="D195" s="63">
        <v>15.67</v>
      </c>
      <c r="E195" s="64">
        <v>5.6736111111111105E-2</v>
      </c>
      <c r="F195" s="64">
        <v>5.9513888888888887E-2</v>
      </c>
      <c r="G195" s="90">
        <f t="shared" si="38"/>
        <v>5.8124999999999996E-2</v>
      </c>
      <c r="H195" s="65">
        <v>28</v>
      </c>
      <c r="I195" s="13">
        <f t="shared" si="39"/>
        <v>3.7093171665603061E-3</v>
      </c>
      <c r="J195" s="84">
        <f t="shared" si="40"/>
        <v>3.7309523809523806</v>
      </c>
      <c r="K195" s="84">
        <f>IF(J195=0,0,IF(B195="F",VLOOKUP(I195,Barem!$G$2:$H$11,2,1),VLOOKUP(I195,Barem!$G$12:$H$21,2,1)))</f>
        <v>2</v>
      </c>
      <c r="L195" s="63">
        <v>0.5</v>
      </c>
      <c r="M195" s="62" t="str">
        <f>VLOOKUP(C195,Barem!L:R,7,0)</f>
        <v>V</v>
      </c>
      <c r="N195" s="10">
        <f t="shared" si="43"/>
        <v>0.25</v>
      </c>
      <c r="O195" s="10">
        <f t="shared" si="43"/>
        <v>0.5</v>
      </c>
      <c r="P195" s="10">
        <f t="shared" si="43"/>
        <v>0.25</v>
      </c>
      <c r="Q195" s="47">
        <f t="shared" si="41"/>
        <v>0</v>
      </c>
      <c r="R195" s="25">
        <f>IF(D195&gt;21,VLOOKUP(D195,Barem!$T$1:$U$141,2,1),0)</f>
        <v>0</v>
      </c>
      <c r="S195" s="25">
        <f>IF(D195&lt;1.609,0,IF(B195="F",VLOOKUP(I195,Barem!$X$2:$Z$13,2,1),VLOOKUP(I195,Barem!$X$14:$Z$25,2,1)))</f>
        <v>0</v>
      </c>
      <c r="T195" s="25">
        <f>VLOOKUP(A195,Participanti!A:C,3,0)</f>
        <v>0</v>
      </c>
      <c r="U195" s="20">
        <f t="shared" si="42"/>
        <v>2.0577380952380953</v>
      </c>
      <c r="V195" s="76">
        <v>44615</v>
      </c>
      <c r="W195" s="101">
        <f>COUNTIFS(A:A,A195,C:C,C195)</f>
        <v>1</v>
      </c>
      <c r="X195" s="74" t="str">
        <f>VLOOKUP(A195,Data_echipe!A:R,18,0)</f>
        <v>Road</v>
      </c>
      <c r="Z195" s="106">
        <f t="shared" ref="Z195:Z258" si="44">IF(K195&gt;0,1,0)</f>
        <v>1</v>
      </c>
    </row>
    <row r="196" spans="1:26" x14ac:dyDescent="0.25">
      <c r="A196" s="61" t="s">
        <v>116</v>
      </c>
      <c r="B196" s="74" t="str">
        <f>VLOOKUP(A196,Participanti!A:B,2,0)</f>
        <v>M</v>
      </c>
      <c r="C196" s="98">
        <v>7</v>
      </c>
      <c r="D196" s="63">
        <v>10.01</v>
      </c>
      <c r="E196" s="64">
        <v>3.7569444444444447E-2</v>
      </c>
      <c r="F196" s="64">
        <v>3.7662037037037036E-2</v>
      </c>
      <c r="G196" s="90">
        <f t="shared" si="38"/>
        <v>3.7615740740740741E-2</v>
      </c>
      <c r="H196" s="65">
        <v>19</v>
      </c>
      <c r="I196" s="13">
        <f t="shared" si="39"/>
        <v>3.7578162578162581E-3</v>
      </c>
      <c r="J196" s="84">
        <f t="shared" si="40"/>
        <v>2.3833333333333333</v>
      </c>
      <c r="K196" s="84">
        <f>IF(J196=0,0,IF(B196="F",VLOOKUP(I196,Barem!$G$2:$H$11,2,1),VLOOKUP(I196,Barem!$G$12:$H$21,2,1)))</f>
        <v>2</v>
      </c>
      <c r="L196" s="63">
        <v>2</v>
      </c>
      <c r="M196" s="62" t="str">
        <f>VLOOKUP(C196,Barem!L:R,7,0)</f>
        <v>V</v>
      </c>
      <c r="N196" s="10">
        <f t="shared" si="43"/>
        <v>0.25</v>
      </c>
      <c r="O196" s="10">
        <f t="shared" si="43"/>
        <v>0.5</v>
      </c>
      <c r="P196" s="10">
        <f t="shared" si="43"/>
        <v>0.25</v>
      </c>
      <c r="Q196" s="47">
        <f t="shared" si="41"/>
        <v>0</v>
      </c>
      <c r="R196" s="25">
        <f>IF(D196&gt;21,VLOOKUP(D196,Barem!$T$1:$U$141,2,1),0)</f>
        <v>0</v>
      </c>
      <c r="S196" s="25">
        <f>IF(D196&lt;1.609,0,IF(B196="F",VLOOKUP(I196,Barem!$X$2:$Z$13,2,1),VLOOKUP(I196,Barem!$X$14:$Z$25,2,1)))</f>
        <v>0</v>
      </c>
      <c r="T196" s="25">
        <f>VLOOKUP(A196,Participanti!A:C,3,0)</f>
        <v>0</v>
      </c>
      <c r="U196" s="20">
        <f t="shared" si="42"/>
        <v>2.0958333333333332</v>
      </c>
      <c r="V196" s="76">
        <v>44618</v>
      </c>
      <c r="W196" s="101">
        <f>COUNTIFS(A:A,A196,C:C,C196)</f>
        <v>1</v>
      </c>
      <c r="X196" s="74" t="str">
        <f>VLOOKUP(A196,Data_echipe!A:R,18,0)</f>
        <v>Trail</v>
      </c>
      <c r="Z196" s="106">
        <f t="shared" si="44"/>
        <v>1</v>
      </c>
    </row>
    <row r="197" spans="1:26" x14ac:dyDescent="0.25">
      <c r="A197" s="61" t="s">
        <v>119</v>
      </c>
      <c r="B197" s="74" t="str">
        <f>VLOOKUP(A197,Participanti!A:B,2,0)</f>
        <v>F</v>
      </c>
      <c r="C197" s="98">
        <v>7</v>
      </c>
      <c r="D197" s="63">
        <v>3.7</v>
      </c>
      <c r="E197" s="64">
        <v>1.4699074074074074E-2</v>
      </c>
      <c r="F197" s="64">
        <v>1.6574074074074074E-2</v>
      </c>
      <c r="G197" s="90">
        <f t="shared" si="38"/>
        <v>1.5636574074074074E-2</v>
      </c>
      <c r="H197" s="65">
        <v>24</v>
      </c>
      <c r="I197" s="13">
        <f t="shared" si="39"/>
        <v>4.2261011011011009E-3</v>
      </c>
      <c r="J197" s="84">
        <f t="shared" si="40"/>
        <v>0.92500000000000004</v>
      </c>
      <c r="K197" s="84">
        <f>IF(J197=0,0,IF(B197="F",VLOOKUP(I197,Barem!$G$2:$H$11,2,1),VLOOKUP(I197,Barem!$G$12:$H$21,2,1)))</f>
        <v>1.5</v>
      </c>
      <c r="L197" s="63">
        <v>3.5</v>
      </c>
      <c r="M197" s="149" t="s">
        <v>220</v>
      </c>
      <c r="N197" s="10">
        <f t="shared" si="43"/>
        <v>0.25</v>
      </c>
      <c r="O197" s="10">
        <f t="shared" si="43"/>
        <v>0.25</v>
      </c>
      <c r="P197" s="10">
        <f t="shared" si="43"/>
        <v>0.5</v>
      </c>
      <c r="Q197" s="47">
        <f t="shared" si="41"/>
        <v>0</v>
      </c>
      <c r="R197" s="25">
        <f>IF(D197&gt;21,VLOOKUP(D197,Barem!$T$1:$U$141,2,1),0)</f>
        <v>0</v>
      </c>
      <c r="S197" s="25">
        <f>IF(D197&lt;1.609,0,IF(B197="F",VLOOKUP(I197,Barem!$X$2:$Z$13,2,1),VLOOKUP(I197,Barem!$X$14:$Z$25,2,1)))</f>
        <v>0</v>
      </c>
      <c r="T197" s="25">
        <f>VLOOKUP(A197,Participanti!A:C,3,0)</f>
        <v>0</v>
      </c>
      <c r="U197" s="20">
        <f t="shared" si="42"/>
        <v>2.3562500000000002</v>
      </c>
      <c r="V197" s="76">
        <v>44617</v>
      </c>
      <c r="W197" s="101">
        <f>COUNTIFS(A:A,A197,C:C,C197)</f>
        <v>1</v>
      </c>
      <c r="X197" s="74" t="str">
        <f>VLOOKUP(A197,Data_echipe!A:R,18,0)</f>
        <v>Trail</v>
      </c>
      <c r="Z197" s="106">
        <f t="shared" si="44"/>
        <v>1</v>
      </c>
    </row>
    <row r="198" spans="1:26" x14ac:dyDescent="0.25">
      <c r="A198" s="61" t="s">
        <v>257</v>
      </c>
      <c r="B198" s="74" t="str">
        <f>VLOOKUP(A198,Participanti!A:B,2,0)</f>
        <v>M</v>
      </c>
      <c r="C198" s="98">
        <v>7</v>
      </c>
      <c r="D198" s="63">
        <v>15.14</v>
      </c>
      <c r="E198" s="64">
        <v>8.188657407407407E-2</v>
      </c>
      <c r="F198" s="64">
        <v>8.2048611111111114E-2</v>
      </c>
      <c r="G198" s="90">
        <f t="shared" si="38"/>
        <v>8.1967592592592592E-2</v>
      </c>
      <c r="H198" s="65">
        <v>1033</v>
      </c>
      <c r="I198" s="13">
        <f t="shared" si="39"/>
        <v>5.4139757326679382E-3</v>
      </c>
      <c r="J198" s="84">
        <f t="shared" si="40"/>
        <v>3.6047619047619048</v>
      </c>
      <c r="K198" s="84">
        <f>IF(J198=0,0,IF(B198="F",VLOOKUP(I198,Barem!$G$2:$H$11,2,1),VLOOKUP(I198,Barem!$G$12:$H$21,2,1)))</f>
        <v>1</v>
      </c>
      <c r="L198" s="63">
        <v>2</v>
      </c>
      <c r="M198" s="149" t="s">
        <v>108</v>
      </c>
      <c r="N198" s="10">
        <f t="shared" si="43"/>
        <v>0.5</v>
      </c>
      <c r="O198" s="10">
        <f t="shared" si="43"/>
        <v>0.25</v>
      </c>
      <c r="P198" s="10">
        <f t="shared" si="43"/>
        <v>0.25</v>
      </c>
      <c r="Q198" s="47">
        <f t="shared" si="41"/>
        <v>0.68866666666666665</v>
      </c>
      <c r="R198" s="25">
        <f>IF(D198&gt;21,VLOOKUP(D198,Barem!$T$1:$U$141,2,1),0)</f>
        <v>0</v>
      </c>
      <c r="S198" s="25">
        <f>IF(D198&lt;1.609,0,IF(B198="F",VLOOKUP(I198,Barem!$X$2:$Z$13,2,1),VLOOKUP(I198,Barem!$X$14:$Z$25,2,1)))</f>
        <v>0</v>
      </c>
      <c r="T198" s="25">
        <f>VLOOKUP(A198,Participanti!A:C,3,0)</f>
        <v>0</v>
      </c>
      <c r="U198" s="20">
        <f t="shared" si="42"/>
        <v>3.241047619047619</v>
      </c>
      <c r="V198" s="76">
        <v>44612</v>
      </c>
      <c r="W198" s="101">
        <f>COUNTIFS(A:A,A198,C:C,C198)</f>
        <v>1</v>
      </c>
      <c r="X198" s="74" t="str">
        <f>VLOOKUP(A198,Data_echipe!A:R,18,0)</f>
        <v>Road</v>
      </c>
      <c r="Z198" s="106">
        <f t="shared" si="44"/>
        <v>1</v>
      </c>
    </row>
    <row r="199" spans="1:26" x14ac:dyDescent="0.25">
      <c r="A199" s="61" t="s">
        <v>65</v>
      </c>
      <c r="B199" s="74" t="str">
        <f>VLOOKUP(A199,Participanti!A:B,2,0)</f>
        <v>F</v>
      </c>
      <c r="C199" s="98">
        <v>7</v>
      </c>
      <c r="D199" s="63">
        <v>8.15</v>
      </c>
      <c r="E199" s="64">
        <v>4.3541666666666666E-2</v>
      </c>
      <c r="F199" s="64">
        <v>5.8090277777777775E-2</v>
      </c>
      <c r="G199" s="90">
        <f t="shared" si="38"/>
        <v>5.0815972222222221E-2</v>
      </c>
      <c r="H199" s="65">
        <v>0</v>
      </c>
      <c r="I199" s="13">
        <f t="shared" si="39"/>
        <v>6.2350886162235849E-3</v>
      </c>
      <c r="J199" s="84">
        <f t="shared" si="40"/>
        <v>2.0375000000000001</v>
      </c>
      <c r="K199" s="84">
        <f>IF(J199=0,0,IF(B199="F",VLOOKUP(I199,Barem!$G$2:$H$11,2,1),VLOOKUP(I199,Barem!$G$12:$H$21,2,1)))</f>
        <v>1</v>
      </c>
      <c r="L199" s="63">
        <v>1.5</v>
      </c>
      <c r="M199" s="62" t="str">
        <f>VLOOKUP(C199,Barem!L:R,7,0)</f>
        <v>V</v>
      </c>
      <c r="N199" s="10">
        <f t="shared" si="43"/>
        <v>0.25</v>
      </c>
      <c r="O199" s="10">
        <f t="shared" si="43"/>
        <v>0.5</v>
      </c>
      <c r="P199" s="10">
        <f t="shared" si="43"/>
        <v>0.25</v>
      </c>
      <c r="Q199" s="47">
        <f t="shared" si="41"/>
        <v>0</v>
      </c>
      <c r="R199" s="25">
        <f>IF(D199&gt;21,VLOOKUP(D199,Barem!$T$1:$U$141,2,1),0)</f>
        <v>0</v>
      </c>
      <c r="S199" s="25">
        <f>IF(D199&lt;1.609,0,IF(B199="F",VLOOKUP(I199,Barem!$X$2:$Z$13,2,1),VLOOKUP(I199,Barem!$X$14:$Z$25,2,1)))</f>
        <v>0</v>
      </c>
      <c r="T199" s="25">
        <f>VLOOKUP(A199,Participanti!A:C,3,0)</f>
        <v>0.7</v>
      </c>
      <c r="U199" s="20">
        <f t="shared" si="42"/>
        <v>2.0843749999999996</v>
      </c>
      <c r="V199" s="76">
        <v>44613</v>
      </c>
      <c r="W199" s="101">
        <f>COUNTIFS(A:A,A199,C:C,C199)</f>
        <v>1</v>
      </c>
      <c r="X199" s="74" t="str">
        <f>VLOOKUP(A199,Data_echipe!A:R,18,0)</f>
        <v>Road</v>
      </c>
      <c r="Z199" s="106">
        <f t="shared" si="44"/>
        <v>1</v>
      </c>
    </row>
    <row r="200" spans="1:26" x14ac:dyDescent="0.25">
      <c r="A200" s="61" t="s">
        <v>185</v>
      </c>
      <c r="B200" s="74" t="str">
        <f>VLOOKUP(A200,Participanti!A:B,2,0)</f>
        <v>F</v>
      </c>
      <c r="C200" s="98">
        <v>7</v>
      </c>
      <c r="D200" s="63">
        <v>7.41</v>
      </c>
      <c r="E200" s="64">
        <v>2.9814814814814811E-2</v>
      </c>
      <c r="F200" s="64">
        <v>2.9814814814814811E-2</v>
      </c>
      <c r="G200" s="90">
        <f t="shared" si="38"/>
        <v>2.9814814814814811E-2</v>
      </c>
      <c r="H200" s="65">
        <v>8</v>
      </c>
      <c r="I200" s="13">
        <f t="shared" si="39"/>
        <v>4.0235917428899882E-3</v>
      </c>
      <c r="J200" s="84">
        <f t="shared" si="40"/>
        <v>1.8525</v>
      </c>
      <c r="K200" s="84">
        <f>IF(J200=0,0,IF(B200="F",VLOOKUP(I200,Barem!$G$2:$H$11,2,1),VLOOKUP(I200,Barem!$G$12:$H$21,2,1)))</f>
        <v>2</v>
      </c>
      <c r="L200" s="63">
        <v>4</v>
      </c>
      <c r="M200" s="62" t="str">
        <f>VLOOKUP(C200,Barem!L:R,7,0)</f>
        <v>V</v>
      </c>
      <c r="N200" s="10">
        <f t="shared" si="43"/>
        <v>0.25</v>
      </c>
      <c r="O200" s="10">
        <f t="shared" si="43"/>
        <v>0.5</v>
      </c>
      <c r="P200" s="10">
        <f t="shared" si="43"/>
        <v>0.25</v>
      </c>
      <c r="Q200" s="47">
        <f t="shared" si="41"/>
        <v>0</v>
      </c>
      <c r="R200" s="25">
        <f>IF(D200&gt;21,VLOOKUP(D200,Barem!$T$1:$U$141,2,1),0)</f>
        <v>0</v>
      </c>
      <c r="S200" s="25">
        <f>IF(D200&lt;1.609,0,IF(B200="F",VLOOKUP(I200,Barem!$X$2:$Z$13,2,1),VLOOKUP(I200,Barem!$X$14:$Z$25,2,1)))</f>
        <v>0</v>
      </c>
      <c r="T200" s="25">
        <f>VLOOKUP(A200,Participanti!A:C,3,0)</f>
        <v>0</v>
      </c>
      <c r="U200" s="20">
        <f t="shared" si="42"/>
        <v>2.4631249999999998</v>
      </c>
      <c r="V200" s="76">
        <v>44619</v>
      </c>
      <c r="W200" s="101">
        <f>COUNTIFS(A:A,A200,C:C,C200)</f>
        <v>1</v>
      </c>
      <c r="X200" s="74" t="str">
        <f>VLOOKUP(A200,Data_echipe!A:R,18,0)</f>
        <v>Road</v>
      </c>
      <c r="Z200" s="106">
        <f t="shared" si="44"/>
        <v>1</v>
      </c>
    </row>
    <row r="201" spans="1:26" x14ac:dyDescent="0.25">
      <c r="A201" s="61" t="s">
        <v>215</v>
      </c>
      <c r="B201" s="74" t="str">
        <f>VLOOKUP(A201,Participanti!A:B,2,0)</f>
        <v>M</v>
      </c>
      <c r="C201" s="98">
        <v>7</v>
      </c>
      <c r="D201" s="63">
        <v>17.82</v>
      </c>
      <c r="E201" s="64">
        <v>6.6064814814814812E-2</v>
      </c>
      <c r="F201" s="64">
        <v>7.2638888888888892E-2</v>
      </c>
      <c r="G201" s="90">
        <f t="shared" si="38"/>
        <v>6.9351851851851859E-2</v>
      </c>
      <c r="H201" s="65">
        <v>65</v>
      </c>
      <c r="I201" s="13">
        <f t="shared" si="39"/>
        <v>3.8917986448850652E-3</v>
      </c>
      <c r="J201" s="84">
        <f t="shared" si="40"/>
        <v>4.2428571428571429</v>
      </c>
      <c r="K201" s="84">
        <f>IF(J201=0,0,IF(B201="F",VLOOKUP(I201,Barem!$G$2:$H$11,2,1),VLOOKUP(I201,Barem!$G$12:$H$21,2,1)))</f>
        <v>1.5</v>
      </c>
      <c r="L201" s="63">
        <v>3.25</v>
      </c>
      <c r="M201" s="62" t="str">
        <f>VLOOKUP(C201,Barem!L:R,7,0)</f>
        <v>V</v>
      </c>
      <c r="N201" s="10">
        <f t="shared" si="43"/>
        <v>0.25</v>
      </c>
      <c r="O201" s="10">
        <f t="shared" si="43"/>
        <v>0.5</v>
      </c>
      <c r="P201" s="10">
        <f t="shared" si="43"/>
        <v>0.25</v>
      </c>
      <c r="Q201" s="47">
        <f t="shared" si="41"/>
        <v>4.3333333333333335E-2</v>
      </c>
      <c r="R201" s="25">
        <f>IF(D201&gt;21,VLOOKUP(D201,Barem!$T$1:$U$141,2,1),0)</f>
        <v>0</v>
      </c>
      <c r="S201" s="25">
        <f>IF(D201&lt;1.609,0,IF(B201="F",VLOOKUP(I201,Barem!$X$2:$Z$13,2,1),VLOOKUP(I201,Barem!$X$14:$Z$25,2,1)))</f>
        <v>0</v>
      </c>
      <c r="T201" s="25">
        <f>VLOOKUP(A201,Participanti!A:C,3,0)</f>
        <v>0</v>
      </c>
      <c r="U201" s="20">
        <f t="shared" si="42"/>
        <v>2.6665476190476194</v>
      </c>
      <c r="V201" s="76">
        <v>44616</v>
      </c>
      <c r="W201" s="101">
        <f>COUNTIFS(A:A,A201,C:C,C201)</f>
        <v>1</v>
      </c>
      <c r="X201" s="74" t="str">
        <f>VLOOKUP(A201,Data_echipe!A:R,18,0)</f>
        <v>Trail</v>
      </c>
      <c r="Z201" s="106">
        <f t="shared" si="44"/>
        <v>1</v>
      </c>
    </row>
    <row r="202" spans="1:26" x14ac:dyDescent="0.25">
      <c r="A202" s="61" t="s">
        <v>102</v>
      </c>
      <c r="B202" s="74" t="str">
        <f>VLOOKUP(A202,Participanti!A:B,2,0)</f>
        <v>F</v>
      </c>
      <c r="C202" s="98">
        <v>7</v>
      </c>
      <c r="D202" s="63">
        <v>10.01</v>
      </c>
      <c r="E202" s="64">
        <v>4.0462962962962964E-2</v>
      </c>
      <c r="F202" s="64">
        <v>4.1863425925925929E-2</v>
      </c>
      <c r="G202" s="90">
        <f t="shared" si="38"/>
        <v>4.1163194444444447E-2</v>
      </c>
      <c r="H202" s="65">
        <v>13</v>
      </c>
      <c r="I202" s="13">
        <f t="shared" si="39"/>
        <v>4.1122072372072379E-3</v>
      </c>
      <c r="J202" s="84">
        <f t="shared" si="40"/>
        <v>2.5024999999999999</v>
      </c>
      <c r="K202" s="84">
        <f>IF(J202=0,0,IF(B202="F",VLOOKUP(I202,Barem!$G$2:$H$11,2,1),VLOOKUP(I202,Barem!$G$12:$H$21,2,1)))</f>
        <v>2</v>
      </c>
      <c r="L202" s="63">
        <v>2.5</v>
      </c>
      <c r="M202" s="149" t="s">
        <v>108</v>
      </c>
      <c r="N202" s="10">
        <f t="shared" si="43"/>
        <v>0.5</v>
      </c>
      <c r="O202" s="10">
        <f t="shared" si="43"/>
        <v>0.25</v>
      </c>
      <c r="P202" s="10">
        <f t="shared" si="43"/>
        <v>0.25</v>
      </c>
      <c r="Q202" s="47">
        <f t="shared" si="41"/>
        <v>0</v>
      </c>
      <c r="R202" s="25">
        <f>IF(D202&gt;21,VLOOKUP(D202,Barem!$T$1:$U$141,2,1),0)</f>
        <v>0</v>
      </c>
      <c r="S202" s="25">
        <f>IF(D202&lt;1.609,0,IF(B202="F",VLOOKUP(I202,Barem!$X$2:$Z$13,2,1),VLOOKUP(I202,Barem!$X$14:$Z$25,2,1)))</f>
        <v>0</v>
      </c>
      <c r="T202" s="25">
        <f>VLOOKUP(A202,Participanti!A:C,3,0)</f>
        <v>0</v>
      </c>
      <c r="U202" s="20">
        <f t="shared" si="42"/>
        <v>2.3762499999999998</v>
      </c>
      <c r="V202" s="76">
        <v>44619</v>
      </c>
      <c r="W202" s="101">
        <f>COUNTIFS(A:A,A202,C:C,C202)</f>
        <v>1</v>
      </c>
      <c r="X202" s="74" t="str">
        <f>VLOOKUP(A202,Data_echipe!A:R,18,0)</f>
        <v>Trail</v>
      </c>
      <c r="Z202" s="106">
        <f t="shared" si="44"/>
        <v>1</v>
      </c>
    </row>
    <row r="203" spans="1:26" x14ac:dyDescent="0.25">
      <c r="A203" s="61" t="s">
        <v>217</v>
      </c>
      <c r="B203" s="74" t="str">
        <f>VLOOKUP(A203,Participanti!A:B,2,0)</f>
        <v>M</v>
      </c>
      <c r="C203" s="98">
        <v>7</v>
      </c>
      <c r="D203" s="63">
        <v>5.37</v>
      </c>
      <c r="E203" s="64">
        <v>1.5069444444444443E-2</v>
      </c>
      <c r="F203" s="64">
        <v>1.5196759259259259E-2</v>
      </c>
      <c r="G203" s="90">
        <f t="shared" si="38"/>
        <v>1.5133101851851851E-2</v>
      </c>
      <c r="H203" s="65">
        <v>0</v>
      </c>
      <c r="I203" s="13">
        <f t="shared" si="39"/>
        <v>2.8180822815366572E-3</v>
      </c>
      <c r="J203" s="84">
        <f t="shared" si="40"/>
        <v>1.2785714285714285</v>
      </c>
      <c r="K203" s="84">
        <f>IF(J203=0,0,IF(B203="F",VLOOKUP(I203,Barem!$G$2:$H$11,2,1),VLOOKUP(I203,Barem!$G$12:$H$21,2,1)))</f>
        <v>4.5</v>
      </c>
      <c r="L203" s="63">
        <v>2</v>
      </c>
      <c r="M203" s="62" t="str">
        <f>VLOOKUP(C203,Barem!L:R,7,0)</f>
        <v>V</v>
      </c>
      <c r="N203" s="10">
        <f t="shared" si="43"/>
        <v>0.25</v>
      </c>
      <c r="O203" s="10">
        <f t="shared" si="43"/>
        <v>0.5</v>
      </c>
      <c r="P203" s="10">
        <f t="shared" si="43"/>
        <v>0.25</v>
      </c>
      <c r="Q203" s="47">
        <f t="shared" si="41"/>
        <v>0</v>
      </c>
      <c r="R203" s="25">
        <f>IF(D203&gt;21,VLOOKUP(D203,Barem!$T$1:$U$141,2,1),0)</f>
        <v>0</v>
      </c>
      <c r="S203" s="25">
        <f>IF(D203&lt;1.609,0,IF(B203="F",VLOOKUP(I203,Barem!$X$2:$Z$13,2,1),VLOOKUP(I203,Barem!$X$14:$Z$25,2,1)))</f>
        <v>0</v>
      </c>
      <c r="T203" s="25">
        <f>VLOOKUP(A203,Participanti!A:C,3,0)</f>
        <v>0</v>
      </c>
      <c r="U203" s="20">
        <f t="shared" si="42"/>
        <v>3.0696428571428571</v>
      </c>
      <c r="V203" s="76">
        <v>44616</v>
      </c>
      <c r="W203" s="101">
        <f>COUNTIFS(A:A,A203,C:C,C203)</f>
        <v>1</v>
      </c>
      <c r="X203" s="74" t="e">
        <f>VLOOKUP(A203,Data_echipe!A:R,18,0)</f>
        <v>#N/A</v>
      </c>
      <c r="Z203" s="106">
        <f t="shared" si="44"/>
        <v>1</v>
      </c>
    </row>
    <row r="204" spans="1:26" x14ac:dyDescent="0.25">
      <c r="A204" s="61" t="s">
        <v>222</v>
      </c>
      <c r="B204" s="74" t="str">
        <f>VLOOKUP(A204,Participanti!A:B,2,0)</f>
        <v>F</v>
      </c>
      <c r="C204" s="98">
        <v>7</v>
      </c>
      <c r="D204" s="63">
        <v>5.03</v>
      </c>
      <c r="E204" s="64">
        <v>1.8622685185185183E-2</v>
      </c>
      <c r="F204" s="64">
        <v>2.2569444444444444E-2</v>
      </c>
      <c r="G204" s="90">
        <f t="shared" si="38"/>
        <v>2.0596064814814814E-2</v>
      </c>
      <c r="H204" s="65">
        <v>0</v>
      </c>
      <c r="I204" s="13">
        <f t="shared" si="39"/>
        <v>4.0946450924085115E-3</v>
      </c>
      <c r="J204" s="84">
        <f t="shared" si="40"/>
        <v>1.2575000000000001</v>
      </c>
      <c r="K204" s="84">
        <f>IF(J204=0,0,IF(B204="F",VLOOKUP(I204,Barem!$G$2:$H$11,2,1),VLOOKUP(I204,Barem!$G$12:$H$21,2,1)))</f>
        <v>2</v>
      </c>
      <c r="L204" s="63">
        <v>2</v>
      </c>
      <c r="M204" s="62" t="str">
        <f>VLOOKUP(C204,Barem!L:R,7,0)</f>
        <v>V</v>
      </c>
      <c r="N204" s="10">
        <f t="shared" si="43"/>
        <v>0.25</v>
      </c>
      <c r="O204" s="10">
        <f t="shared" si="43"/>
        <v>0.5</v>
      </c>
      <c r="P204" s="10">
        <f t="shared" si="43"/>
        <v>0.25</v>
      </c>
      <c r="Q204" s="47">
        <f t="shared" si="41"/>
        <v>0</v>
      </c>
      <c r="R204" s="25">
        <f>IF(D204&gt;21,VLOOKUP(D204,Barem!$T$1:$U$141,2,1),0)</f>
        <v>0</v>
      </c>
      <c r="S204" s="25">
        <f>IF(D204&lt;1.609,0,IF(B204="F",VLOOKUP(I204,Barem!$X$2:$Z$13,2,1),VLOOKUP(I204,Barem!$X$14:$Z$25,2,1)))</f>
        <v>0</v>
      </c>
      <c r="T204" s="25">
        <f>VLOOKUP(A204,Participanti!A:C,3,0)</f>
        <v>0</v>
      </c>
      <c r="U204" s="20">
        <f t="shared" si="42"/>
        <v>1.8143750000000001</v>
      </c>
      <c r="V204" s="76">
        <v>44613</v>
      </c>
      <c r="W204" s="101">
        <f>COUNTIFS(A:A,A204,C:C,C204)</f>
        <v>1</v>
      </c>
      <c r="X204" s="74" t="e">
        <f>VLOOKUP(A204,Data_echipe!A:R,18,0)</f>
        <v>#N/A</v>
      </c>
      <c r="Z204" s="106">
        <f t="shared" si="44"/>
        <v>1</v>
      </c>
    </row>
    <row r="205" spans="1:26" x14ac:dyDescent="0.25">
      <c r="A205" s="61" t="s">
        <v>179</v>
      </c>
      <c r="B205" s="74" t="str">
        <f>VLOOKUP(A205,Participanti!A:B,2,0)</f>
        <v>F</v>
      </c>
      <c r="C205" s="98">
        <v>7</v>
      </c>
      <c r="D205" s="63">
        <v>12</v>
      </c>
      <c r="E205" s="64">
        <v>4.7997685185185185E-2</v>
      </c>
      <c r="F205" s="64">
        <v>5.230324074074074E-2</v>
      </c>
      <c r="G205" s="90">
        <f t="shared" si="38"/>
        <v>5.0150462962962966E-2</v>
      </c>
      <c r="H205" s="65">
        <v>6</v>
      </c>
      <c r="I205" s="13">
        <f t="shared" si="39"/>
        <v>4.1792052469135808E-3</v>
      </c>
      <c r="J205" s="84">
        <f t="shared" si="40"/>
        <v>3</v>
      </c>
      <c r="K205" s="84">
        <f>IF(J205=0,0,IF(B205="F",VLOOKUP(I205,Barem!$G$2:$H$11,2,1),VLOOKUP(I205,Barem!$G$12:$H$21,2,1)))</f>
        <v>1.5</v>
      </c>
      <c r="L205" s="63">
        <v>2</v>
      </c>
      <c r="M205" s="62" t="str">
        <f>VLOOKUP(C205,Barem!L:R,7,0)</f>
        <v>V</v>
      </c>
      <c r="N205" s="10">
        <f t="shared" si="43"/>
        <v>0.25</v>
      </c>
      <c r="O205" s="10">
        <f t="shared" si="43"/>
        <v>0.5</v>
      </c>
      <c r="P205" s="10">
        <f t="shared" si="43"/>
        <v>0.25</v>
      </c>
      <c r="Q205" s="47">
        <f t="shared" si="41"/>
        <v>0</v>
      </c>
      <c r="R205" s="25">
        <f>IF(D205&gt;21,VLOOKUP(D205,Barem!$T$1:$U$141,2,1),0)</f>
        <v>0</v>
      </c>
      <c r="S205" s="25">
        <f>IF(D205&lt;1.609,0,IF(B205="F",VLOOKUP(I205,Barem!$X$2:$Z$13,2,1),VLOOKUP(I205,Barem!$X$14:$Z$25,2,1)))</f>
        <v>0</v>
      </c>
      <c r="T205" s="25">
        <f>VLOOKUP(A205,Participanti!A:C,3,0)</f>
        <v>0</v>
      </c>
      <c r="U205" s="20">
        <f t="shared" si="42"/>
        <v>2</v>
      </c>
      <c r="V205" s="76">
        <v>44618</v>
      </c>
      <c r="W205" s="101">
        <f>COUNTIFS(A:A,A205,C:C,C205)</f>
        <v>1</v>
      </c>
      <c r="X205" s="74" t="str">
        <f>VLOOKUP(A205,Data_echipe!A:R,18,0)</f>
        <v>Trail</v>
      </c>
      <c r="Z205" s="106">
        <f t="shared" si="44"/>
        <v>1</v>
      </c>
    </row>
    <row r="206" spans="1:26" x14ac:dyDescent="0.25">
      <c r="A206" s="61" t="s">
        <v>48</v>
      </c>
      <c r="B206" s="74" t="str">
        <f>VLOOKUP(A206,Participanti!A:B,2,0)</f>
        <v>M</v>
      </c>
      <c r="C206" s="98">
        <v>7</v>
      </c>
      <c r="D206" s="63">
        <v>13.16</v>
      </c>
      <c r="E206" s="64">
        <v>4.5462962962962962E-2</v>
      </c>
      <c r="F206" s="64">
        <v>4.597222222222222E-2</v>
      </c>
      <c r="G206" s="90">
        <f t="shared" si="38"/>
        <v>4.5717592592592587E-2</v>
      </c>
      <c r="H206" s="65">
        <v>36</v>
      </c>
      <c r="I206" s="13">
        <f t="shared" si="39"/>
        <v>3.4739812000450293E-3</v>
      </c>
      <c r="J206" s="84">
        <f t="shared" si="40"/>
        <v>3.1333333333333333</v>
      </c>
      <c r="K206" s="84">
        <f>IF(J206=0,0,IF(B206="F",VLOOKUP(I206,Barem!$G$2:$H$11,2,1),VLOOKUP(I206,Barem!$G$12:$H$21,2,1)))</f>
        <v>3</v>
      </c>
      <c r="L206" s="63">
        <v>1.5</v>
      </c>
      <c r="M206" s="62" t="str">
        <f>VLOOKUP(C206,Barem!L:R,7,0)</f>
        <v>V</v>
      </c>
      <c r="N206" s="10">
        <f t="shared" si="43"/>
        <v>0.25</v>
      </c>
      <c r="O206" s="10">
        <f t="shared" si="43"/>
        <v>0.5</v>
      </c>
      <c r="P206" s="10">
        <f t="shared" si="43"/>
        <v>0.25</v>
      </c>
      <c r="Q206" s="47">
        <f t="shared" si="41"/>
        <v>0</v>
      </c>
      <c r="R206" s="25">
        <f>IF(D206&gt;21,VLOOKUP(D206,Barem!$T$1:$U$141,2,1),0)</f>
        <v>0</v>
      </c>
      <c r="S206" s="25">
        <f>IF(D206&lt;1.609,0,IF(B206="F",VLOOKUP(I206,Barem!$X$2:$Z$13,2,1),VLOOKUP(I206,Barem!$X$14:$Z$25,2,1)))</f>
        <v>0</v>
      </c>
      <c r="T206" s="25">
        <f>VLOOKUP(A206,Participanti!A:C,3,0)</f>
        <v>0</v>
      </c>
      <c r="U206" s="20">
        <f t="shared" si="42"/>
        <v>2.6583333333333332</v>
      </c>
      <c r="V206" s="76">
        <v>44613</v>
      </c>
      <c r="W206" s="101">
        <f>COUNTIFS(A:A,A206,C:C,C206)</f>
        <v>1</v>
      </c>
      <c r="X206" s="74" t="str">
        <f>VLOOKUP(A206,Data_echipe!A:R,18,0)</f>
        <v>Road</v>
      </c>
      <c r="Z206" s="106">
        <f t="shared" si="44"/>
        <v>1</v>
      </c>
    </row>
    <row r="207" spans="1:26" x14ac:dyDescent="0.25">
      <c r="A207" s="61" t="s">
        <v>138</v>
      </c>
      <c r="B207" s="74" t="str">
        <f>VLOOKUP(A207,Participanti!A:B,2,0)</f>
        <v>F</v>
      </c>
      <c r="C207" s="98">
        <v>7</v>
      </c>
      <c r="D207" s="63">
        <v>10.32</v>
      </c>
      <c r="E207" s="64">
        <v>4.4548611111111108E-2</v>
      </c>
      <c r="F207" s="64">
        <v>4.5150462962962962E-2</v>
      </c>
      <c r="G207" s="90">
        <f t="shared" si="38"/>
        <v>4.4849537037037035E-2</v>
      </c>
      <c r="H207" s="65">
        <v>116</v>
      </c>
      <c r="I207" s="13">
        <f t="shared" si="39"/>
        <v>4.345885371805914E-3</v>
      </c>
      <c r="J207" s="84">
        <f t="shared" si="40"/>
        <v>2.58</v>
      </c>
      <c r="K207" s="84">
        <f>IF(J207=0,0,IF(B207="F",VLOOKUP(I207,Barem!$G$2:$H$11,2,1),VLOOKUP(I207,Barem!$G$12:$H$21,2,1)))</f>
        <v>1.5</v>
      </c>
      <c r="L207" s="63">
        <v>2</v>
      </c>
      <c r="M207" s="62" t="str">
        <f>VLOOKUP(C207,Barem!L:R,7,0)</f>
        <v>V</v>
      </c>
      <c r="N207" s="10">
        <f t="shared" si="43"/>
        <v>0.25</v>
      </c>
      <c r="O207" s="10">
        <f t="shared" si="43"/>
        <v>0.5</v>
      </c>
      <c r="P207" s="10">
        <f t="shared" si="43"/>
        <v>0.25</v>
      </c>
      <c r="Q207" s="47">
        <f t="shared" si="41"/>
        <v>7.7333333333333337E-2</v>
      </c>
      <c r="R207" s="25">
        <f>IF(D207&gt;21,VLOOKUP(D207,Barem!$T$1:$U$141,2,1),0)</f>
        <v>0</v>
      </c>
      <c r="S207" s="25">
        <f>IF(D207&lt;1.609,0,IF(B207="F",VLOOKUP(I207,Barem!$X$2:$Z$13,2,1),VLOOKUP(I207,Barem!$X$14:$Z$25,2,1)))</f>
        <v>0</v>
      </c>
      <c r="T207" s="25">
        <f>VLOOKUP(A207,Participanti!A:C,3,0)</f>
        <v>0</v>
      </c>
      <c r="U207" s="20">
        <f t="shared" si="42"/>
        <v>1.9723333333333333</v>
      </c>
      <c r="V207" s="76">
        <v>44616</v>
      </c>
      <c r="W207" s="101">
        <f>COUNTIFS(A:A,A207,C:C,C207)</f>
        <v>1</v>
      </c>
      <c r="X207" s="74" t="str">
        <f>VLOOKUP(A207,Data_echipe!A:R,18,0)</f>
        <v>Road</v>
      </c>
      <c r="Z207" s="106">
        <f t="shared" si="44"/>
        <v>1</v>
      </c>
    </row>
    <row r="208" spans="1:26" s="146" customFormat="1" ht="12.6" thickBot="1" x14ac:dyDescent="0.3">
      <c r="A208" s="130" t="s">
        <v>273</v>
      </c>
      <c r="B208" s="131" t="str">
        <f>VLOOKUP(A208,Participanti!A:B,2,0)</f>
        <v>F</v>
      </c>
      <c r="C208" s="132">
        <v>7</v>
      </c>
      <c r="D208" s="133">
        <v>6</v>
      </c>
      <c r="E208" s="134">
        <v>2.4305555555555556E-2</v>
      </c>
      <c r="F208" s="134">
        <v>2.4432870370370369E-2</v>
      </c>
      <c r="G208" s="135">
        <f t="shared" si="38"/>
        <v>2.4369212962962961E-2</v>
      </c>
      <c r="H208" s="136">
        <v>9</v>
      </c>
      <c r="I208" s="137">
        <f t="shared" si="39"/>
        <v>4.0615354938271604E-3</v>
      </c>
      <c r="J208" s="138">
        <f t="shared" si="40"/>
        <v>1.5</v>
      </c>
      <c r="K208" s="138">
        <f>IF(J208=0,0,IF(B208="F",VLOOKUP(I208,Barem!$G$2:$H$11,2,1),VLOOKUP(I208,Barem!$G$12:$H$21,2,1)))</f>
        <v>2</v>
      </c>
      <c r="L208" s="133">
        <v>0.5</v>
      </c>
      <c r="M208" s="139" t="str">
        <f>VLOOKUP(C208,Barem!L:R,7,0)</f>
        <v>V</v>
      </c>
      <c r="N208" s="140">
        <f t="shared" si="43"/>
        <v>0.25</v>
      </c>
      <c r="O208" s="140">
        <f t="shared" si="43"/>
        <v>0.5</v>
      </c>
      <c r="P208" s="140">
        <f t="shared" si="43"/>
        <v>0.25</v>
      </c>
      <c r="Q208" s="141">
        <f t="shared" si="41"/>
        <v>0</v>
      </c>
      <c r="R208" s="142">
        <f>IF(D208&gt;21,VLOOKUP(D208,Barem!$T$1:$U$141,2,1),0)</f>
        <v>0</v>
      </c>
      <c r="S208" s="142">
        <f>IF(D208&lt;1.609,0,IF(B208="F",VLOOKUP(I208,Barem!$X$2:$Z$13,2,1),VLOOKUP(I208,Barem!$X$14:$Z$25,2,1)))</f>
        <v>0</v>
      </c>
      <c r="T208" s="142">
        <f>VLOOKUP(A208,Participanti!A:C,3,0)</f>
        <v>0</v>
      </c>
      <c r="U208" s="143">
        <f t="shared" si="42"/>
        <v>1.5</v>
      </c>
      <c r="V208" s="144">
        <v>44614</v>
      </c>
      <c r="W208" s="145">
        <f>COUNTIFS(A:A,A208,C:C,C208)</f>
        <v>1</v>
      </c>
      <c r="X208" s="131" t="e">
        <f>VLOOKUP(A208,Data_echipe!A:R,18,0)</f>
        <v>#N/A</v>
      </c>
      <c r="Z208" s="106">
        <f t="shared" si="44"/>
        <v>1</v>
      </c>
    </row>
    <row r="209" spans="1:26" x14ac:dyDescent="0.25">
      <c r="A209" s="61" t="s">
        <v>218</v>
      </c>
      <c r="B209" s="74" t="str">
        <f>VLOOKUP(A209,Participanti!A:B,2,0)</f>
        <v>M</v>
      </c>
      <c r="C209" s="98">
        <v>8</v>
      </c>
      <c r="D209" s="63">
        <v>34.01</v>
      </c>
      <c r="E209" s="64">
        <v>9.5879629629629634E-2</v>
      </c>
      <c r="F209" s="64">
        <v>9.5879629629629634E-2</v>
      </c>
      <c r="G209" s="90">
        <f>AVERAGE(E209:F209)</f>
        <v>9.5879629629629634E-2</v>
      </c>
      <c r="H209" s="65">
        <v>337</v>
      </c>
      <c r="I209" s="13">
        <f>G209/D209</f>
        <v>2.8191599420649702E-3</v>
      </c>
      <c r="J209" s="84">
        <f>IF(B209="F",IF(D209&lt;2.5,0,IF(D209&gt;19.99,5,D209/4)),IF(D209&lt;3,0, IF(D209&gt;20.99,5,D209/4.2)))</f>
        <v>5</v>
      </c>
      <c r="K209" s="84">
        <f>IF(J209=0,0,IF(B209="F",VLOOKUP(I209,Barem!$G$2:$H$11,2,1),VLOOKUP(I209,Barem!$G$12:$H$21,2,1)))</f>
        <v>4.5</v>
      </c>
      <c r="L209" s="63">
        <v>3</v>
      </c>
      <c r="M209" s="149" t="s">
        <v>108</v>
      </c>
      <c r="N209" s="10">
        <f t="shared" si="43"/>
        <v>0.5</v>
      </c>
      <c r="O209" s="10">
        <f t="shared" si="43"/>
        <v>0.25</v>
      </c>
      <c r="P209" s="10">
        <f t="shared" si="43"/>
        <v>0.25</v>
      </c>
      <c r="Q209" s="47">
        <f>IF(H209&gt;49,H209/1500,0)</f>
        <v>0.22466666666666665</v>
      </c>
      <c r="R209" s="25">
        <f>IF(D209&gt;21,VLOOKUP(D209,Barem!$T$1:$U$141,2,1),0)</f>
        <v>0.6</v>
      </c>
      <c r="S209" s="25">
        <f>IF(D209&lt;1.609,0,IF(B209="F",VLOOKUP(I209,Barem!$X$2:$Z$13,2,1),VLOOKUP(I209,Barem!$X$14:$Z$25,2,1)))</f>
        <v>0</v>
      </c>
      <c r="T209" s="25">
        <f>VLOOKUP(A209,Participanti!A:C,3,0)</f>
        <v>0</v>
      </c>
      <c r="U209" s="20">
        <f>IF(H209&lt;0,0,J209*N209+K209*O209+L209*P209+Q209+R209+S209+T209)</f>
        <v>5.1996666666666664</v>
      </c>
      <c r="V209" s="76">
        <v>44621</v>
      </c>
      <c r="W209" s="101">
        <f>COUNTIFS(A:A,A209,C:C,C209)</f>
        <v>1</v>
      </c>
      <c r="X209" s="74" t="str">
        <f>VLOOKUP(A209,Data_echipe!A:R,18,0)</f>
        <v>Road</v>
      </c>
      <c r="Y209" s="22" t="s">
        <v>276</v>
      </c>
      <c r="Z209" s="106">
        <f t="shared" si="44"/>
        <v>1</v>
      </c>
    </row>
    <row r="210" spans="1:26" x14ac:dyDescent="0.25">
      <c r="A210" s="61" t="s">
        <v>50</v>
      </c>
      <c r="B210" s="74" t="str">
        <f>VLOOKUP(A210,Participanti!A:B,2,0)</f>
        <v>M</v>
      </c>
      <c r="C210" s="98">
        <v>8</v>
      </c>
      <c r="D210" s="63">
        <v>19.010000000000002</v>
      </c>
      <c r="E210" s="64">
        <v>0.10332175925925925</v>
      </c>
      <c r="F210" s="64">
        <v>0.11228009259259258</v>
      </c>
      <c r="G210" s="90">
        <f t="shared" ref="G210:G238" si="45">AVERAGE(E210:F210)</f>
        <v>0.10780092592592591</v>
      </c>
      <c r="H210" s="65">
        <v>925</v>
      </c>
      <c r="I210" s="13">
        <f t="shared" ref="I210:I237" si="46">G210/D210</f>
        <v>5.6707483390807945E-3</v>
      </c>
      <c r="J210" s="84">
        <f t="shared" ref="J210:J237" si="47">IF(B210="F",IF(D210&lt;2.5,0,IF(D210&gt;19.99,5,D210/4)),IF(D210&lt;3,0, IF(D210&gt;20.99,5,D210/4.2)))</f>
        <v>4.5261904761904761</v>
      </c>
      <c r="K210" s="84">
        <f>IF(J210=0,0,IF(B210="F",VLOOKUP(I210,Barem!$G$2:$H$11,2,1),VLOOKUP(I210,Barem!$G$12:$H$21,2,1)))</f>
        <v>0</v>
      </c>
      <c r="L210" s="63">
        <v>4.5</v>
      </c>
      <c r="M210" s="62" t="str">
        <f>VLOOKUP(C210,Barem!L:R,7,0)</f>
        <v>P</v>
      </c>
      <c r="N210" s="10">
        <f t="shared" si="43"/>
        <v>0.25</v>
      </c>
      <c r="O210" s="10">
        <f t="shared" si="43"/>
        <v>0.25</v>
      </c>
      <c r="P210" s="10">
        <f t="shared" si="43"/>
        <v>0.5</v>
      </c>
      <c r="Q210" s="47">
        <f t="shared" ref="Q210:Q237" si="48">IF(H210&gt;49,H210/1500,0)</f>
        <v>0.6166666666666667</v>
      </c>
      <c r="R210" s="25">
        <f>IF(D210&gt;21,VLOOKUP(D210,Barem!$T$1:$U$141,2,1),0)</f>
        <v>0</v>
      </c>
      <c r="S210" s="25">
        <f>IF(D210&lt;1.609,0,IF(B210="F",VLOOKUP(I210,Barem!$X$2:$Z$13,2,1),VLOOKUP(I210,Barem!$X$14:$Z$25,2,1)))</f>
        <v>0</v>
      </c>
      <c r="T210" s="25">
        <f>VLOOKUP(A210,Participanti!A:C,3,0)</f>
        <v>0</v>
      </c>
      <c r="U210" s="20">
        <f t="shared" ref="U210:U237" si="49">IF(H210&lt;0,0,J210*N210+K210*O210+L210*P210+Q210+R210+S210+T210)</f>
        <v>3.9982142857142855</v>
      </c>
      <c r="V210" s="76">
        <v>44626</v>
      </c>
      <c r="W210" s="101">
        <f>COUNTIFS(A:A,A210,C:C,C210)</f>
        <v>1</v>
      </c>
      <c r="X210" s="74" t="str">
        <f>VLOOKUP(A210,Data_echipe!A:R,18,0)</f>
        <v>Trail</v>
      </c>
      <c r="Z210" s="106">
        <f t="shared" si="44"/>
        <v>0</v>
      </c>
    </row>
    <row r="211" spans="1:26" x14ac:dyDescent="0.25">
      <c r="A211" s="61" t="s">
        <v>64</v>
      </c>
      <c r="B211" s="74" t="str">
        <f>VLOOKUP(A211,Participanti!A:B,2,0)</f>
        <v>M</v>
      </c>
      <c r="C211" s="98">
        <v>8</v>
      </c>
      <c r="D211" s="63">
        <v>25.82</v>
      </c>
      <c r="E211" s="64">
        <v>0.20876157407407406</v>
      </c>
      <c r="F211" s="64">
        <v>0.28458333333333335</v>
      </c>
      <c r="G211" s="90">
        <f t="shared" si="45"/>
        <v>0.24667245370370372</v>
      </c>
      <c r="H211" s="65">
        <v>1169</v>
      </c>
      <c r="I211" s="13">
        <f t="shared" si="46"/>
        <v>9.5535419714834896E-3</v>
      </c>
      <c r="J211" s="84">
        <f t="shared" si="47"/>
        <v>5</v>
      </c>
      <c r="K211" s="84">
        <f>IF(J211=0,0,IF(B211="F",VLOOKUP(I211,Barem!$G$2:$H$11,2,1),VLOOKUP(I211,Barem!$G$12:$H$21,2,1)))</f>
        <v>0</v>
      </c>
      <c r="L211" s="63">
        <v>4.5</v>
      </c>
      <c r="M211" s="62" t="str">
        <f>VLOOKUP(C211,Barem!L:R,7,0)</f>
        <v>P</v>
      </c>
      <c r="N211" s="10">
        <f t="shared" ref="N211:P239" si="50">IF($M211=N$1,50%,25%)</f>
        <v>0.25</v>
      </c>
      <c r="O211" s="10">
        <f t="shared" si="50"/>
        <v>0.25</v>
      </c>
      <c r="P211" s="10">
        <f t="shared" si="50"/>
        <v>0.5</v>
      </c>
      <c r="Q211" s="47">
        <f t="shared" si="48"/>
        <v>0.77933333333333332</v>
      </c>
      <c r="R211" s="25">
        <f>IF(D211&gt;21,VLOOKUP(D211,Barem!$T$1:$U$141,2,1),0)</f>
        <v>0.2</v>
      </c>
      <c r="S211" s="25">
        <f>IF(D211&lt;1.609,0,IF(B211="F",VLOOKUP(I211,Barem!$X$2:$Z$13,2,1),VLOOKUP(I211,Barem!$X$14:$Z$25,2,1)))</f>
        <v>0</v>
      </c>
      <c r="T211" s="25">
        <f>VLOOKUP(A211,Participanti!A:C,3,0)</f>
        <v>0</v>
      </c>
      <c r="U211" s="20">
        <f t="shared" si="49"/>
        <v>4.4793333333333338</v>
      </c>
      <c r="V211" s="76">
        <v>44626</v>
      </c>
      <c r="W211" s="101">
        <f>COUNTIFS(A:A,A211,C:C,C211)</f>
        <v>1</v>
      </c>
      <c r="X211" s="74" t="str">
        <f>VLOOKUP(A211,Data_echipe!A:R,18,0)</f>
        <v>Trail</v>
      </c>
      <c r="Z211" s="106">
        <f t="shared" si="44"/>
        <v>0</v>
      </c>
    </row>
    <row r="212" spans="1:26" x14ac:dyDescent="0.25">
      <c r="A212" s="61" t="s">
        <v>52</v>
      </c>
      <c r="B212" s="74" t="str">
        <f>VLOOKUP(A212,Participanti!A:B,2,0)</f>
        <v>M</v>
      </c>
      <c r="C212" s="98">
        <v>8</v>
      </c>
      <c r="D212" s="63">
        <v>38.74</v>
      </c>
      <c r="E212" s="64">
        <v>0.14203703703703704</v>
      </c>
      <c r="F212" s="64">
        <v>0.14548611111111112</v>
      </c>
      <c r="G212" s="90">
        <f t="shared" si="45"/>
        <v>0.14376157407407408</v>
      </c>
      <c r="H212" s="65">
        <v>442</v>
      </c>
      <c r="I212" s="13">
        <f t="shared" si="46"/>
        <v>3.710933765463967E-3</v>
      </c>
      <c r="J212" s="84">
        <f t="shared" si="47"/>
        <v>5</v>
      </c>
      <c r="K212" s="84">
        <f>IF(J212=0,0,IF(B212="F",VLOOKUP(I212,Barem!$G$2:$H$11,2,1),VLOOKUP(I212,Barem!$G$12:$H$21,2,1)))</f>
        <v>2</v>
      </c>
      <c r="L212" s="63">
        <v>4</v>
      </c>
      <c r="M212" s="149" t="s">
        <v>108</v>
      </c>
      <c r="N212" s="10">
        <f t="shared" si="50"/>
        <v>0.5</v>
      </c>
      <c r="O212" s="10">
        <f t="shared" si="50"/>
        <v>0.25</v>
      </c>
      <c r="P212" s="10">
        <f t="shared" si="50"/>
        <v>0.25</v>
      </c>
      <c r="Q212" s="47">
        <f t="shared" si="48"/>
        <v>0.29466666666666669</v>
      </c>
      <c r="R212" s="25">
        <f>IF(D212&gt;21,VLOOKUP(D212,Barem!$T$1:$U$141,2,1),0)</f>
        <v>0.8</v>
      </c>
      <c r="S212" s="25">
        <f>IF(D212&lt;1.609,0,IF(B212="F",VLOOKUP(I212,Barem!$X$2:$Z$13,2,1),VLOOKUP(I212,Barem!$X$14:$Z$25,2,1)))</f>
        <v>0</v>
      </c>
      <c r="T212" s="25">
        <f>VLOOKUP(A212,Participanti!A:C,3,0)</f>
        <v>0</v>
      </c>
      <c r="U212" s="20">
        <f t="shared" si="49"/>
        <v>5.0946666666666669</v>
      </c>
      <c r="V212" s="76">
        <v>44625</v>
      </c>
      <c r="W212" s="101">
        <f>COUNTIFS(A:A,A212,C:C,C212)</f>
        <v>1</v>
      </c>
      <c r="X212" s="74" t="str">
        <f>VLOOKUP(A212,Data_echipe!A:R,18,0)</f>
        <v>Trail</v>
      </c>
      <c r="Z212" s="106">
        <f t="shared" si="44"/>
        <v>1</v>
      </c>
    </row>
    <row r="213" spans="1:26" x14ac:dyDescent="0.25">
      <c r="A213" s="61" t="s">
        <v>110</v>
      </c>
      <c r="B213" s="74" t="str">
        <f>VLOOKUP(A213,Participanti!A:B,2,0)</f>
        <v>M</v>
      </c>
      <c r="C213" s="98">
        <v>8</v>
      </c>
      <c r="D213" s="63">
        <v>36.5</v>
      </c>
      <c r="E213" s="64">
        <v>0.21163194444444444</v>
      </c>
      <c r="F213" s="64">
        <v>0.24119212962962963</v>
      </c>
      <c r="G213" s="90">
        <f t="shared" si="45"/>
        <v>0.22641203703703705</v>
      </c>
      <c r="H213" s="65">
        <v>1396</v>
      </c>
      <c r="I213" s="13">
        <f t="shared" si="46"/>
        <v>6.2030695078640289E-3</v>
      </c>
      <c r="J213" s="84">
        <f t="shared" si="47"/>
        <v>5</v>
      </c>
      <c r="K213" s="84">
        <f>IF(J213=0,0,IF(B213="F",VLOOKUP(I213,Barem!$G$2:$H$11,2,1),VLOOKUP(I213,Barem!$G$12:$H$21,2,1)))</f>
        <v>0</v>
      </c>
      <c r="L213" s="63">
        <v>4.25</v>
      </c>
      <c r="M213" s="149" t="s">
        <v>108</v>
      </c>
      <c r="N213" s="10">
        <f t="shared" si="50"/>
        <v>0.5</v>
      </c>
      <c r="O213" s="10">
        <f t="shared" si="50"/>
        <v>0.25</v>
      </c>
      <c r="P213" s="10">
        <f t="shared" si="50"/>
        <v>0.25</v>
      </c>
      <c r="Q213" s="47">
        <f t="shared" si="48"/>
        <v>0.93066666666666664</v>
      </c>
      <c r="R213" s="25">
        <f>IF(D213&gt;21,VLOOKUP(D213,Barem!$T$1:$U$141,2,1),0)</f>
        <v>0.7</v>
      </c>
      <c r="S213" s="25">
        <f>IF(D213&lt;1.609,0,IF(B213="F",VLOOKUP(I213,Barem!$X$2:$Z$13,2,1),VLOOKUP(I213,Barem!$X$14:$Z$25,2,1)))</f>
        <v>0</v>
      </c>
      <c r="T213" s="25">
        <f>VLOOKUP(A213,Participanti!A:C,3,0)</f>
        <v>0</v>
      </c>
      <c r="U213" s="20">
        <f t="shared" si="49"/>
        <v>5.1931666666666665</v>
      </c>
      <c r="V213" s="76">
        <v>44626</v>
      </c>
      <c r="W213" s="101">
        <f>COUNTIFS(A:A,A213,C:C,C213)</f>
        <v>1</v>
      </c>
      <c r="X213" s="74" t="str">
        <f>VLOOKUP(A213,Data_echipe!A:R,18,0)</f>
        <v>Road</v>
      </c>
      <c r="Z213" s="106">
        <f t="shared" si="44"/>
        <v>0</v>
      </c>
    </row>
    <row r="214" spans="1:26" x14ac:dyDescent="0.25">
      <c r="A214" s="61" t="s">
        <v>117</v>
      </c>
      <c r="B214" s="74" t="str">
        <f>VLOOKUP(A214,Participanti!A:B,2,0)</f>
        <v>M</v>
      </c>
      <c r="C214" s="98">
        <v>8</v>
      </c>
      <c r="D214" s="63">
        <v>21.16</v>
      </c>
      <c r="E214" s="64" t="s">
        <v>277</v>
      </c>
      <c r="F214" s="64">
        <v>8.8715277777777782E-2</v>
      </c>
      <c r="G214" s="90">
        <f t="shared" si="45"/>
        <v>8.8715277777777782E-2</v>
      </c>
      <c r="H214" s="65">
        <v>45</v>
      </c>
      <c r="I214" s="13">
        <f t="shared" si="46"/>
        <v>4.1925934677588747E-3</v>
      </c>
      <c r="J214" s="84">
        <f t="shared" si="47"/>
        <v>5</v>
      </c>
      <c r="K214" s="84">
        <f>IF(J214=0,0,IF(B214="F",VLOOKUP(I214,Barem!$G$2:$H$11,2,1),VLOOKUP(I214,Barem!$G$12:$H$21,2,1)))</f>
        <v>1</v>
      </c>
      <c r="L214" s="63">
        <v>4.5</v>
      </c>
      <c r="M214" s="62" t="str">
        <f>VLOOKUP(C214,Barem!L:R,7,0)</f>
        <v>P</v>
      </c>
      <c r="N214" s="10">
        <f t="shared" si="50"/>
        <v>0.25</v>
      </c>
      <c r="O214" s="10">
        <f t="shared" si="50"/>
        <v>0.25</v>
      </c>
      <c r="P214" s="10">
        <f t="shared" si="50"/>
        <v>0.5</v>
      </c>
      <c r="Q214" s="47">
        <f t="shared" si="48"/>
        <v>0</v>
      </c>
      <c r="R214" s="25">
        <f>IF(D214&gt;21,VLOOKUP(D214,Barem!$T$1:$U$141,2,1),0)</f>
        <v>0</v>
      </c>
      <c r="S214" s="25">
        <f>IF(D214&lt;1.609,0,IF(B214="F",VLOOKUP(I214,Barem!$X$2:$Z$13,2,1),VLOOKUP(I214,Barem!$X$14:$Z$25,2,1)))</f>
        <v>0</v>
      </c>
      <c r="T214" s="25">
        <f>VLOOKUP(A214,Participanti!A:C,3,0)</f>
        <v>0</v>
      </c>
      <c r="U214" s="20">
        <f t="shared" si="49"/>
        <v>3.75</v>
      </c>
      <c r="V214" s="76">
        <v>44622</v>
      </c>
      <c r="W214" s="101">
        <f>COUNTIFS(A:A,A214,C:C,C214)</f>
        <v>1</v>
      </c>
      <c r="X214" s="74" t="str">
        <f>VLOOKUP(A214,Data_echipe!A:R,18,0)</f>
        <v>Trail</v>
      </c>
      <c r="Z214" s="106">
        <f t="shared" si="44"/>
        <v>1</v>
      </c>
    </row>
    <row r="215" spans="1:26" x14ac:dyDescent="0.25">
      <c r="A215" s="61" t="s">
        <v>254</v>
      </c>
      <c r="B215" s="74" t="str">
        <f>VLOOKUP(A215,Participanti!A:B,2,0)</f>
        <v>M</v>
      </c>
      <c r="C215" s="98">
        <v>8</v>
      </c>
      <c r="D215" s="63">
        <v>12.5</v>
      </c>
      <c r="E215" s="64">
        <v>8.4351851851851845E-2</v>
      </c>
      <c r="F215" s="64">
        <v>8.5879629629629625E-2</v>
      </c>
      <c r="G215" s="90">
        <f t="shared" si="45"/>
        <v>8.5115740740740742E-2</v>
      </c>
      <c r="H215" s="65">
        <v>1004</v>
      </c>
      <c r="I215" s="13">
        <f t="shared" si="46"/>
        <v>6.8092592592592597E-3</v>
      </c>
      <c r="J215" s="84">
        <f t="shared" si="47"/>
        <v>2.9761904761904763</v>
      </c>
      <c r="K215" s="84">
        <f>IF(J215=0,0,IF(B215="F",VLOOKUP(I215,Barem!$G$2:$H$11,2,1),VLOOKUP(I215,Barem!$G$12:$H$21,2,1)))</f>
        <v>0</v>
      </c>
      <c r="L215" s="63">
        <v>4</v>
      </c>
      <c r="M215" s="62" t="str">
        <f>VLOOKUP(C215,Barem!L:R,7,0)</f>
        <v>P</v>
      </c>
      <c r="N215" s="10">
        <f t="shared" si="50"/>
        <v>0.25</v>
      </c>
      <c r="O215" s="10">
        <f t="shared" si="50"/>
        <v>0.25</v>
      </c>
      <c r="P215" s="10">
        <f t="shared" si="50"/>
        <v>0.5</v>
      </c>
      <c r="Q215" s="47">
        <f t="shared" si="48"/>
        <v>0.66933333333333334</v>
      </c>
      <c r="R215" s="25">
        <f>IF(D215&gt;21,VLOOKUP(D215,Barem!$T$1:$U$141,2,1),0)</f>
        <v>0</v>
      </c>
      <c r="S215" s="25">
        <f>IF(D215&lt;1.609,0,IF(B215="F",VLOOKUP(I215,Barem!$X$2:$Z$13,2,1),VLOOKUP(I215,Barem!$X$14:$Z$25,2,1)))</f>
        <v>0</v>
      </c>
      <c r="T215" s="25">
        <f>VLOOKUP(A215,Participanti!A:C,3,0)</f>
        <v>0</v>
      </c>
      <c r="U215" s="20">
        <f t="shared" si="49"/>
        <v>3.4133809523809524</v>
      </c>
      <c r="V215" s="76">
        <v>44620</v>
      </c>
      <c r="W215" s="101">
        <f>COUNTIFS(A:A,A215,C:C,C215)</f>
        <v>1</v>
      </c>
      <c r="X215" s="74" t="str">
        <f>VLOOKUP(A215,Data_echipe!A:R,18,0)</f>
        <v>Trail</v>
      </c>
      <c r="Z215" s="106">
        <f t="shared" si="44"/>
        <v>0</v>
      </c>
    </row>
    <row r="216" spans="1:26" ht="12.6" customHeight="1" x14ac:dyDescent="0.25">
      <c r="A216" s="61" t="s">
        <v>255</v>
      </c>
      <c r="B216" s="74" t="str">
        <f>VLOOKUP(A216,Participanti!A:B,2,0)</f>
        <v>F</v>
      </c>
      <c r="C216" s="98">
        <v>8</v>
      </c>
      <c r="D216" s="63">
        <v>16.13</v>
      </c>
      <c r="E216" s="64">
        <v>8.1631944444444438E-2</v>
      </c>
      <c r="F216" s="64">
        <v>9.554398148148148E-2</v>
      </c>
      <c r="G216" s="90">
        <f t="shared" si="45"/>
        <v>8.8587962962962952E-2</v>
      </c>
      <c r="H216" s="65">
        <v>624</v>
      </c>
      <c r="I216" s="13">
        <f t="shared" si="46"/>
        <v>5.4921241762531285E-3</v>
      </c>
      <c r="J216" s="84">
        <f t="shared" si="47"/>
        <v>4.0324999999999998</v>
      </c>
      <c r="K216" s="84">
        <f>IF(J216=0,0,IF(B216="F",VLOOKUP(I216,Barem!$G$2:$H$11,2,1),VLOOKUP(I216,Barem!$G$12:$H$21,2,1)))</f>
        <v>1</v>
      </c>
      <c r="L216" s="63">
        <v>3</v>
      </c>
      <c r="M216" s="62" t="str">
        <f>VLOOKUP(C216,Barem!L:R,7,0)</f>
        <v>P</v>
      </c>
      <c r="N216" s="10">
        <f t="shared" si="50"/>
        <v>0.25</v>
      </c>
      <c r="O216" s="10">
        <f t="shared" si="50"/>
        <v>0.25</v>
      </c>
      <c r="P216" s="10">
        <f t="shared" si="50"/>
        <v>0.5</v>
      </c>
      <c r="Q216" s="47">
        <f t="shared" si="48"/>
        <v>0.41599999999999998</v>
      </c>
      <c r="R216" s="25">
        <f>IF(D216&gt;21,VLOOKUP(D216,Barem!$T$1:$U$141,2,1),0)</f>
        <v>0</v>
      </c>
      <c r="S216" s="25">
        <f>IF(D216&lt;1.609,0,IF(B216="F",VLOOKUP(I216,Barem!$X$2:$Z$13,2,1),VLOOKUP(I216,Barem!$X$14:$Z$25,2,1)))</f>
        <v>0</v>
      </c>
      <c r="T216" s="25">
        <f>VLOOKUP(A216,Participanti!A:C,3,0)</f>
        <v>0</v>
      </c>
      <c r="U216" s="20">
        <f t="shared" si="49"/>
        <v>3.1741249999999996</v>
      </c>
      <c r="V216" s="76">
        <v>44626</v>
      </c>
      <c r="W216" s="101">
        <f>COUNTIFS(A:A,A216,C:C,C216)</f>
        <v>1</v>
      </c>
      <c r="X216" s="74" t="str">
        <f>VLOOKUP(A216,Data_echipe!A:R,18,0)</f>
        <v>Trail</v>
      </c>
      <c r="Z216" s="106">
        <f t="shared" si="44"/>
        <v>1</v>
      </c>
    </row>
    <row r="217" spans="1:26" ht="12.6" customHeight="1" x14ac:dyDescent="0.25">
      <c r="A217" s="61" t="s">
        <v>141</v>
      </c>
      <c r="B217" s="74" t="str">
        <f>VLOOKUP(A217,Participanti!A:B,2,0)</f>
        <v>F</v>
      </c>
      <c r="C217" s="98">
        <v>8</v>
      </c>
      <c r="D217" s="63">
        <v>25</v>
      </c>
      <c r="E217" s="64">
        <v>8.6898148148148155E-2</v>
      </c>
      <c r="F217" s="64">
        <v>8.6944444444444449E-2</v>
      </c>
      <c r="G217" s="90">
        <f>AVERAGE(E217:F217)</f>
        <v>8.6921296296296302E-2</v>
      </c>
      <c r="H217" s="65">
        <v>86</v>
      </c>
      <c r="I217" s="13">
        <f>G217/D217</f>
        <v>3.4768518518518521E-3</v>
      </c>
      <c r="J217" s="84">
        <f>IF(B217="F",IF(D217&lt;2.5,0,IF(D217&gt;19.99,5,D217/4)),IF(D217&lt;3,0, IF(D217&gt;20.99,5,D217/4.2)))</f>
        <v>5</v>
      </c>
      <c r="K217" s="84">
        <f>IF(J217=0,0,IF(B217="F",VLOOKUP(I217,Barem!$G$2:$H$11,2,1),VLOOKUP(I217,Barem!$G$12:$H$21,2,1)))</f>
        <v>4</v>
      </c>
      <c r="L217" s="63">
        <v>2.5</v>
      </c>
      <c r="M217" s="62" t="str">
        <f>VLOOKUP(C217,Barem!L:R,7,0)</f>
        <v>P</v>
      </c>
      <c r="N217" s="10">
        <f t="shared" si="50"/>
        <v>0.25</v>
      </c>
      <c r="O217" s="10">
        <f t="shared" si="50"/>
        <v>0.25</v>
      </c>
      <c r="P217" s="10">
        <f t="shared" si="50"/>
        <v>0.5</v>
      </c>
      <c r="Q217" s="47">
        <f>IF(H217&gt;49,H217/1500,0)</f>
        <v>5.7333333333333333E-2</v>
      </c>
      <c r="R217" s="25">
        <f>IF(D217&gt;21,VLOOKUP(D217,Barem!$T$1:$U$141,2,1),0)</f>
        <v>0.2</v>
      </c>
      <c r="S217" s="25">
        <f>IF(D217&lt;1.609,0,IF(B217="F",VLOOKUP(I217,Barem!$X$2:$Z$13,2,1),VLOOKUP(I217,Barem!$X$14:$Z$25,2,1)))</f>
        <v>0</v>
      </c>
      <c r="T217" s="25">
        <f>VLOOKUP(A217,Participanti!A:C,3,0)</f>
        <v>0</v>
      </c>
      <c r="U217" s="20">
        <f>IF(H217&lt;0,0,J217*N217+K217*O217+L217*P217+Q217+R217+S217+T217)</f>
        <v>3.7573333333333334</v>
      </c>
      <c r="V217" s="76">
        <v>44625</v>
      </c>
      <c r="W217" s="101">
        <f>COUNTIFS(A:A,A217,C:C,C217)</f>
        <v>1</v>
      </c>
      <c r="X217" s="74" t="str">
        <f>VLOOKUP(A217,Data_echipe!A:R,18,0)</f>
        <v>Trail</v>
      </c>
      <c r="Z217" s="106">
        <f t="shared" si="44"/>
        <v>1</v>
      </c>
    </row>
    <row r="218" spans="1:26" x14ac:dyDescent="0.25">
      <c r="A218" s="61" t="s">
        <v>216</v>
      </c>
      <c r="B218" s="74" t="str">
        <f>VLOOKUP(A218,Participanti!A:B,2,0)</f>
        <v>M</v>
      </c>
      <c r="C218" s="98">
        <v>8</v>
      </c>
      <c r="D218" s="63">
        <v>17</v>
      </c>
      <c r="E218" s="64">
        <v>5.5532407407407412E-2</v>
      </c>
      <c r="F218" s="64">
        <v>5.561342592592592E-2</v>
      </c>
      <c r="G218" s="90">
        <f t="shared" si="45"/>
        <v>5.5572916666666666E-2</v>
      </c>
      <c r="H218" s="65">
        <v>30</v>
      </c>
      <c r="I218" s="13">
        <f t="shared" si="46"/>
        <v>3.2689950980392159E-3</v>
      </c>
      <c r="J218" s="84">
        <f t="shared" si="47"/>
        <v>4.0476190476190474</v>
      </c>
      <c r="K218" s="84">
        <f>IF(J218=0,0,IF(B218="F",VLOOKUP(I218,Barem!$G$2:$H$11,2,1),VLOOKUP(I218,Barem!$G$12:$H$21,2,1)))</f>
        <v>3.5</v>
      </c>
      <c r="L218" s="63">
        <v>1.5</v>
      </c>
      <c r="M218" s="149" t="s">
        <v>108</v>
      </c>
      <c r="N218" s="10">
        <f t="shared" si="50"/>
        <v>0.5</v>
      </c>
      <c r="O218" s="10">
        <f t="shared" si="50"/>
        <v>0.25</v>
      </c>
      <c r="P218" s="10">
        <f t="shared" si="50"/>
        <v>0.25</v>
      </c>
      <c r="Q218" s="47">
        <f t="shared" si="48"/>
        <v>0</v>
      </c>
      <c r="R218" s="25">
        <f>IF(D218&gt;21,VLOOKUP(D218,Barem!$T$1:$U$141,2,1),0)</f>
        <v>0</v>
      </c>
      <c r="S218" s="25">
        <f>IF(D218&lt;1.609,0,IF(B218="F",VLOOKUP(I218,Barem!$X$2:$Z$13,2,1),VLOOKUP(I218,Barem!$X$14:$Z$25,2,1)))</f>
        <v>0</v>
      </c>
      <c r="T218" s="25">
        <f>VLOOKUP(A218,Participanti!A:C,3,0)</f>
        <v>0</v>
      </c>
      <c r="U218" s="20">
        <f t="shared" si="49"/>
        <v>3.2738095238095237</v>
      </c>
      <c r="V218" s="76">
        <v>44624</v>
      </c>
      <c r="W218" s="101">
        <f>COUNTIFS(A:A,A218,C:C,C218)</f>
        <v>1</v>
      </c>
      <c r="X218" s="74" t="str">
        <f>VLOOKUP(A218,Data_echipe!A:R,18,0)</f>
        <v>Road</v>
      </c>
      <c r="Z218" s="106">
        <f t="shared" si="44"/>
        <v>1</v>
      </c>
    </row>
    <row r="219" spans="1:26" x14ac:dyDescent="0.25">
      <c r="A219" s="61" t="s">
        <v>49</v>
      </c>
      <c r="B219" s="74" t="str">
        <f>VLOOKUP(A219,Participanti!A:B,2,0)</f>
        <v>M</v>
      </c>
      <c r="C219" s="98">
        <v>8</v>
      </c>
      <c r="D219" s="63">
        <v>13.29</v>
      </c>
      <c r="E219" s="64">
        <v>5.4930555555555559E-2</v>
      </c>
      <c r="F219" s="64">
        <v>6.2395833333333338E-2</v>
      </c>
      <c r="G219" s="90">
        <f t="shared" si="45"/>
        <v>5.8663194444444448E-2</v>
      </c>
      <c r="H219" s="65">
        <v>197</v>
      </c>
      <c r="I219" s="13">
        <f t="shared" si="46"/>
        <v>4.4140853607557906E-3</v>
      </c>
      <c r="J219" s="84">
        <f t="shared" si="47"/>
        <v>3.1642857142857141</v>
      </c>
      <c r="K219" s="84">
        <f>IF(J219=0,0,IF(B219="F",VLOOKUP(I219,Barem!$G$2:$H$11,2,1),VLOOKUP(I219,Barem!$G$12:$H$21,2,1)))</f>
        <v>1</v>
      </c>
      <c r="L219" s="63">
        <v>3</v>
      </c>
      <c r="M219" s="62" t="str">
        <f>VLOOKUP(C219,Barem!L:R,7,0)</f>
        <v>P</v>
      </c>
      <c r="N219" s="10">
        <f t="shared" si="50"/>
        <v>0.25</v>
      </c>
      <c r="O219" s="10">
        <f t="shared" si="50"/>
        <v>0.25</v>
      </c>
      <c r="P219" s="10">
        <f t="shared" si="50"/>
        <v>0.5</v>
      </c>
      <c r="Q219" s="47">
        <f t="shared" si="48"/>
        <v>0.13133333333333333</v>
      </c>
      <c r="R219" s="25">
        <f>IF(D219&gt;21,VLOOKUP(D219,Barem!$T$1:$U$141,2,1),0)</f>
        <v>0</v>
      </c>
      <c r="S219" s="25">
        <f>IF(D219&lt;1.609,0,IF(B219="F",VLOOKUP(I219,Barem!$X$2:$Z$13,2,1),VLOOKUP(I219,Barem!$X$14:$Z$25,2,1)))</f>
        <v>0</v>
      </c>
      <c r="T219" s="25">
        <f>VLOOKUP(A219,Participanti!A:C,3,0)</f>
        <v>0.4</v>
      </c>
      <c r="U219" s="20">
        <f t="shared" si="49"/>
        <v>3.0724047619047621</v>
      </c>
      <c r="V219" s="76">
        <v>44622</v>
      </c>
      <c r="W219" s="101">
        <f>COUNTIFS(A:A,A219,C:C,C219)</f>
        <v>1</v>
      </c>
      <c r="X219" s="74" t="str">
        <f>VLOOKUP(A219,Data_echipe!A:R,18,0)</f>
        <v>Road</v>
      </c>
      <c r="Z219" s="106">
        <f t="shared" si="44"/>
        <v>1</v>
      </c>
    </row>
    <row r="220" spans="1:26" x14ac:dyDescent="0.25">
      <c r="A220" s="61" t="s">
        <v>256</v>
      </c>
      <c r="B220" s="74" t="str">
        <f>VLOOKUP(A220,Participanti!A:B,2,0)</f>
        <v>M</v>
      </c>
      <c r="C220" s="98">
        <v>8</v>
      </c>
      <c r="D220" s="63">
        <v>10.7</v>
      </c>
      <c r="E220" s="64">
        <v>3.6597222222222225E-2</v>
      </c>
      <c r="F220" s="64">
        <v>3.770833333333333E-2</v>
      </c>
      <c r="G220" s="90">
        <f t="shared" si="45"/>
        <v>3.7152777777777778E-2</v>
      </c>
      <c r="H220" s="65">
        <v>39</v>
      </c>
      <c r="I220" s="13">
        <f t="shared" si="46"/>
        <v>3.4722222222222225E-3</v>
      </c>
      <c r="J220" s="84">
        <f t="shared" si="47"/>
        <v>2.5476190476190474</v>
      </c>
      <c r="K220" s="84">
        <f>IF(J220=0,0,IF(B220="F",VLOOKUP(I220,Barem!$G$2:$H$11,2,1),VLOOKUP(I220,Barem!$G$12:$H$21,2,1)))</f>
        <v>3</v>
      </c>
      <c r="L220" s="63">
        <v>1</v>
      </c>
      <c r="M220" s="62" t="str">
        <f>VLOOKUP(C220,Barem!L:R,7,0)</f>
        <v>P</v>
      </c>
      <c r="N220" s="10">
        <f t="shared" si="50"/>
        <v>0.25</v>
      </c>
      <c r="O220" s="10">
        <f t="shared" si="50"/>
        <v>0.25</v>
      </c>
      <c r="P220" s="10">
        <f t="shared" si="50"/>
        <v>0.5</v>
      </c>
      <c r="Q220" s="47">
        <f t="shared" si="48"/>
        <v>0</v>
      </c>
      <c r="R220" s="25">
        <f>IF(D220&gt;21,VLOOKUP(D220,Barem!$T$1:$U$141,2,1),0)</f>
        <v>0</v>
      </c>
      <c r="S220" s="25">
        <f>IF(D220&lt;1.609,0,IF(B220="F",VLOOKUP(I220,Barem!$X$2:$Z$13,2,1),VLOOKUP(I220,Barem!$X$14:$Z$25,2,1)))</f>
        <v>0</v>
      </c>
      <c r="T220" s="25">
        <f>VLOOKUP(A220,Participanti!A:C,3,0)</f>
        <v>0</v>
      </c>
      <c r="U220" s="20">
        <f t="shared" si="49"/>
        <v>1.8869047619047619</v>
      </c>
      <c r="V220" s="76">
        <v>44626</v>
      </c>
      <c r="W220" s="101">
        <f>COUNTIFS(A:A,A220,C:C,C220)</f>
        <v>1</v>
      </c>
      <c r="X220" s="74" t="str">
        <f>VLOOKUP(A220,Data_echipe!A:R,18,0)</f>
        <v>Road</v>
      </c>
      <c r="Z220" s="106">
        <f t="shared" si="44"/>
        <v>1</v>
      </c>
    </row>
    <row r="221" spans="1:26" x14ac:dyDescent="0.25">
      <c r="A221" s="61" t="s">
        <v>57</v>
      </c>
      <c r="B221" s="74" t="str">
        <f>VLOOKUP(A221,Participanti!A:B,2,0)</f>
        <v>M</v>
      </c>
      <c r="C221" s="98">
        <v>8</v>
      </c>
      <c r="D221" s="63">
        <v>14</v>
      </c>
      <c r="E221" s="64">
        <v>7.856481481481481E-2</v>
      </c>
      <c r="F221" s="64">
        <v>7.993055555555556E-2</v>
      </c>
      <c r="G221" s="90">
        <f t="shared" si="45"/>
        <v>7.9247685185185185E-2</v>
      </c>
      <c r="H221" s="65">
        <v>426</v>
      </c>
      <c r="I221" s="13">
        <f t="shared" si="46"/>
        <v>5.6605489417989414E-3</v>
      </c>
      <c r="J221" s="84">
        <f t="shared" si="47"/>
        <v>3.333333333333333</v>
      </c>
      <c r="K221" s="84">
        <f>IF(J221=0,0,IF(B221="F",VLOOKUP(I221,Barem!$G$2:$H$11,2,1),VLOOKUP(I221,Barem!$G$12:$H$21,2,1)))</f>
        <v>0</v>
      </c>
      <c r="L221" s="63">
        <v>4.5</v>
      </c>
      <c r="M221" s="62" t="str">
        <f>VLOOKUP(C221,Barem!L:R,7,0)</f>
        <v>P</v>
      </c>
      <c r="N221" s="10">
        <f t="shared" si="50"/>
        <v>0.25</v>
      </c>
      <c r="O221" s="10">
        <f t="shared" si="50"/>
        <v>0.25</v>
      </c>
      <c r="P221" s="10">
        <f t="shared" si="50"/>
        <v>0.5</v>
      </c>
      <c r="Q221" s="47">
        <f t="shared" si="48"/>
        <v>0.28399999999999997</v>
      </c>
      <c r="R221" s="25">
        <f>IF(D221&gt;21,VLOOKUP(D221,Barem!$T$1:$U$141,2,1),0)</f>
        <v>0</v>
      </c>
      <c r="S221" s="25">
        <f>IF(D221&lt;1.609,0,IF(B221="F",VLOOKUP(I221,Barem!$X$2:$Z$13,2,1),VLOOKUP(I221,Barem!$X$14:$Z$25,2,1)))</f>
        <v>0</v>
      </c>
      <c r="T221" s="25">
        <f>VLOOKUP(A221,Participanti!A:C,3,0)</f>
        <v>0</v>
      </c>
      <c r="U221" s="20">
        <f t="shared" si="49"/>
        <v>3.3673333333333328</v>
      </c>
      <c r="V221" s="76">
        <v>44626</v>
      </c>
      <c r="W221" s="101">
        <f>COUNTIFS(A:A,A221,C:C,C221)</f>
        <v>1</v>
      </c>
      <c r="X221" s="74" t="str">
        <f>VLOOKUP(A221,Data_echipe!A:R,18,0)</f>
        <v>Trail</v>
      </c>
      <c r="Z221" s="106">
        <f t="shared" si="44"/>
        <v>0</v>
      </c>
    </row>
    <row r="222" spans="1:26" x14ac:dyDescent="0.25">
      <c r="A222" s="61" t="s">
        <v>257</v>
      </c>
      <c r="B222" s="74" t="str">
        <f>VLOOKUP(A222,Participanti!A:B,2,0)</f>
        <v>M</v>
      </c>
      <c r="C222" s="98">
        <v>8</v>
      </c>
      <c r="D222" s="63">
        <v>21.21</v>
      </c>
      <c r="E222" s="64">
        <v>8.2048611111111114E-2</v>
      </c>
      <c r="F222" s="64">
        <v>8.2407407407407415E-2</v>
      </c>
      <c r="G222" s="90">
        <f t="shared" si="45"/>
        <v>8.2228009259259272E-2</v>
      </c>
      <c r="H222" s="65">
        <v>77</v>
      </c>
      <c r="I222" s="13">
        <f t="shared" si="46"/>
        <v>3.8768509787486687E-3</v>
      </c>
      <c r="J222" s="84">
        <f t="shared" si="47"/>
        <v>5</v>
      </c>
      <c r="K222" s="84">
        <f>IF(J222=0,0,IF(B222="F",VLOOKUP(I222,Barem!$G$2:$H$11,2,1),VLOOKUP(I222,Barem!$G$12:$H$21,2,1)))</f>
        <v>1.5</v>
      </c>
      <c r="L222" s="63">
        <v>1.5</v>
      </c>
      <c r="M222" s="62" t="str">
        <f>VLOOKUP(C222,Barem!L:R,7,0)</f>
        <v>P</v>
      </c>
      <c r="N222" s="10">
        <f t="shared" si="50"/>
        <v>0.25</v>
      </c>
      <c r="O222" s="10">
        <f t="shared" si="50"/>
        <v>0.25</v>
      </c>
      <c r="P222" s="10">
        <f t="shared" si="50"/>
        <v>0.5</v>
      </c>
      <c r="Q222" s="47">
        <f t="shared" si="48"/>
        <v>5.1333333333333335E-2</v>
      </c>
      <c r="R222" s="25">
        <f>IF(D222&gt;21,VLOOKUP(D222,Barem!$T$1:$U$141,2,1),0)</f>
        <v>0</v>
      </c>
      <c r="S222" s="25">
        <f>IF(D222&lt;1.609,0,IF(B222="F",VLOOKUP(I222,Barem!$X$2:$Z$13,2,1),VLOOKUP(I222,Barem!$X$14:$Z$25,2,1)))</f>
        <v>0</v>
      </c>
      <c r="T222" s="25">
        <f>VLOOKUP(A222,Participanti!A:C,3,0)</f>
        <v>0</v>
      </c>
      <c r="U222" s="20">
        <f t="shared" si="49"/>
        <v>2.4263333333333335</v>
      </c>
      <c r="V222" s="76">
        <v>44626</v>
      </c>
      <c r="W222" s="101">
        <f>COUNTIFS(A:A,A222,C:C,C222)</f>
        <v>1</v>
      </c>
      <c r="X222" s="74" t="str">
        <f>VLOOKUP(A222,Data_echipe!A:R,18,0)</f>
        <v>Road</v>
      </c>
      <c r="Z222" s="106">
        <f t="shared" si="44"/>
        <v>1</v>
      </c>
    </row>
    <row r="223" spans="1:26" x14ac:dyDescent="0.25">
      <c r="A223" s="61" t="s">
        <v>142</v>
      </c>
      <c r="B223" s="74" t="str">
        <f>VLOOKUP(A223,Participanti!A:B,2,0)</f>
        <v>F</v>
      </c>
      <c r="C223" s="98">
        <v>8</v>
      </c>
      <c r="D223" s="63">
        <v>13.02</v>
      </c>
      <c r="E223" s="64">
        <v>6.8541666666666667E-2</v>
      </c>
      <c r="F223" s="64">
        <v>7.7337962962962969E-2</v>
      </c>
      <c r="G223" s="90">
        <f t="shared" si="45"/>
        <v>7.2939814814814818E-2</v>
      </c>
      <c r="H223" s="65">
        <v>426</v>
      </c>
      <c r="I223" s="13">
        <f t="shared" si="46"/>
        <v>5.602136314501906E-3</v>
      </c>
      <c r="J223" s="84">
        <f t="shared" si="47"/>
        <v>3.2549999999999999</v>
      </c>
      <c r="K223" s="84">
        <f>IF(J223=0,0,IF(B223="F",VLOOKUP(I223,Barem!$G$2:$H$11,2,1),VLOOKUP(I223,Barem!$G$12:$H$21,2,1)))</f>
        <v>1</v>
      </c>
      <c r="L223" s="63">
        <v>4</v>
      </c>
      <c r="M223" s="62" t="str">
        <f>VLOOKUP(C223,Barem!L:R,7,0)</f>
        <v>P</v>
      </c>
      <c r="N223" s="10">
        <f t="shared" si="50"/>
        <v>0.25</v>
      </c>
      <c r="O223" s="10">
        <f t="shared" si="50"/>
        <v>0.25</v>
      </c>
      <c r="P223" s="10">
        <f t="shared" si="50"/>
        <v>0.5</v>
      </c>
      <c r="Q223" s="47">
        <f t="shared" si="48"/>
        <v>0.28399999999999997</v>
      </c>
      <c r="R223" s="25">
        <f>IF(D223&gt;21,VLOOKUP(D223,Barem!$T$1:$U$141,2,1),0)</f>
        <v>0</v>
      </c>
      <c r="S223" s="25">
        <f>IF(D223&lt;1.609,0,IF(B223="F",VLOOKUP(I223,Barem!$X$2:$Z$13,2,1),VLOOKUP(I223,Barem!$X$14:$Z$25,2,1)))</f>
        <v>0</v>
      </c>
      <c r="T223" s="25">
        <f>VLOOKUP(A223,Participanti!A:C,3,0)</f>
        <v>0</v>
      </c>
      <c r="U223" s="20">
        <f t="shared" si="49"/>
        <v>3.3477499999999996</v>
      </c>
      <c r="V223" s="76">
        <v>44626</v>
      </c>
      <c r="W223" s="101">
        <f>COUNTIFS(A:A,A223,C:C,C223)</f>
        <v>1</v>
      </c>
      <c r="X223" s="74" t="str">
        <f>VLOOKUP(A223,Data_echipe!A:R,18,0)</f>
        <v>Trail</v>
      </c>
      <c r="Z223" s="106">
        <f t="shared" si="44"/>
        <v>1</v>
      </c>
    </row>
    <row r="224" spans="1:26" x14ac:dyDescent="0.25">
      <c r="A224" s="61" t="s">
        <v>116</v>
      </c>
      <c r="B224" s="74" t="str">
        <f>VLOOKUP(A224,Participanti!A:B,2,0)</f>
        <v>M</v>
      </c>
      <c r="C224" s="98">
        <v>8</v>
      </c>
      <c r="D224" s="63">
        <v>7.04</v>
      </c>
      <c r="E224" s="64">
        <v>2.7928240740740743E-2</v>
      </c>
      <c r="F224" s="64">
        <v>2.7951388888888887E-2</v>
      </c>
      <c r="G224" s="90">
        <f t="shared" si="45"/>
        <v>2.7939814814814813E-2</v>
      </c>
      <c r="H224" s="65">
        <v>16</v>
      </c>
      <c r="I224" s="13">
        <f t="shared" si="46"/>
        <v>3.9687236952861953E-3</v>
      </c>
      <c r="J224" s="84">
        <f t="shared" si="47"/>
        <v>1.6761904761904762</v>
      </c>
      <c r="K224" s="84">
        <f>IF(J224=0,0,IF(B224="F",VLOOKUP(I224,Barem!$G$2:$H$11,2,1),VLOOKUP(I224,Barem!$G$12:$H$21,2,1)))</f>
        <v>1.5</v>
      </c>
      <c r="L224" s="63">
        <v>2.75</v>
      </c>
      <c r="M224" s="149" t="s">
        <v>109</v>
      </c>
      <c r="N224" s="10">
        <f t="shared" si="50"/>
        <v>0.25</v>
      </c>
      <c r="O224" s="10">
        <f t="shared" si="50"/>
        <v>0.5</v>
      </c>
      <c r="P224" s="10">
        <f t="shared" si="50"/>
        <v>0.25</v>
      </c>
      <c r="Q224" s="47">
        <f t="shared" si="48"/>
        <v>0</v>
      </c>
      <c r="R224" s="25">
        <f>IF(D224&gt;21,VLOOKUP(D224,Barem!$T$1:$U$141,2,1),0)</f>
        <v>0</v>
      </c>
      <c r="S224" s="25">
        <f>IF(D224&lt;1.609,0,IF(B224="F",VLOOKUP(I224,Barem!$X$2:$Z$13,2,1),VLOOKUP(I224,Barem!$X$14:$Z$25,2,1)))</f>
        <v>0</v>
      </c>
      <c r="T224" s="25">
        <f>VLOOKUP(A224,Participanti!A:C,3,0)</f>
        <v>0</v>
      </c>
      <c r="U224" s="20">
        <f t="shared" si="49"/>
        <v>1.8565476190476191</v>
      </c>
      <c r="V224" s="76">
        <v>44625</v>
      </c>
      <c r="W224" s="101">
        <f>COUNTIFS(A:A,A224,C:C,C224)</f>
        <v>1</v>
      </c>
      <c r="X224" s="74" t="str">
        <f>VLOOKUP(A224,Data_echipe!A:R,18,0)</f>
        <v>Trail</v>
      </c>
      <c r="Z224" s="106">
        <f t="shared" si="44"/>
        <v>1</v>
      </c>
    </row>
    <row r="225" spans="1:26" x14ac:dyDescent="0.25">
      <c r="A225" s="61" t="s">
        <v>143</v>
      </c>
      <c r="B225" s="74" t="str">
        <f>VLOOKUP(A225,Participanti!A:B,2,0)</f>
        <v>M</v>
      </c>
      <c r="C225" s="98">
        <v>8</v>
      </c>
      <c r="D225" s="63">
        <v>11.01</v>
      </c>
      <c r="E225" s="64">
        <v>3.8287037037037036E-2</v>
      </c>
      <c r="F225" s="64">
        <v>4.2731481481481481E-2</v>
      </c>
      <c r="G225" s="90">
        <f t="shared" si="45"/>
        <v>4.0509259259259259E-2</v>
      </c>
      <c r="H225" s="65">
        <v>47</v>
      </c>
      <c r="I225" s="13">
        <f t="shared" si="46"/>
        <v>3.6793151007501598E-3</v>
      </c>
      <c r="J225" s="84">
        <f t="shared" si="47"/>
        <v>2.6214285714285714</v>
      </c>
      <c r="K225" s="84">
        <f>IF(J225=0,0,IF(B225="F",VLOOKUP(I225,Barem!$G$2:$H$11,2,1),VLOOKUP(I225,Barem!$G$12:$H$21,2,1)))</f>
        <v>2</v>
      </c>
      <c r="L225" s="63">
        <v>0</v>
      </c>
      <c r="M225" s="149" t="s">
        <v>109</v>
      </c>
      <c r="N225" s="10">
        <f t="shared" si="50"/>
        <v>0.25</v>
      </c>
      <c r="O225" s="10">
        <f t="shared" si="50"/>
        <v>0.5</v>
      </c>
      <c r="P225" s="10">
        <f t="shared" si="50"/>
        <v>0.25</v>
      </c>
      <c r="Q225" s="47">
        <f t="shared" si="48"/>
        <v>0</v>
      </c>
      <c r="R225" s="25">
        <f>IF(D225&gt;21,VLOOKUP(D225,Barem!$T$1:$U$141,2,1),0)</f>
        <v>0</v>
      </c>
      <c r="S225" s="25">
        <f>IF(D225&lt;1.609,0,IF(B225="F",VLOOKUP(I225,Barem!$X$2:$Z$13,2,1),VLOOKUP(I225,Barem!$X$14:$Z$25,2,1)))</f>
        <v>0</v>
      </c>
      <c r="T225" s="25">
        <f>VLOOKUP(A225,Participanti!A:C,3,0)</f>
        <v>0</v>
      </c>
      <c r="U225" s="20">
        <f t="shared" si="49"/>
        <v>1.655357142857143</v>
      </c>
      <c r="V225" s="76">
        <v>44621</v>
      </c>
      <c r="W225" s="101">
        <f>COUNTIFS(A:A,A225,C:C,C225)</f>
        <v>1</v>
      </c>
      <c r="X225" s="74" t="str">
        <f>VLOOKUP(A225,Data_echipe!A:R,18,0)</f>
        <v>Road</v>
      </c>
      <c r="Z225" s="106">
        <f t="shared" si="44"/>
        <v>1</v>
      </c>
    </row>
    <row r="226" spans="1:26" x14ac:dyDescent="0.25">
      <c r="A226" s="61" t="s">
        <v>119</v>
      </c>
      <c r="B226" s="74" t="str">
        <f>VLOOKUP(A226,Participanti!A:B,2,0)</f>
        <v>F</v>
      </c>
      <c r="C226" s="98">
        <v>8</v>
      </c>
      <c r="D226" s="63">
        <v>8.64</v>
      </c>
      <c r="E226" s="64">
        <v>3.7673611111111109E-2</v>
      </c>
      <c r="F226" s="64">
        <v>3.9143518518518515E-2</v>
      </c>
      <c r="G226" s="90">
        <f t="shared" si="45"/>
        <v>3.8408564814814812E-2</v>
      </c>
      <c r="H226" s="65">
        <v>38</v>
      </c>
      <c r="I226" s="13">
        <f t="shared" si="46"/>
        <v>4.4454357424554176E-3</v>
      </c>
      <c r="J226" s="84">
        <f t="shared" si="47"/>
        <v>2.16</v>
      </c>
      <c r="K226" s="84">
        <f>IF(J226=0,0,IF(B226="F",VLOOKUP(I226,Barem!$G$2:$H$11,2,1),VLOOKUP(I226,Barem!$G$12:$H$21,2,1)))</f>
        <v>1.5</v>
      </c>
      <c r="L226" s="63">
        <v>3.25</v>
      </c>
      <c r="M226" s="149" t="s">
        <v>108</v>
      </c>
      <c r="N226" s="10">
        <f t="shared" si="50"/>
        <v>0.5</v>
      </c>
      <c r="O226" s="10">
        <f t="shared" si="50"/>
        <v>0.25</v>
      </c>
      <c r="P226" s="10">
        <f t="shared" si="50"/>
        <v>0.25</v>
      </c>
      <c r="Q226" s="47">
        <f t="shared" si="48"/>
        <v>0</v>
      </c>
      <c r="R226" s="25">
        <f>IF(D226&gt;21,VLOOKUP(D226,Barem!$T$1:$U$141,2,1),0)</f>
        <v>0</v>
      </c>
      <c r="S226" s="25">
        <f>IF(D226&lt;1.609,0,IF(B226="F",VLOOKUP(I226,Barem!$X$2:$Z$13,2,1),VLOOKUP(I226,Barem!$X$14:$Z$25,2,1)))</f>
        <v>0</v>
      </c>
      <c r="T226" s="25">
        <f>VLOOKUP(A226,Participanti!A:C,3,0)</f>
        <v>0</v>
      </c>
      <c r="U226" s="20">
        <f t="shared" si="49"/>
        <v>2.2675000000000001</v>
      </c>
      <c r="V226" s="76">
        <v>44626</v>
      </c>
      <c r="W226" s="101">
        <f>COUNTIFS(A:A,A226,C:C,C226)</f>
        <v>1</v>
      </c>
      <c r="X226" s="74" t="str">
        <f>VLOOKUP(A226,Data_echipe!A:R,18,0)</f>
        <v>Trail</v>
      </c>
      <c r="Z226" s="106">
        <f t="shared" si="44"/>
        <v>1</v>
      </c>
    </row>
    <row r="227" spans="1:26" x14ac:dyDescent="0.25">
      <c r="A227" s="61" t="s">
        <v>215</v>
      </c>
      <c r="B227" s="74" t="str">
        <f>VLOOKUP(A227,Participanti!A:B,2,0)</f>
        <v>M</v>
      </c>
      <c r="C227" s="98">
        <v>8</v>
      </c>
      <c r="D227" s="63">
        <v>25.12</v>
      </c>
      <c r="E227" s="64">
        <v>8.6793981481481486E-2</v>
      </c>
      <c r="F227" s="64">
        <v>8.6944444444444449E-2</v>
      </c>
      <c r="G227" s="90">
        <f t="shared" si="45"/>
        <v>8.6869212962962961E-2</v>
      </c>
      <c r="H227" s="65">
        <v>73</v>
      </c>
      <c r="I227" s="13">
        <f t="shared" si="46"/>
        <v>3.4581693058504362E-3</v>
      </c>
      <c r="J227" s="84">
        <f t="shared" si="47"/>
        <v>5</v>
      </c>
      <c r="K227" s="84">
        <f>IF(J227=0,0,IF(B227="F",VLOOKUP(I227,Barem!$G$2:$H$11,2,1),VLOOKUP(I227,Barem!$G$12:$H$21,2,1)))</f>
        <v>3</v>
      </c>
      <c r="L227" s="63">
        <v>3</v>
      </c>
      <c r="M227" s="149" t="s">
        <v>108</v>
      </c>
      <c r="N227" s="10">
        <f t="shared" si="50"/>
        <v>0.5</v>
      </c>
      <c r="O227" s="10">
        <f t="shared" si="50"/>
        <v>0.25</v>
      </c>
      <c r="P227" s="10">
        <f t="shared" si="50"/>
        <v>0.25</v>
      </c>
      <c r="Q227" s="47">
        <f t="shared" si="48"/>
        <v>4.8666666666666664E-2</v>
      </c>
      <c r="R227" s="25">
        <f>IF(D227&gt;21,VLOOKUP(D227,Barem!$T$1:$U$141,2,1),0)</f>
        <v>0.2</v>
      </c>
      <c r="S227" s="25">
        <f>IF(D227&lt;1.609,0,IF(B227="F",VLOOKUP(I227,Barem!$X$2:$Z$13,2,1),VLOOKUP(I227,Barem!$X$14:$Z$25,2,1)))</f>
        <v>0</v>
      </c>
      <c r="T227" s="25">
        <f>VLOOKUP(A227,Participanti!A:C,3,0)</f>
        <v>0</v>
      </c>
      <c r="U227" s="20">
        <f t="shared" si="49"/>
        <v>4.2486666666666668</v>
      </c>
      <c r="V227" s="76">
        <v>44625</v>
      </c>
      <c r="W227" s="101">
        <f>COUNTIFS(A:A,A227,C:C,C227)</f>
        <v>1</v>
      </c>
      <c r="X227" s="74" t="str">
        <f>VLOOKUP(A227,Data_echipe!A:R,18,0)</f>
        <v>Trail</v>
      </c>
      <c r="Z227" s="106">
        <f t="shared" si="44"/>
        <v>1</v>
      </c>
    </row>
    <row r="228" spans="1:26" x14ac:dyDescent="0.25">
      <c r="A228" s="61" t="s">
        <v>185</v>
      </c>
      <c r="B228" s="74" t="str">
        <f>VLOOKUP(A228,Participanti!A:B,2,0)</f>
        <v>F</v>
      </c>
      <c r="C228" s="98">
        <v>8</v>
      </c>
      <c r="D228" s="63">
        <v>5</v>
      </c>
      <c r="E228" s="64">
        <v>2.372685185185185E-2</v>
      </c>
      <c r="F228" s="64">
        <v>2.5185185185185185E-2</v>
      </c>
      <c r="G228" s="90">
        <f t="shared" si="45"/>
        <v>2.4456018518518516E-2</v>
      </c>
      <c r="H228" s="65">
        <v>16</v>
      </c>
      <c r="I228" s="13">
        <f t="shared" si="46"/>
        <v>4.8912037037037032E-3</v>
      </c>
      <c r="J228" s="84">
        <f t="shared" si="47"/>
        <v>1.25</v>
      </c>
      <c r="K228" s="84">
        <f>IF(J228=0,0,IF(B228="F",VLOOKUP(I228,Barem!$G$2:$H$11,2,1),VLOOKUP(I228,Barem!$G$12:$H$21,2,1)))</f>
        <v>1</v>
      </c>
      <c r="L228" s="63">
        <v>4</v>
      </c>
      <c r="M228" s="62" t="str">
        <f>VLOOKUP(C228,Barem!L:R,7,0)</f>
        <v>P</v>
      </c>
      <c r="N228" s="10">
        <f t="shared" si="50"/>
        <v>0.25</v>
      </c>
      <c r="O228" s="10">
        <f t="shared" si="50"/>
        <v>0.25</v>
      </c>
      <c r="P228" s="10">
        <f t="shared" si="50"/>
        <v>0.5</v>
      </c>
      <c r="Q228" s="47">
        <f t="shared" si="48"/>
        <v>0</v>
      </c>
      <c r="R228" s="25">
        <f>IF(D228&gt;21,VLOOKUP(D228,Barem!$T$1:$U$141,2,1),0)</f>
        <v>0</v>
      </c>
      <c r="S228" s="25">
        <f>IF(D228&lt;1.609,0,IF(B228="F",VLOOKUP(I228,Barem!$X$2:$Z$13,2,1),VLOOKUP(I228,Barem!$X$14:$Z$25,2,1)))</f>
        <v>0</v>
      </c>
      <c r="T228" s="25">
        <f>VLOOKUP(A228,Participanti!A:C,3,0)</f>
        <v>0</v>
      </c>
      <c r="U228" s="20">
        <f t="shared" si="49"/>
        <v>2.5625</v>
      </c>
      <c r="V228" s="76">
        <v>44623</v>
      </c>
      <c r="W228" s="101">
        <f>COUNTIFS(A:A,A228,C:C,C228)</f>
        <v>1</v>
      </c>
      <c r="X228" s="74" t="str">
        <f>VLOOKUP(A228,Data_echipe!A:R,18,0)</f>
        <v>Road</v>
      </c>
      <c r="Z228" s="106">
        <f t="shared" si="44"/>
        <v>1</v>
      </c>
    </row>
    <row r="229" spans="1:26" x14ac:dyDescent="0.25">
      <c r="A229" s="61" t="s">
        <v>65</v>
      </c>
      <c r="B229" s="74" t="str">
        <f>VLOOKUP(A229,Participanti!A:B,2,0)</f>
        <v>F</v>
      </c>
      <c r="C229" s="98">
        <v>8</v>
      </c>
      <c r="D229" s="63">
        <v>8</v>
      </c>
      <c r="E229" s="64">
        <v>4.2511574074074077E-2</v>
      </c>
      <c r="F229" s="64">
        <v>5.4895833333333331E-2</v>
      </c>
      <c r="G229" s="90">
        <f t="shared" si="45"/>
        <v>4.8703703703703707E-2</v>
      </c>
      <c r="H229" s="65">
        <v>0</v>
      </c>
      <c r="I229" s="13">
        <f t="shared" si="46"/>
        <v>6.0879629629629634E-3</v>
      </c>
      <c r="J229" s="84">
        <f t="shared" si="47"/>
        <v>2</v>
      </c>
      <c r="K229" s="84">
        <f>IF(J229=0,0,IF(B229="F",VLOOKUP(I229,Barem!$G$2:$H$11,2,1),VLOOKUP(I229,Barem!$G$12:$H$21,2,1)))</f>
        <v>1</v>
      </c>
      <c r="L229" s="63">
        <v>2.5</v>
      </c>
      <c r="M229" s="62" t="str">
        <f>VLOOKUP(C229,Barem!L:R,7,0)</f>
        <v>P</v>
      </c>
      <c r="N229" s="10">
        <f t="shared" si="50"/>
        <v>0.25</v>
      </c>
      <c r="O229" s="10">
        <f t="shared" si="50"/>
        <v>0.25</v>
      </c>
      <c r="P229" s="10">
        <f t="shared" si="50"/>
        <v>0.5</v>
      </c>
      <c r="Q229" s="47">
        <f t="shared" si="48"/>
        <v>0</v>
      </c>
      <c r="R229" s="25">
        <f>IF(D229&gt;21,VLOOKUP(D229,Barem!$T$1:$U$141,2,1),0)</f>
        <v>0</v>
      </c>
      <c r="S229" s="25">
        <f>IF(D229&lt;1.609,0,IF(B229="F",VLOOKUP(I229,Barem!$X$2:$Z$13,2,1),VLOOKUP(I229,Barem!$X$14:$Z$25,2,1)))</f>
        <v>0</v>
      </c>
      <c r="T229" s="25">
        <f>VLOOKUP(A229,Participanti!A:C,3,0)</f>
        <v>0.7</v>
      </c>
      <c r="U229" s="20">
        <f t="shared" si="49"/>
        <v>2.7</v>
      </c>
      <c r="V229" s="76">
        <v>44622</v>
      </c>
      <c r="W229" s="101">
        <f>COUNTIFS(A:A,A229,C:C,C229)</f>
        <v>1</v>
      </c>
      <c r="X229" s="74" t="str">
        <f>VLOOKUP(A229,Data_echipe!A:R,18,0)</f>
        <v>Road</v>
      </c>
      <c r="Z229" s="106">
        <f t="shared" si="44"/>
        <v>1</v>
      </c>
    </row>
    <row r="230" spans="1:26" x14ac:dyDescent="0.25">
      <c r="A230" s="61" t="s">
        <v>102</v>
      </c>
      <c r="B230" s="74" t="str">
        <f>VLOOKUP(A230,Participanti!A:B,2,0)</f>
        <v>F</v>
      </c>
      <c r="C230" s="98">
        <v>8</v>
      </c>
      <c r="D230" s="63">
        <v>14.01</v>
      </c>
      <c r="E230" s="64">
        <v>6.5208333333333326E-2</v>
      </c>
      <c r="F230" s="64">
        <v>7.6145833333333343E-2</v>
      </c>
      <c r="G230" s="90">
        <f t="shared" si="45"/>
        <v>7.0677083333333335E-2</v>
      </c>
      <c r="H230" s="65">
        <v>0</v>
      </c>
      <c r="I230" s="13">
        <f t="shared" si="46"/>
        <v>5.0447596954556273E-3</v>
      </c>
      <c r="J230" s="84">
        <f t="shared" si="47"/>
        <v>3.5024999999999999</v>
      </c>
      <c r="K230" s="84">
        <f>IF(J230=0,0,IF(B230="F",VLOOKUP(I230,Barem!$G$2:$H$11,2,1),VLOOKUP(I230,Barem!$G$12:$H$21,2,1)))</f>
        <v>1</v>
      </c>
      <c r="L230" s="63">
        <v>3.5</v>
      </c>
      <c r="M230" s="149" t="s">
        <v>108</v>
      </c>
      <c r="N230" s="10">
        <f t="shared" si="50"/>
        <v>0.5</v>
      </c>
      <c r="O230" s="10">
        <f t="shared" si="50"/>
        <v>0.25</v>
      </c>
      <c r="P230" s="10">
        <f t="shared" si="50"/>
        <v>0.25</v>
      </c>
      <c r="Q230" s="47">
        <f t="shared" si="48"/>
        <v>0</v>
      </c>
      <c r="R230" s="25">
        <f>IF(D230&gt;21,VLOOKUP(D230,Barem!$T$1:$U$141,2,1),0)</f>
        <v>0</v>
      </c>
      <c r="S230" s="25">
        <f>IF(D230&lt;1.609,0,IF(B230="F",VLOOKUP(I230,Barem!$X$2:$Z$13,2,1),VLOOKUP(I230,Barem!$X$14:$Z$25,2,1)))</f>
        <v>0</v>
      </c>
      <c r="T230" s="25">
        <f>VLOOKUP(A230,Participanti!A:C,3,0)</f>
        <v>0</v>
      </c>
      <c r="U230" s="20">
        <f t="shared" si="49"/>
        <v>2.8762499999999998</v>
      </c>
      <c r="V230" s="76">
        <v>44626</v>
      </c>
      <c r="W230" s="101">
        <f>COUNTIFS(A:A,A230,C:C,C230)</f>
        <v>1</v>
      </c>
      <c r="X230" s="74" t="str">
        <f>VLOOKUP(A230,Data_echipe!A:R,18,0)</f>
        <v>Trail</v>
      </c>
      <c r="Z230" s="106">
        <f t="shared" si="44"/>
        <v>1</v>
      </c>
    </row>
    <row r="231" spans="1:26" x14ac:dyDescent="0.25">
      <c r="A231" s="61" t="s">
        <v>217</v>
      </c>
      <c r="B231" s="74" t="str">
        <f>VLOOKUP(A231,Participanti!A:B,2,0)</f>
        <v>M</v>
      </c>
      <c r="C231" s="98">
        <v>8</v>
      </c>
      <c r="D231" s="63">
        <v>12.47</v>
      </c>
      <c r="E231" s="64">
        <v>4.2372685185185187E-2</v>
      </c>
      <c r="F231" s="64">
        <v>4.597222222222222E-2</v>
      </c>
      <c r="G231" s="90">
        <f t="shared" si="45"/>
        <v>4.4172453703703707E-2</v>
      </c>
      <c r="H231" s="65">
        <v>28</v>
      </c>
      <c r="I231" s="13">
        <f t="shared" si="46"/>
        <v>3.5422978110427991E-3</v>
      </c>
      <c r="J231" s="84">
        <f t="shared" si="47"/>
        <v>2.9690476190476192</v>
      </c>
      <c r="K231" s="84">
        <f>IF(J231=0,0,IF(B231="F",VLOOKUP(I231,Barem!$G$2:$H$11,2,1),VLOOKUP(I231,Barem!$G$12:$H$21,2,1)))</f>
        <v>2.5</v>
      </c>
      <c r="L231" s="63">
        <v>1.25</v>
      </c>
      <c r="M231" s="62" t="str">
        <f>VLOOKUP(C231,Barem!L:R,7,0)</f>
        <v>P</v>
      </c>
      <c r="N231" s="10">
        <f t="shared" si="50"/>
        <v>0.25</v>
      </c>
      <c r="O231" s="10">
        <f t="shared" si="50"/>
        <v>0.25</v>
      </c>
      <c r="P231" s="10">
        <f t="shared" si="50"/>
        <v>0.5</v>
      </c>
      <c r="Q231" s="47">
        <f t="shared" si="48"/>
        <v>0</v>
      </c>
      <c r="R231" s="25">
        <f>IF(D231&gt;21,VLOOKUP(D231,Barem!$T$1:$U$141,2,1),0)</f>
        <v>0</v>
      </c>
      <c r="S231" s="25">
        <f>IF(D231&lt;1.609,0,IF(B231="F",VLOOKUP(I231,Barem!$X$2:$Z$13,2,1),VLOOKUP(I231,Barem!$X$14:$Z$25,2,1)))</f>
        <v>0</v>
      </c>
      <c r="T231" s="25">
        <f>VLOOKUP(A231,Participanti!A:C,3,0)</f>
        <v>0</v>
      </c>
      <c r="U231" s="20">
        <f t="shared" si="49"/>
        <v>1.9922619047619048</v>
      </c>
      <c r="V231" s="76">
        <v>44626</v>
      </c>
      <c r="W231" s="101">
        <f>COUNTIFS(A:A,A231,C:C,C231)</f>
        <v>1</v>
      </c>
      <c r="X231" s="74" t="e">
        <f>VLOOKUP(A231,Data_echipe!A:R,18,0)</f>
        <v>#N/A</v>
      </c>
      <c r="Z231" s="106">
        <f t="shared" si="44"/>
        <v>1</v>
      </c>
    </row>
    <row r="232" spans="1:26" x14ac:dyDescent="0.25">
      <c r="A232" s="61" t="s">
        <v>66</v>
      </c>
      <c r="B232" s="74" t="str">
        <f>VLOOKUP(A232,Participanti!A:B,2,0)</f>
        <v>M</v>
      </c>
      <c r="C232" s="98">
        <v>8</v>
      </c>
      <c r="D232" s="63">
        <v>6</v>
      </c>
      <c r="E232" s="64">
        <v>2.0775462962962964E-2</v>
      </c>
      <c r="F232" s="64">
        <v>2.0844907407407406E-2</v>
      </c>
      <c r="G232" s="90">
        <f t="shared" si="45"/>
        <v>2.0810185185185185E-2</v>
      </c>
      <c r="H232" s="65">
        <v>21</v>
      </c>
      <c r="I232" s="13">
        <f t="shared" si="46"/>
        <v>3.4683641975308643E-3</v>
      </c>
      <c r="J232" s="84">
        <f t="shared" si="47"/>
        <v>1.4285714285714286</v>
      </c>
      <c r="K232" s="84">
        <f>IF(J232=0,0,IF(B232="F",VLOOKUP(I232,Barem!$G$2:$H$11,2,1),VLOOKUP(I232,Barem!$G$12:$H$21,2,1)))</f>
        <v>3</v>
      </c>
      <c r="L232" s="63">
        <v>1.5</v>
      </c>
      <c r="M232" s="149" t="s">
        <v>109</v>
      </c>
      <c r="N232" s="10">
        <f t="shared" si="50"/>
        <v>0.25</v>
      </c>
      <c r="O232" s="10">
        <f t="shared" si="50"/>
        <v>0.5</v>
      </c>
      <c r="P232" s="10">
        <f t="shared" si="50"/>
        <v>0.25</v>
      </c>
      <c r="Q232" s="47">
        <f t="shared" si="48"/>
        <v>0</v>
      </c>
      <c r="R232" s="25">
        <f>IF(D232&gt;21,VLOOKUP(D232,Barem!$T$1:$U$141,2,1),0)</f>
        <v>0</v>
      </c>
      <c r="S232" s="25">
        <f>IF(D232&lt;1.609,0,IF(B232="F",VLOOKUP(I232,Barem!$X$2:$Z$13,2,1),VLOOKUP(I232,Barem!$X$14:$Z$25,2,1)))</f>
        <v>0</v>
      </c>
      <c r="T232" s="25">
        <f>VLOOKUP(A232,Participanti!A:C,3,0)</f>
        <v>0</v>
      </c>
      <c r="U232" s="20">
        <f t="shared" si="49"/>
        <v>2.2321428571428572</v>
      </c>
      <c r="V232" s="76">
        <v>44621</v>
      </c>
      <c r="W232" s="101">
        <f>COUNTIFS(A:A,A232,C:C,C232)</f>
        <v>1</v>
      </c>
      <c r="X232" s="74" t="str">
        <f>VLOOKUP(A232,Data_echipe!A:R,18,0)</f>
        <v>Road</v>
      </c>
      <c r="Z232" s="106">
        <f t="shared" si="44"/>
        <v>1</v>
      </c>
    </row>
    <row r="233" spans="1:26" x14ac:dyDescent="0.25">
      <c r="A233" s="61" t="s">
        <v>48</v>
      </c>
      <c r="B233" s="74" t="str">
        <f>VLOOKUP(A233,Participanti!A:B,2,0)</f>
        <v>M</v>
      </c>
      <c r="C233" s="98">
        <v>8</v>
      </c>
      <c r="D233" s="63">
        <v>8.51</v>
      </c>
      <c r="E233" s="64">
        <v>2.9143518518518517E-2</v>
      </c>
      <c r="F233" s="64">
        <v>2.9409722222222223E-2</v>
      </c>
      <c r="G233" s="90">
        <f t="shared" si="45"/>
        <v>2.927662037037037E-2</v>
      </c>
      <c r="H233" s="65">
        <v>23</v>
      </c>
      <c r="I233" s="13">
        <f t="shared" si="46"/>
        <v>3.4402609130870002E-3</v>
      </c>
      <c r="J233" s="84">
        <f t="shared" si="47"/>
        <v>2.0261904761904761</v>
      </c>
      <c r="K233" s="84">
        <f>IF(J233=0,0,IF(B233="F",VLOOKUP(I233,Barem!$G$2:$H$11,2,1),VLOOKUP(I233,Barem!$G$12:$H$21,2,1)))</f>
        <v>3</v>
      </c>
      <c r="L233" s="63">
        <v>3.5</v>
      </c>
      <c r="M233" s="62" t="str">
        <f>VLOOKUP(C233,Barem!L:R,7,0)</f>
        <v>P</v>
      </c>
      <c r="N233" s="10">
        <f t="shared" si="50"/>
        <v>0.25</v>
      </c>
      <c r="O233" s="10">
        <f t="shared" si="50"/>
        <v>0.25</v>
      </c>
      <c r="P233" s="10">
        <f t="shared" si="50"/>
        <v>0.5</v>
      </c>
      <c r="Q233" s="47">
        <f t="shared" si="48"/>
        <v>0</v>
      </c>
      <c r="R233" s="25">
        <f>IF(D233&gt;21,VLOOKUP(D233,Barem!$T$1:$U$141,2,1),0)</f>
        <v>0</v>
      </c>
      <c r="S233" s="25">
        <f>IF(D233&lt;1.609,0,IF(B233="F",VLOOKUP(I233,Barem!$X$2:$Z$13,2,1),VLOOKUP(I233,Barem!$X$14:$Z$25,2,1)))</f>
        <v>0</v>
      </c>
      <c r="T233" s="25">
        <f>VLOOKUP(A233,Participanti!A:C,3,0)</f>
        <v>0</v>
      </c>
      <c r="U233" s="20">
        <f t="shared" si="49"/>
        <v>3.0065476190476188</v>
      </c>
      <c r="V233" s="76">
        <v>44624</v>
      </c>
      <c r="W233" s="101">
        <f>COUNTIFS(A:A,A233,C:C,C233)</f>
        <v>1</v>
      </c>
      <c r="X233" s="74" t="str">
        <f>VLOOKUP(A233,Data_echipe!A:R,18,0)</f>
        <v>Road</v>
      </c>
      <c r="Z233" s="106">
        <f t="shared" si="44"/>
        <v>1</v>
      </c>
    </row>
    <row r="234" spans="1:26" x14ac:dyDescent="0.25">
      <c r="A234" s="61" t="s">
        <v>222</v>
      </c>
      <c r="B234" s="74" t="str">
        <f>VLOOKUP(A234,Participanti!A:B,2,0)</f>
        <v>F</v>
      </c>
      <c r="C234" s="98">
        <v>8</v>
      </c>
      <c r="D234" s="63">
        <v>11.01</v>
      </c>
      <c r="E234" s="64">
        <v>4.0625000000000001E-2</v>
      </c>
      <c r="F234" s="64">
        <v>5.8402777777777776E-2</v>
      </c>
      <c r="G234" s="90">
        <f t="shared" si="45"/>
        <v>4.9513888888888885E-2</v>
      </c>
      <c r="H234" s="65">
        <v>0</v>
      </c>
      <c r="I234" s="13">
        <f t="shared" si="46"/>
        <v>4.497174286002624E-3</v>
      </c>
      <c r="J234" s="84">
        <f t="shared" si="47"/>
        <v>2.7524999999999999</v>
      </c>
      <c r="K234" s="84">
        <f>IF(J234=0,0,IF(B234="F",VLOOKUP(I234,Barem!$G$2:$H$11,2,1),VLOOKUP(I234,Barem!$G$12:$H$21,2,1)))</f>
        <v>1.5</v>
      </c>
      <c r="L234" s="63">
        <v>3</v>
      </c>
      <c r="M234" s="62" t="str">
        <f>VLOOKUP(C234,Barem!L:R,7,0)</f>
        <v>P</v>
      </c>
      <c r="N234" s="10">
        <f t="shared" si="50"/>
        <v>0.25</v>
      </c>
      <c r="O234" s="10">
        <f t="shared" si="50"/>
        <v>0.25</v>
      </c>
      <c r="P234" s="10">
        <f t="shared" si="50"/>
        <v>0.5</v>
      </c>
      <c r="Q234" s="47">
        <f t="shared" si="48"/>
        <v>0</v>
      </c>
      <c r="R234" s="25">
        <f>IF(D234&gt;21,VLOOKUP(D234,Barem!$T$1:$U$141,2,1),0)</f>
        <v>0</v>
      </c>
      <c r="S234" s="25">
        <f>IF(D234&lt;1.609,0,IF(B234="F",VLOOKUP(I234,Barem!$X$2:$Z$13,2,1),VLOOKUP(I234,Barem!$X$14:$Z$25,2,1)))</f>
        <v>0</v>
      </c>
      <c r="T234" s="25">
        <f>VLOOKUP(A234,Participanti!A:C,3,0)</f>
        <v>0</v>
      </c>
      <c r="U234" s="20">
        <f t="shared" si="49"/>
        <v>2.5631249999999999</v>
      </c>
      <c r="V234" s="76">
        <v>44622</v>
      </c>
      <c r="W234" s="101">
        <f>COUNTIFS(A:A,A234,C:C,C234)</f>
        <v>1</v>
      </c>
      <c r="X234" s="74" t="e">
        <f>VLOOKUP(A234,Data_echipe!A:R,18,0)</f>
        <v>#N/A</v>
      </c>
      <c r="Z234" s="106">
        <f t="shared" si="44"/>
        <v>1</v>
      </c>
    </row>
    <row r="235" spans="1:26" x14ac:dyDescent="0.25">
      <c r="A235" s="61" t="s">
        <v>179</v>
      </c>
      <c r="B235" s="74" t="str">
        <f>VLOOKUP(A235,Participanti!A:B,2,0)</f>
        <v>F</v>
      </c>
      <c r="C235" s="98">
        <v>8</v>
      </c>
      <c r="D235" s="63">
        <v>16.010000000000002</v>
      </c>
      <c r="E235" s="64">
        <v>6.4456018518518524E-2</v>
      </c>
      <c r="F235" s="64">
        <v>7.6886574074074079E-2</v>
      </c>
      <c r="G235" s="90">
        <f t="shared" si="45"/>
        <v>7.0671296296296301E-2</v>
      </c>
      <c r="H235" s="65">
        <v>25</v>
      </c>
      <c r="I235" s="13">
        <f t="shared" si="46"/>
        <v>4.4141971453027038E-3</v>
      </c>
      <c r="J235" s="84">
        <f t="shared" si="47"/>
        <v>4.0025000000000004</v>
      </c>
      <c r="K235" s="84">
        <f>IF(J235=0,0,IF(B235="F",VLOOKUP(I235,Barem!$G$2:$H$11,2,1),VLOOKUP(I235,Barem!$G$12:$H$21,2,1)))</f>
        <v>1.5</v>
      </c>
      <c r="L235" s="63">
        <v>2</v>
      </c>
      <c r="M235" s="149" t="s">
        <v>109</v>
      </c>
      <c r="N235" s="10">
        <f t="shared" si="50"/>
        <v>0.25</v>
      </c>
      <c r="O235" s="10">
        <f t="shared" si="50"/>
        <v>0.5</v>
      </c>
      <c r="P235" s="10">
        <f t="shared" si="50"/>
        <v>0.25</v>
      </c>
      <c r="Q235" s="47">
        <f t="shared" si="48"/>
        <v>0</v>
      </c>
      <c r="R235" s="25">
        <f>IF(D235&gt;21,VLOOKUP(D235,Barem!$T$1:$U$141,2,1),0)</f>
        <v>0</v>
      </c>
      <c r="S235" s="25">
        <f>IF(D235&lt;1.609,0,IF(B235="F",VLOOKUP(I235,Barem!$X$2:$Z$13,2,1),VLOOKUP(I235,Barem!$X$14:$Z$25,2,1)))</f>
        <v>0</v>
      </c>
      <c r="T235" s="25">
        <f>VLOOKUP(A235,Participanti!A:C,3,0)</f>
        <v>0</v>
      </c>
      <c r="U235" s="20">
        <f t="shared" si="49"/>
        <v>2.2506250000000003</v>
      </c>
      <c r="V235" s="76">
        <v>44625</v>
      </c>
      <c r="W235" s="101">
        <f>COUNTIFS(A:A,A235,C:C,C235)</f>
        <v>1</v>
      </c>
      <c r="X235" s="74" t="str">
        <f>VLOOKUP(A235,Data_echipe!A:R,18,0)</f>
        <v>Trail</v>
      </c>
      <c r="Z235" s="106">
        <f t="shared" si="44"/>
        <v>1</v>
      </c>
    </row>
    <row r="236" spans="1:26" x14ac:dyDescent="0.25">
      <c r="A236" s="61" t="s">
        <v>138</v>
      </c>
      <c r="B236" s="74" t="str">
        <f>VLOOKUP(A236,Participanti!A:B,2,0)</f>
        <v>F</v>
      </c>
      <c r="C236" s="98">
        <v>8</v>
      </c>
      <c r="D236" s="63">
        <v>5.01</v>
      </c>
      <c r="E236" s="64">
        <v>2.0949074074074075E-2</v>
      </c>
      <c r="F236" s="64">
        <v>2.0949074074074075E-2</v>
      </c>
      <c r="G236" s="90">
        <f t="shared" si="45"/>
        <v>2.0949074074074075E-2</v>
      </c>
      <c r="H236" s="65">
        <v>78</v>
      </c>
      <c r="I236" s="13">
        <f t="shared" si="46"/>
        <v>4.1814519109928299E-3</v>
      </c>
      <c r="J236" s="84">
        <f t="shared" si="47"/>
        <v>1.2524999999999999</v>
      </c>
      <c r="K236" s="84">
        <f>IF(J236=0,0,IF(B236="F",VLOOKUP(I236,Barem!$G$2:$H$11,2,1),VLOOKUP(I236,Barem!$G$12:$H$21,2,1)))</f>
        <v>1.5</v>
      </c>
      <c r="L236" s="63">
        <v>1.5</v>
      </c>
      <c r="M236" s="62" t="str">
        <f>VLOOKUP(C236,Barem!L:R,7,0)</f>
        <v>P</v>
      </c>
      <c r="N236" s="10">
        <f t="shared" si="50"/>
        <v>0.25</v>
      </c>
      <c r="O236" s="10">
        <f t="shared" si="50"/>
        <v>0.25</v>
      </c>
      <c r="P236" s="10">
        <f t="shared" si="50"/>
        <v>0.5</v>
      </c>
      <c r="Q236" s="47">
        <f t="shared" si="48"/>
        <v>5.1999999999999998E-2</v>
      </c>
      <c r="R236" s="25">
        <f>IF(D236&gt;21,VLOOKUP(D236,Barem!$T$1:$U$141,2,1),0)</f>
        <v>0</v>
      </c>
      <c r="S236" s="25">
        <f>IF(D236&lt;1.609,0,IF(B236="F",VLOOKUP(I236,Barem!$X$2:$Z$13,2,1),VLOOKUP(I236,Barem!$X$14:$Z$25,2,1)))</f>
        <v>0</v>
      </c>
      <c r="T236" s="25">
        <f>VLOOKUP(A236,Participanti!A:C,3,0)</f>
        <v>0</v>
      </c>
      <c r="U236" s="20">
        <f t="shared" si="49"/>
        <v>1.4901249999999999</v>
      </c>
      <c r="V236" s="76">
        <v>44623</v>
      </c>
      <c r="W236" s="101">
        <f>COUNTIFS(A:A,A236,C:C,C236)</f>
        <v>1</v>
      </c>
      <c r="X236" s="74" t="str">
        <f>VLOOKUP(A236,Data_echipe!A:R,18,0)</f>
        <v>Road</v>
      </c>
      <c r="Z236" s="106">
        <f t="shared" si="44"/>
        <v>1</v>
      </c>
    </row>
    <row r="237" spans="1:26" s="146" customFormat="1" ht="12.6" thickBot="1" x14ac:dyDescent="0.3">
      <c r="A237" s="130" t="s">
        <v>59</v>
      </c>
      <c r="B237" s="131" t="str">
        <f>VLOOKUP(A237,Participanti!A:B,2,0)</f>
        <v>M</v>
      </c>
      <c r="C237" s="132">
        <v>8</v>
      </c>
      <c r="D237" s="133">
        <v>17.239999999999998</v>
      </c>
      <c r="E237" s="134">
        <v>0.1059375</v>
      </c>
      <c r="F237" s="134">
        <v>0.10956018518518518</v>
      </c>
      <c r="G237" s="135">
        <f t="shared" si="45"/>
        <v>0.1077488425925926</v>
      </c>
      <c r="H237" s="136">
        <v>477</v>
      </c>
      <c r="I237" s="137">
        <f t="shared" si="46"/>
        <v>6.2499328649995708E-3</v>
      </c>
      <c r="J237" s="138">
        <f t="shared" si="47"/>
        <v>4.1047619047619044</v>
      </c>
      <c r="K237" s="138">
        <f>IF(J237=0,0,IF(B237="F",VLOOKUP(I237,Barem!$G$2:$H$11,2,1),VLOOKUP(I237,Barem!$G$12:$H$21,2,1)))</f>
        <v>0</v>
      </c>
      <c r="L237" s="133">
        <v>3</v>
      </c>
      <c r="M237" s="139" t="str">
        <f>VLOOKUP(C237,Barem!L:R,7,0)</f>
        <v>P</v>
      </c>
      <c r="N237" s="140">
        <f t="shared" si="50"/>
        <v>0.25</v>
      </c>
      <c r="O237" s="140">
        <f t="shared" si="50"/>
        <v>0.25</v>
      </c>
      <c r="P237" s="140">
        <f t="shared" si="50"/>
        <v>0.5</v>
      </c>
      <c r="Q237" s="141">
        <f t="shared" si="48"/>
        <v>0.318</v>
      </c>
      <c r="R237" s="142">
        <f>IF(D237&gt;21,VLOOKUP(D237,Barem!$T$1:$U$141,2,1),0)</f>
        <v>0</v>
      </c>
      <c r="S237" s="142">
        <f>IF(D237&lt;1.609,0,IF(B237="F",VLOOKUP(I237,Barem!$X$2:$Z$13,2,1),VLOOKUP(I237,Barem!$X$14:$Z$25,2,1)))</f>
        <v>0</v>
      </c>
      <c r="T237" s="142">
        <f>VLOOKUP(A237,Participanti!A:C,3,0)</f>
        <v>0</v>
      </c>
      <c r="U237" s="143">
        <f t="shared" si="49"/>
        <v>2.8441904761904762</v>
      </c>
      <c r="V237" s="144">
        <v>44625</v>
      </c>
      <c r="W237" s="145">
        <f>COUNTIFS(A:A,A237,C:C,C237)</f>
        <v>1</v>
      </c>
      <c r="X237" s="131" t="e">
        <f>VLOOKUP(A237,Data_echipe!A:R,18,0)</f>
        <v>#N/A</v>
      </c>
      <c r="Z237" s="106">
        <f t="shared" si="44"/>
        <v>0</v>
      </c>
    </row>
    <row r="238" spans="1:26" x14ac:dyDescent="0.25">
      <c r="A238" s="61" t="s">
        <v>218</v>
      </c>
      <c r="B238" s="74" t="str">
        <f>VLOOKUP(A238,Participanti!A:B,2,0)</f>
        <v>M</v>
      </c>
      <c r="C238" s="98">
        <v>9</v>
      </c>
      <c r="D238" s="63">
        <v>22.1</v>
      </c>
      <c r="E238" s="64">
        <v>5.9375000000000004E-2</v>
      </c>
      <c r="F238" s="64">
        <v>5.9375000000000004E-2</v>
      </c>
      <c r="G238" s="90">
        <f t="shared" si="45"/>
        <v>5.9375000000000004E-2</v>
      </c>
      <c r="H238" s="65">
        <v>231</v>
      </c>
      <c r="I238" s="13">
        <f>G238/D238</f>
        <v>2.6866515837104072E-3</v>
      </c>
      <c r="J238" s="84">
        <f>IF(B238="F",IF(D238&lt;2.5,0,IF(D238&gt;19.99,5,D238/4)),IF(D238&lt;3,0, IF(D238&gt;20.99,5,D238/4.2)))</f>
        <v>5</v>
      </c>
      <c r="K238" s="84">
        <f>IF(J238=0,0,IF(B238="F",VLOOKUP(I238,Barem!$G$2:$H$11,2,1),VLOOKUP(I238,Barem!$G$12:$H$21,2,1)))</f>
        <v>5</v>
      </c>
      <c r="L238" s="63">
        <v>3.5</v>
      </c>
      <c r="M238" s="149" t="s">
        <v>220</v>
      </c>
      <c r="N238" s="10">
        <f t="shared" si="50"/>
        <v>0.25</v>
      </c>
      <c r="O238" s="10">
        <f t="shared" si="50"/>
        <v>0.25</v>
      </c>
      <c r="P238" s="10">
        <f t="shared" si="50"/>
        <v>0.5</v>
      </c>
      <c r="Q238" s="47">
        <f>IF(H238&gt;49,H238/1500,0)</f>
        <v>0.154</v>
      </c>
      <c r="R238" s="25">
        <f>IF(D238&gt;21,VLOOKUP(D238,Barem!$T$1:$U$141,2,1),0)</f>
        <v>0</v>
      </c>
      <c r="S238" s="25">
        <f>IF(D238&lt;1.609,0,IF(B238="F",VLOOKUP(I238,Barem!$X$2:$Z$13,2,1),VLOOKUP(I238,Barem!$X$14:$Z$25,2,1)))</f>
        <v>0.45000000000000007</v>
      </c>
      <c r="T238" s="25">
        <f>VLOOKUP(A238,Participanti!A:C,3,0)</f>
        <v>0</v>
      </c>
      <c r="U238" s="20">
        <f>IF(H238&lt;0,0,J238*N238+K238*O238+L238*P238+Q238+R238+S238+T238)</f>
        <v>4.8540000000000001</v>
      </c>
      <c r="V238" s="76">
        <v>44632</v>
      </c>
      <c r="W238" s="101">
        <f>COUNTIFS(A:A,A238,C:C,C238)</f>
        <v>1</v>
      </c>
      <c r="X238" s="74" t="str">
        <f>VLOOKUP(A238,Data_echipe!A:R,18,0)</f>
        <v>Road</v>
      </c>
      <c r="Y238" s="22" t="s">
        <v>278</v>
      </c>
      <c r="Z238" s="106">
        <f t="shared" si="44"/>
        <v>1</v>
      </c>
    </row>
    <row r="239" spans="1:26" x14ac:dyDescent="0.25">
      <c r="A239" s="61" t="s">
        <v>50</v>
      </c>
      <c r="B239" s="74" t="str">
        <f>VLOOKUP(A239,Participanti!A:B,2,0)</f>
        <v>M</v>
      </c>
      <c r="C239" s="98">
        <v>9</v>
      </c>
      <c r="D239" s="63">
        <v>19.010000000000002</v>
      </c>
      <c r="E239" s="64">
        <v>0.10375000000000001</v>
      </c>
      <c r="F239" s="64">
        <v>0.11643518518518518</v>
      </c>
      <c r="G239" s="90">
        <f t="shared" ref="G239:G265" si="51">AVERAGE(E239:F239)</f>
        <v>0.1100925925925926</v>
      </c>
      <c r="H239" s="65">
        <v>1010</v>
      </c>
      <c r="I239" s="13">
        <f t="shared" ref="I239:I265" si="52">G239/D239</f>
        <v>5.7912989264909311E-3</v>
      </c>
      <c r="J239" s="84">
        <f t="shared" ref="J239:J265" si="53">IF(B239="F",IF(D239&lt;2.5,0,IF(D239&gt;19.99,5,D239/4)),IF(D239&lt;3,0, IF(D239&gt;20.99,5,D239/4.2)))</f>
        <v>4.5261904761904761</v>
      </c>
      <c r="K239" s="84">
        <f>IF(J239=0,0,IF(B239="F",VLOOKUP(I239,Barem!$G$2:$H$11,2,1),VLOOKUP(I239,Barem!$G$12:$H$21,2,1)))</f>
        <v>0</v>
      </c>
      <c r="L239" s="63">
        <v>4</v>
      </c>
      <c r="M239" s="149" t="s">
        <v>220</v>
      </c>
      <c r="N239" s="10">
        <f t="shared" si="50"/>
        <v>0.25</v>
      </c>
      <c r="O239" s="10">
        <f t="shared" si="50"/>
        <v>0.25</v>
      </c>
      <c r="P239" s="10">
        <f t="shared" si="50"/>
        <v>0.5</v>
      </c>
      <c r="Q239" s="47">
        <f t="shared" ref="Q239:Q265" si="54">IF(H239&gt;49,H239/1500,0)</f>
        <v>0.67333333333333334</v>
      </c>
      <c r="R239" s="25">
        <f>IF(D239&gt;21,VLOOKUP(D239,Barem!$T$1:$U$141,2,1),0)</f>
        <v>0</v>
      </c>
      <c r="S239" s="25">
        <f>IF(D239&lt;1.609,0,IF(B239="F",VLOOKUP(I239,Barem!$X$2:$Z$13,2,1),VLOOKUP(I239,Barem!$X$14:$Z$25,2,1)))</f>
        <v>0</v>
      </c>
      <c r="T239" s="25">
        <f>VLOOKUP(A239,Participanti!A:C,3,0)</f>
        <v>0</v>
      </c>
      <c r="U239" s="20">
        <f t="shared" ref="U239:U265" si="55">IF(H239&lt;0,0,J239*N239+K239*O239+L239*P239+Q239+R239+S239+T239)</f>
        <v>3.8048809523809521</v>
      </c>
      <c r="V239" s="76">
        <v>44632</v>
      </c>
      <c r="W239" s="101">
        <f>COUNTIFS(A:A,A239,C:C,C239)</f>
        <v>1</v>
      </c>
      <c r="X239" s="74" t="str">
        <f>VLOOKUP(A239,Data_echipe!A:R,18,0)</f>
        <v>Trail</v>
      </c>
      <c r="Z239" s="106">
        <f t="shared" si="44"/>
        <v>0</v>
      </c>
    </row>
    <row r="240" spans="1:26" x14ac:dyDescent="0.25">
      <c r="A240" s="61" t="s">
        <v>64</v>
      </c>
      <c r="B240" s="74" t="str">
        <f>VLOOKUP(A240,Participanti!A:B,2,0)</f>
        <v>M</v>
      </c>
      <c r="C240" s="98">
        <v>9</v>
      </c>
      <c r="D240" s="63">
        <v>21.21</v>
      </c>
      <c r="E240" s="64">
        <v>8.4351851851851845E-2</v>
      </c>
      <c r="F240" s="64">
        <v>8.4398148148148153E-2</v>
      </c>
      <c r="G240" s="90">
        <f t="shared" si="51"/>
        <v>8.4375000000000006E-2</v>
      </c>
      <c r="H240" s="65">
        <v>58</v>
      </c>
      <c r="I240" s="13">
        <f t="shared" si="52"/>
        <v>3.9780763790664784E-3</v>
      </c>
      <c r="J240" s="84">
        <f t="shared" si="53"/>
        <v>5</v>
      </c>
      <c r="K240" s="84">
        <f>IF(J240=0,0,IF(B240="F",VLOOKUP(I240,Barem!$G$2:$H$11,2,1),VLOOKUP(I240,Barem!$G$12:$H$21,2,1)))</f>
        <v>1.5</v>
      </c>
      <c r="L240" s="63">
        <v>3.5</v>
      </c>
      <c r="M240" s="62" t="str">
        <f>VLOOKUP(C240,Barem!L:R,7,0)</f>
        <v>D</v>
      </c>
      <c r="N240" s="10">
        <f t="shared" ref="N240:P267" si="56">IF($M240=N$1,50%,25%)</f>
        <v>0.5</v>
      </c>
      <c r="O240" s="10">
        <f t="shared" si="56"/>
        <v>0.25</v>
      </c>
      <c r="P240" s="10">
        <f t="shared" si="56"/>
        <v>0.25</v>
      </c>
      <c r="Q240" s="47">
        <f t="shared" si="54"/>
        <v>3.8666666666666669E-2</v>
      </c>
      <c r="R240" s="25">
        <f>IF(D240&gt;21,VLOOKUP(D240,Barem!$T$1:$U$141,2,1),0)</f>
        <v>0</v>
      </c>
      <c r="S240" s="25">
        <f>IF(D240&lt;1.609,0,IF(B240="F",VLOOKUP(I240,Barem!$X$2:$Z$13,2,1),VLOOKUP(I240,Barem!$X$14:$Z$25,2,1)))</f>
        <v>0</v>
      </c>
      <c r="T240" s="25">
        <f>VLOOKUP(A240,Participanti!A:C,3,0)</f>
        <v>0</v>
      </c>
      <c r="U240" s="20">
        <f t="shared" si="55"/>
        <v>3.7886666666666668</v>
      </c>
      <c r="V240" s="76">
        <v>44632</v>
      </c>
      <c r="W240" s="101">
        <f>COUNTIFS(A:A,A240,C:C,C240)</f>
        <v>1</v>
      </c>
      <c r="X240" s="74" t="str">
        <f>VLOOKUP(A240,Data_echipe!A:R,18,0)</f>
        <v>Trail</v>
      </c>
      <c r="Z240" s="106">
        <f t="shared" si="44"/>
        <v>1</v>
      </c>
    </row>
    <row r="241" spans="1:26" x14ac:dyDescent="0.25">
      <c r="A241" s="61" t="s">
        <v>52</v>
      </c>
      <c r="B241" s="74" t="str">
        <f>VLOOKUP(A241,Participanti!A:B,2,0)</f>
        <v>M</v>
      </c>
      <c r="C241" s="98">
        <v>9</v>
      </c>
      <c r="D241" s="63">
        <v>32.35</v>
      </c>
      <c r="E241" s="64">
        <v>0.13770833333333335</v>
      </c>
      <c r="F241" s="64">
        <v>0.14135416666666667</v>
      </c>
      <c r="G241" s="90">
        <f t="shared" si="51"/>
        <v>0.13953125</v>
      </c>
      <c r="H241" s="65">
        <v>1159</v>
      </c>
      <c r="I241" s="13">
        <f t="shared" si="52"/>
        <v>4.3131761978361669E-3</v>
      </c>
      <c r="J241" s="84">
        <f t="shared" si="53"/>
        <v>5</v>
      </c>
      <c r="K241" s="84">
        <f>IF(J241=0,0,IF(B241="F",VLOOKUP(I241,Barem!$G$2:$H$11,2,1),VLOOKUP(I241,Barem!$G$12:$H$21,2,1)))</f>
        <v>1</v>
      </c>
      <c r="L241" s="63">
        <v>4</v>
      </c>
      <c r="M241" s="149" t="s">
        <v>220</v>
      </c>
      <c r="N241" s="10">
        <f t="shared" si="56"/>
        <v>0.25</v>
      </c>
      <c r="O241" s="10">
        <f t="shared" si="56"/>
        <v>0.25</v>
      </c>
      <c r="P241" s="10">
        <f t="shared" si="56"/>
        <v>0.5</v>
      </c>
      <c r="Q241" s="47">
        <f t="shared" si="54"/>
        <v>0.77266666666666661</v>
      </c>
      <c r="R241" s="25">
        <f>IF(D241&gt;21,VLOOKUP(D241,Barem!$T$1:$U$141,2,1),0)</f>
        <v>0.5</v>
      </c>
      <c r="S241" s="25">
        <f>IF(D241&lt;1.609,0,IF(B241="F",VLOOKUP(I241,Barem!$X$2:$Z$13,2,1),VLOOKUP(I241,Barem!$X$14:$Z$25,2,1)))</f>
        <v>0</v>
      </c>
      <c r="T241" s="25">
        <f>VLOOKUP(A241,Participanti!A:C,3,0)</f>
        <v>0</v>
      </c>
      <c r="U241" s="20">
        <f t="shared" si="55"/>
        <v>4.7726666666666668</v>
      </c>
      <c r="V241" s="76">
        <v>44632</v>
      </c>
      <c r="W241" s="101">
        <f>COUNTIFS(A:A,A241,C:C,C241)</f>
        <v>1</v>
      </c>
      <c r="X241" s="74" t="str">
        <f>VLOOKUP(A241,Data_echipe!A:R,18,0)</f>
        <v>Trail</v>
      </c>
      <c r="Z241" s="106">
        <f t="shared" si="44"/>
        <v>1</v>
      </c>
    </row>
    <row r="242" spans="1:26" x14ac:dyDescent="0.25">
      <c r="A242" s="61" t="s">
        <v>110</v>
      </c>
      <c r="B242" s="74" t="str">
        <f>VLOOKUP(A242,Participanti!A:B,2,0)</f>
        <v>M</v>
      </c>
      <c r="C242" s="98">
        <v>9</v>
      </c>
      <c r="D242" s="63">
        <v>56.09</v>
      </c>
      <c r="E242" s="64">
        <v>0.27344907407407409</v>
      </c>
      <c r="F242" s="64">
        <v>0.30644675925925929</v>
      </c>
      <c r="G242" s="90">
        <f t="shared" si="51"/>
        <v>0.28994791666666669</v>
      </c>
      <c r="H242" s="65">
        <v>1507</v>
      </c>
      <c r="I242" s="13">
        <f t="shared" si="52"/>
        <v>5.1693335116182329E-3</v>
      </c>
      <c r="J242" s="84">
        <f t="shared" si="53"/>
        <v>5</v>
      </c>
      <c r="K242" s="84">
        <f>IF(J242=0,0,IF(B242="F",VLOOKUP(I242,Barem!$G$2:$H$11,2,1),VLOOKUP(I242,Barem!$G$12:$H$21,2,1)))</f>
        <v>1</v>
      </c>
      <c r="L242" s="63">
        <v>4</v>
      </c>
      <c r="M242" s="62" t="str">
        <f>VLOOKUP(C242,Barem!L:R,7,0)</f>
        <v>D</v>
      </c>
      <c r="N242" s="10">
        <f t="shared" si="56"/>
        <v>0.5</v>
      </c>
      <c r="O242" s="10">
        <f t="shared" si="56"/>
        <v>0.25</v>
      </c>
      <c r="P242" s="10">
        <f t="shared" si="56"/>
        <v>0.25</v>
      </c>
      <c r="Q242" s="47">
        <f t="shared" si="54"/>
        <v>1.0046666666666666</v>
      </c>
      <c r="R242" s="25">
        <f>IF(D242&gt;21,VLOOKUP(D242,Barem!$T$1:$U$141,2,1),0)</f>
        <v>1.7</v>
      </c>
      <c r="S242" s="25">
        <f>IF(D242&lt;1.609,0,IF(B242="F",VLOOKUP(I242,Barem!$X$2:$Z$13,2,1),VLOOKUP(I242,Barem!$X$14:$Z$25,2,1)))</f>
        <v>0</v>
      </c>
      <c r="T242" s="25">
        <f>VLOOKUP(A242,Participanti!A:C,3,0)</f>
        <v>0</v>
      </c>
      <c r="U242" s="20">
        <f t="shared" si="55"/>
        <v>6.4546666666666672</v>
      </c>
      <c r="V242" s="76">
        <v>44632</v>
      </c>
      <c r="W242" s="101">
        <f>COUNTIFS(A:A,A242,C:C,C242)</f>
        <v>1</v>
      </c>
      <c r="X242" s="74" t="str">
        <f>VLOOKUP(A242,Data_echipe!A:R,18,0)</f>
        <v>Road</v>
      </c>
      <c r="Z242" s="106">
        <f t="shared" si="44"/>
        <v>1</v>
      </c>
    </row>
    <row r="243" spans="1:26" x14ac:dyDescent="0.25">
      <c r="A243" s="61" t="s">
        <v>117</v>
      </c>
      <c r="B243" s="74" t="str">
        <f>VLOOKUP(A243,Participanti!A:B,2,0)</f>
        <v>M</v>
      </c>
      <c r="C243" s="98">
        <v>9</v>
      </c>
      <c r="D243" s="63">
        <v>13.45</v>
      </c>
      <c r="E243" s="64">
        <v>5.5856481481481479E-2</v>
      </c>
      <c r="F243" s="64">
        <v>7.4282407407407408E-2</v>
      </c>
      <c r="G243" s="90">
        <f t="shared" si="51"/>
        <v>6.5069444444444444E-2</v>
      </c>
      <c r="H243" s="65">
        <v>85</v>
      </c>
      <c r="I243" s="13">
        <f t="shared" si="52"/>
        <v>4.8378769103676169E-3</v>
      </c>
      <c r="J243" s="84">
        <f t="shared" si="53"/>
        <v>3.2023809523809521</v>
      </c>
      <c r="K243" s="84">
        <f>IF(J243=0,0,IF(B243="F",VLOOKUP(I243,Barem!$G$2:$H$11,2,1),VLOOKUP(I243,Barem!$G$12:$H$21,2,1)))</f>
        <v>1</v>
      </c>
      <c r="L243" s="63">
        <v>4</v>
      </c>
      <c r="M243" s="149" t="s">
        <v>220</v>
      </c>
      <c r="N243" s="10">
        <f t="shared" si="56"/>
        <v>0.25</v>
      </c>
      <c r="O243" s="10">
        <f t="shared" si="56"/>
        <v>0.25</v>
      </c>
      <c r="P243" s="10">
        <f t="shared" si="56"/>
        <v>0.5</v>
      </c>
      <c r="Q243" s="47">
        <f t="shared" si="54"/>
        <v>5.6666666666666664E-2</v>
      </c>
      <c r="R243" s="25">
        <f>IF(D243&gt;21,VLOOKUP(D243,Barem!$T$1:$U$141,2,1),0)</f>
        <v>0</v>
      </c>
      <c r="S243" s="25">
        <f>IF(D243&lt;1.609,0,IF(B243="F",VLOOKUP(I243,Barem!$X$2:$Z$13,2,1),VLOOKUP(I243,Barem!$X$14:$Z$25,2,1)))</f>
        <v>0</v>
      </c>
      <c r="T243" s="25">
        <f>VLOOKUP(A243,Participanti!A:C,3,0)</f>
        <v>0</v>
      </c>
      <c r="U243" s="20">
        <f t="shared" si="55"/>
        <v>3.1072619047619048</v>
      </c>
      <c r="V243" s="76">
        <v>44632</v>
      </c>
      <c r="W243" s="101">
        <f>COUNTIFS(A:A,A243,C:C,C243)</f>
        <v>1</v>
      </c>
      <c r="X243" s="74" t="str">
        <f>VLOOKUP(A243,Data_echipe!A:R,18,0)</f>
        <v>Trail</v>
      </c>
      <c r="Z243" s="106">
        <f t="shared" si="44"/>
        <v>1</v>
      </c>
    </row>
    <row r="244" spans="1:26" x14ac:dyDescent="0.25">
      <c r="A244" s="61" t="s">
        <v>254</v>
      </c>
      <c r="B244" s="74" t="str">
        <f>VLOOKUP(A244,Participanti!A:B,2,0)</f>
        <v>M</v>
      </c>
      <c r="C244" s="98">
        <v>9</v>
      </c>
      <c r="D244" s="63">
        <v>21.22</v>
      </c>
      <c r="E244" s="64">
        <v>0.1059837962962963</v>
      </c>
      <c r="F244" s="64">
        <v>0.10731481481481481</v>
      </c>
      <c r="G244" s="90">
        <f t="shared" si="51"/>
        <v>0.10664930555555555</v>
      </c>
      <c r="H244" s="65">
        <v>633</v>
      </c>
      <c r="I244" s="13">
        <f t="shared" si="52"/>
        <v>5.0258862184521941E-3</v>
      </c>
      <c r="J244" s="84">
        <f t="shared" si="53"/>
        <v>5</v>
      </c>
      <c r="K244" s="84">
        <f>IF(J244=0,0,IF(B244="F",VLOOKUP(I244,Barem!$G$2:$H$11,2,1),VLOOKUP(I244,Barem!$G$12:$H$21,2,1)))</f>
        <v>1</v>
      </c>
      <c r="L244" s="63">
        <v>4</v>
      </c>
      <c r="M244" s="149" t="s">
        <v>220</v>
      </c>
      <c r="N244" s="10">
        <f t="shared" si="56"/>
        <v>0.25</v>
      </c>
      <c r="O244" s="10">
        <f t="shared" si="56"/>
        <v>0.25</v>
      </c>
      <c r="P244" s="10">
        <f t="shared" si="56"/>
        <v>0.5</v>
      </c>
      <c r="Q244" s="47">
        <f t="shared" si="54"/>
        <v>0.42199999999999999</v>
      </c>
      <c r="R244" s="25">
        <f>IF(D244&gt;21,VLOOKUP(D244,Barem!$T$1:$U$141,2,1),0)</f>
        <v>0</v>
      </c>
      <c r="S244" s="25">
        <f>IF(D244&lt;1.609,0,IF(B244="F",VLOOKUP(I244,Barem!$X$2:$Z$13,2,1),VLOOKUP(I244,Barem!$X$14:$Z$25,2,1)))</f>
        <v>0</v>
      </c>
      <c r="T244" s="25">
        <f>VLOOKUP(A244,Participanti!A:C,3,0)</f>
        <v>0</v>
      </c>
      <c r="U244" s="20">
        <f t="shared" si="55"/>
        <v>3.9220000000000002</v>
      </c>
      <c r="V244" s="76">
        <v>44627</v>
      </c>
      <c r="W244" s="101">
        <f>COUNTIFS(A:A,A244,C:C,C244)</f>
        <v>1</v>
      </c>
      <c r="X244" s="74" t="str">
        <f>VLOOKUP(A244,Data_echipe!A:R,18,0)</f>
        <v>Trail</v>
      </c>
      <c r="Z244" s="106">
        <f t="shared" si="44"/>
        <v>1</v>
      </c>
    </row>
    <row r="245" spans="1:26" x14ac:dyDescent="0.25">
      <c r="A245" s="61" t="s">
        <v>141</v>
      </c>
      <c r="B245" s="74" t="str">
        <f>VLOOKUP(A245,Participanti!A:B,2,0)</f>
        <v>F</v>
      </c>
      <c r="C245" s="98">
        <v>9</v>
      </c>
      <c r="D245" s="63">
        <v>10.01</v>
      </c>
      <c r="E245" s="64">
        <v>3.1006944444444445E-2</v>
      </c>
      <c r="F245" s="64">
        <v>3.1006944444444445E-2</v>
      </c>
      <c r="G245" s="90">
        <f t="shared" si="51"/>
        <v>3.1006944444444445E-2</v>
      </c>
      <c r="H245" s="65">
        <v>22</v>
      </c>
      <c r="I245" s="13">
        <f t="shared" si="52"/>
        <v>3.0975968475968475E-3</v>
      </c>
      <c r="J245" s="84">
        <f t="shared" si="53"/>
        <v>2.5024999999999999</v>
      </c>
      <c r="K245" s="84">
        <f>IF(J245=0,0,IF(B245="F",VLOOKUP(I245,Barem!$G$2:$H$11,2,1),VLOOKUP(I245,Barem!$G$12:$H$21,2,1)))</f>
        <v>5</v>
      </c>
      <c r="L245" s="63">
        <v>2.5</v>
      </c>
      <c r="M245" s="149" t="s">
        <v>109</v>
      </c>
      <c r="N245" s="10">
        <f t="shared" si="56"/>
        <v>0.25</v>
      </c>
      <c r="O245" s="10">
        <f t="shared" si="56"/>
        <v>0.5</v>
      </c>
      <c r="P245" s="10">
        <f t="shared" si="56"/>
        <v>0.25</v>
      </c>
      <c r="Q245" s="47">
        <f t="shared" si="54"/>
        <v>0</v>
      </c>
      <c r="R245" s="25">
        <f>IF(D245&gt;21,VLOOKUP(D245,Barem!$T$1:$U$141,2,1),0)</f>
        <v>0</v>
      </c>
      <c r="S245" s="25">
        <f>IF(D245&lt;1.609,0,IF(B245="F",VLOOKUP(I245,Barem!$X$2:$Z$13,2,1),VLOOKUP(I245,Barem!$X$14:$Z$25,2,1)))</f>
        <v>0.15000000000000002</v>
      </c>
      <c r="T245" s="25">
        <f>VLOOKUP(A245,Participanti!A:C,3,0)</f>
        <v>0</v>
      </c>
      <c r="U245" s="20">
        <f t="shared" si="55"/>
        <v>3.9006249999999998</v>
      </c>
      <c r="V245" s="76">
        <v>44632</v>
      </c>
      <c r="W245" s="101">
        <f>COUNTIFS(A:A,A245,C:C,C245)</f>
        <v>1</v>
      </c>
      <c r="X245" s="74" t="str">
        <f>VLOOKUP(A245,Data_echipe!A:R,18,0)</f>
        <v>Trail</v>
      </c>
      <c r="Z245" s="106">
        <f t="shared" si="44"/>
        <v>1</v>
      </c>
    </row>
    <row r="246" spans="1:26" x14ac:dyDescent="0.25">
      <c r="A246" s="61" t="s">
        <v>216</v>
      </c>
      <c r="B246" s="74" t="str">
        <f>VLOOKUP(A246,Participanti!A:B,2,0)</f>
        <v>M</v>
      </c>
      <c r="C246" s="98">
        <v>9</v>
      </c>
      <c r="D246" s="63">
        <v>7.15</v>
      </c>
      <c r="E246" s="64">
        <v>2.2002314814814818E-2</v>
      </c>
      <c r="F246" s="64">
        <v>2.2037037037037036E-2</v>
      </c>
      <c r="G246" s="90">
        <f t="shared" si="51"/>
        <v>2.2019675925925929E-2</v>
      </c>
      <c r="H246" s="65">
        <v>10</v>
      </c>
      <c r="I246" s="13">
        <f t="shared" si="52"/>
        <v>3.0796749546749551E-3</v>
      </c>
      <c r="J246" s="84">
        <f t="shared" si="53"/>
        <v>1.7023809523809523</v>
      </c>
      <c r="K246" s="84">
        <f>IF(J246=0,0,IF(B246="F",VLOOKUP(I246,Barem!$G$2:$H$11,2,1),VLOOKUP(I246,Barem!$G$12:$H$21,2,1)))</f>
        <v>4</v>
      </c>
      <c r="L246" s="63">
        <v>3</v>
      </c>
      <c r="M246" s="149" t="s">
        <v>220</v>
      </c>
      <c r="N246" s="10">
        <f t="shared" si="56"/>
        <v>0.25</v>
      </c>
      <c r="O246" s="10">
        <f t="shared" si="56"/>
        <v>0.25</v>
      </c>
      <c r="P246" s="10">
        <f t="shared" si="56"/>
        <v>0.5</v>
      </c>
      <c r="Q246" s="47">
        <f t="shared" si="54"/>
        <v>0</v>
      </c>
      <c r="R246" s="25">
        <f>IF(D246&gt;21,VLOOKUP(D246,Barem!$T$1:$U$141,2,1),0)</f>
        <v>0</v>
      </c>
      <c r="S246" s="25">
        <f>IF(D246&lt;1.609,0,IF(B246="F",VLOOKUP(I246,Barem!$X$2:$Z$13,2,1),VLOOKUP(I246,Barem!$X$14:$Z$25,2,1)))</f>
        <v>0</v>
      </c>
      <c r="T246" s="25">
        <f>VLOOKUP(A246,Participanti!A:C,3,0)</f>
        <v>0</v>
      </c>
      <c r="U246" s="20">
        <f t="shared" si="55"/>
        <v>2.9255952380952381</v>
      </c>
      <c r="V246" s="76">
        <v>44630</v>
      </c>
      <c r="W246" s="101">
        <f>COUNTIFS(A:A,A246,C:C,C246)</f>
        <v>1</v>
      </c>
      <c r="X246" s="74" t="str">
        <f>VLOOKUP(A246,Data_echipe!A:R,18,0)</f>
        <v>Road</v>
      </c>
      <c r="Z246" s="106">
        <f t="shared" si="44"/>
        <v>1</v>
      </c>
    </row>
    <row r="247" spans="1:26" x14ac:dyDescent="0.25">
      <c r="A247" s="61" t="s">
        <v>49</v>
      </c>
      <c r="B247" s="74" t="str">
        <f>VLOOKUP(A247,Participanti!A:B,2,0)</f>
        <v>M</v>
      </c>
      <c r="C247" s="98">
        <v>9</v>
      </c>
      <c r="D247" s="63">
        <v>14.8</v>
      </c>
      <c r="E247" s="64">
        <v>6.7939814814814814E-2</v>
      </c>
      <c r="F247" s="64">
        <v>9.9525462962962954E-2</v>
      </c>
      <c r="G247" s="90">
        <f t="shared" si="51"/>
        <v>8.3732638888888877E-2</v>
      </c>
      <c r="H247" s="65">
        <v>305</v>
      </c>
      <c r="I247" s="13">
        <f t="shared" si="52"/>
        <v>5.6576107357357349E-3</v>
      </c>
      <c r="J247" s="84">
        <f t="shared" si="53"/>
        <v>3.5238095238095237</v>
      </c>
      <c r="K247" s="84">
        <f>IF(J247=0,0,IF(B247="F",VLOOKUP(I247,Barem!$G$2:$H$11,2,1),VLOOKUP(I247,Barem!$G$12:$H$21,2,1)))</f>
        <v>0</v>
      </c>
      <c r="L247" s="63">
        <v>4</v>
      </c>
      <c r="M247" s="62" t="str">
        <f>VLOOKUP(C247,Barem!L:R,7,0)</f>
        <v>D</v>
      </c>
      <c r="N247" s="10">
        <f t="shared" si="56"/>
        <v>0.5</v>
      </c>
      <c r="O247" s="10">
        <f t="shared" si="56"/>
        <v>0.25</v>
      </c>
      <c r="P247" s="10">
        <f t="shared" si="56"/>
        <v>0.25</v>
      </c>
      <c r="Q247" s="47">
        <f t="shared" si="54"/>
        <v>0.20333333333333334</v>
      </c>
      <c r="R247" s="25">
        <f>IF(D247&gt;21,VLOOKUP(D247,Barem!$T$1:$U$141,2,1),0)</f>
        <v>0</v>
      </c>
      <c r="S247" s="25">
        <f>IF(D247&lt;1.609,0,IF(B247="F",VLOOKUP(I247,Barem!$X$2:$Z$13,2,1),VLOOKUP(I247,Barem!$X$14:$Z$25,2,1)))</f>
        <v>0</v>
      </c>
      <c r="T247" s="25">
        <f>VLOOKUP(A247,Participanti!A:C,3,0)</f>
        <v>0.4</v>
      </c>
      <c r="U247" s="20">
        <f t="shared" si="55"/>
        <v>3.3652380952380949</v>
      </c>
      <c r="V247" s="76">
        <v>44633</v>
      </c>
      <c r="W247" s="101">
        <f>COUNTIFS(A:A,A247,C:C,C247)</f>
        <v>1</v>
      </c>
      <c r="X247" s="74" t="str">
        <f>VLOOKUP(A247,Data_echipe!A:R,18,0)</f>
        <v>Road</v>
      </c>
      <c r="Z247" s="106">
        <f t="shared" si="44"/>
        <v>0</v>
      </c>
    </row>
    <row r="248" spans="1:26" ht="13.8" customHeight="1" x14ac:dyDescent="0.25">
      <c r="A248" s="61" t="s">
        <v>255</v>
      </c>
      <c r="B248" s="74" t="str">
        <f>VLOOKUP(A248,Participanti!A:B,2,0)</f>
        <v>F</v>
      </c>
      <c r="C248" s="98">
        <v>9</v>
      </c>
      <c r="D248" s="63">
        <v>16</v>
      </c>
      <c r="E248" s="64">
        <v>7.6736111111111116E-2</v>
      </c>
      <c r="F248" s="64">
        <v>7.6990740740740735E-2</v>
      </c>
      <c r="G248" s="90">
        <f t="shared" si="51"/>
        <v>7.6863425925925932E-2</v>
      </c>
      <c r="H248" s="65">
        <v>694</v>
      </c>
      <c r="I248" s="13">
        <f t="shared" si="52"/>
        <v>4.8039641203703708E-3</v>
      </c>
      <c r="J248" s="84">
        <f t="shared" si="53"/>
        <v>4</v>
      </c>
      <c r="K248" s="84">
        <f>IF(J248=0,0,IF(B248="F",VLOOKUP(I248,Barem!$G$2:$H$11,2,1),VLOOKUP(I248,Barem!$G$12:$H$21,2,1)))</f>
        <v>1</v>
      </c>
      <c r="L248" s="63">
        <v>2</v>
      </c>
      <c r="M248" s="62" t="str">
        <f>VLOOKUP(C248,Barem!L:R,7,0)</f>
        <v>D</v>
      </c>
      <c r="N248" s="10">
        <f t="shared" si="56"/>
        <v>0.5</v>
      </c>
      <c r="O248" s="10">
        <f t="shared" si="56"/>
        <v>0.25</v>
      </c>
      <c r="P248" s="10">
        <f t="shared" si="56"/>
        <v>0.25</v>
      </c>
      <c r="Q248" s="47">
        <f t="shared" si="54"/>
        <v>0.46266666666666667</v>
      </c>
      <c r="R248" s="25">
        <f>IF(D248&gt;21,VLOOKUP(D248,Barem!$T$1:$U$141,2,1),0)</f>
        <v>0</v>
      </c>
      <c r="S248" s="25">
        <f>IF(D248&lt;1.609,0,IF(B248="F",VLOOKUP(I248,Barem!$X$2:$Z$13,2,1),VLOOKUP(I248,Barem!$X$14:$Z$25,2,1)))</f>
        <v>0</v>
      </c>
      <c r="T248" s="25">
        <f>VLOOKUP(A248,Participanti!A:C,3,0)</f>
        <v>0</v>
      </c>
      <c r="U248" s="20">
        <f t="shared" si="55"/>
        <v>3.2126666666666668</v>
      </c>
      <c r="V248" s="76">
        <v>44633</v>
      </c>
      <c r="W248" s="101">
        <f>COUNTIFS(A:A,A248,C:C,C248)</f>
        <v>1</v>
      </c>
      <c r="X248" s="74" t="str">
        <f>VLOOKUP(A248,Data_echipe!A:R,18,0)</f>
        <v>Trail</v>
      </c>
      <c r="Z248" s="106">
        <f t="shared" si="44"/>
        <v>1</v>
      </c>
    </row>
    <row r="249" spans="1:26" x14ac:dyDescent="0.25">
      <c r="A249" s="61" t="s">
        <v>57</v>
      </c>
      <c r="B249" s="74" t="str">
        <f>VLOOKUP(A249,Participanti!A:B,2,0)</f>
        <v>M</v>
      </c>
      <c r="C249" s="98">
        <v>9</v>
      </c>
      <c r="D249" s="63">
        <v>21.3</v>
      </c>
      <c r="E249" s="64">
        <v>0.12321759259259259</v>
      </c>
      <c r="F249" s="64">
        <v>0.12616898148148148</v>
      </c>
      <c r="G249" s="90">
        <f t="shared" si="51"/>
        <v>0.12469328703703703</v>
      </c>
      <c r="H249" s="65">
        <v>692</v>
      </c>
      <c r="I249" s="13">
        <f t="shared" si="52"/>
        <v>5.8541449313162918E-3</v>
      </c>
      <c r="J249" s="84">
        <f t="shared" si="53"/>
        <v>5</v>
      </c>
      <c r="K249" s="84">
        <f>IF(J249=0,0,IF(B249="F",VLOOKUP(I249,Barem!$G$2:$H$11,2,1),VLOOKUP(I249,Barem!$G$12:$H$21,2,1)))</f>
        <v>0</v>
      </c>
      <c r="L249" s="63">
        <v>3.5</v>
      </c>
      <c r="M249" s="62" t="str">
        <f>VLOOKUP(C249,Barem!L:R,7,0)</f>
        <v>D</v>
      </c>
      <c r="N249" s="10">
        <f t="shared" si="56"/>
        <v>0.5</v>
      </c>
      <c r="O249" s="10">
        <f t="shared" si="56"/>
        <v>0.25</v>
      </c>
      <c r="P249" s="10">
        <f t="shared" si="56"/>
        <v>0.25</v>
      </c>
      <c r="Q249" s="47">
        <f t="shared" si="54"/>
        <v>0.46133333333333332</v>
      </c>
      <c r="R249" s="25">
        <f>IF(D249&gt;21,VLOOKUP(D249,Barem!$T$1:$U$141,2,1),0)</f>
        <v>0</v>
      </c>
      <c r="S249" s="25">
        <f>IF(D249&lt;1.609,0,IF(B249="F",VLOOKUP(I249,Barem!$X$2:$Z$13,2,1),VLOOKUP(I249,Barem!$X$14:$Z$25,2,1)))</f>
        <v>0</v>
      </c>
      <c r="T249" s="25">
        <f>VLOOKUP(A249,Participanti!A:C,3,0)</f>
        <v>0</v>
      </c>
      <c r="U249" s="20">
        <f t="shared" si="55"/>
        <v>3.8363333333333332</v>
      </c>
      <c r="V249" s="76">
        <v>44633</v>
      </c>
      <c r="W249" s="101">
        <f>COUNTIFS(A:A,A249,C:C,C249)</f>
        <v>1</v>
      </c>
      <c r="X249" s="74" t="str">
        <f>VLOOKUP(A249,Data_echipe!A:R,18,0)</f>
        <v>Trail</v>
      </c>
      <c r="Z249" s="106">
        <f t="shared" si="44"/>
        <v>0</v>
      </c>
    </row>
    <row r="250" spans="1:26" x14ac:dyDescent="0.25">
      <c r="A250" s="61" t="s">
        <v>256</v>
      </c>
      <c r="B250" s="74" t="str">
        <f>VLOOKUP(A250,Participanti!A:B,2,0)</f>
        <v>M</v>
      </c>
      <c r="C250" s="98">
        <v>9</v>
      </c>
      <c r="D250" s="63">
        <v>14.67</v>
      </c>
      <c r="E250" s="64">
        <v>6.4814814814814811E-2</v>
      </c>
      <c r="F250" s="64">
        <v>6.4814814814814811E-2</v>
      </c>
      <c r="G250" s="90">
        <f t="shared" si="51"/>
        <v>6.4814814814814811E-2</v>
      </c>
      <c r="H250" s="65">
        <v>0</v>
      </c>
      <c r="I250" s="13">
        <f t="shared" si="52"/>
        <v>4.4181877856042818E-3</v>
      </c>
      <c r="J250" s="84">
        <f t="shared" si="53"/>
        <v>3.4928571428571429</v>
      </c>
      <c r="K250" s="84">
        <f>IF(J250=0,0,IF(B250="F",VLOOKUP(I250,Barem!$G$2:$H$11,2,1),VLOOKUP(I250,Barem!$G$12:$H$21,2,1)))</f>
        <v>1</v>
      </c>
      <c r="L250" s="63">
        <v>1</v>
      </c>
      <c r="M250" s="62" t="str">
        <f>VLOOKUP(C250,Barem!L:R,7,0)</f>
        <v>D</v>
      </c>
      <c r="N250" s="10">
        <f t="shared" si="56"/>
        <v>0.5</v>
      </c>
      <c r="O250" s="10">
        <f t="shared" si="56"/>
        <v>0.25</v>
      </c>
      <c r="P250" s="10">
        <f t="shared" si="56"/>
        <v>0.25</v>
      </c>
      <c r="Q250" s="47">
        <f t="shared" si="54"/>
        <v>0</v>
      </c>
      <c r="R250" s="25">
        <f>IF(D250&gt;21,VLOOKUP(D250,Barem!$T$1:$U$141,2,1),0)</f>
        <v>0</v>
      </c>
      <c r="S250" s="25">
        <f>IF(D250&lt;1.609,0,IF(B250="F",VLOOKUP(I250,Barem!$X$2:$Z$13,2,1),VLOOKUP(I250,Barem!$X$14:$Z$25,2,1)))</f>
        <v>0</v>
      </c>
      <c r="T250" s="25">
        <f>VLOOKUP(A250,Participanti!A:C,3,0)</f>
        <v>0</v>
      </c>
      <c r="U250" s="20">
        <f t="shared" si="55"/>
        <v>2.2464285714285714</v>
      </c>
      <c r="V250" s="76">
        <v>44633</v>
      </c>
      <c r="W250" s="101">
        <f>COUNTIFS(A:A,A250,C:C,C250)</f>
        <v>1</v>
      </c>
      <c r="X250" s="74" t="str">
        <f>VLOOKUP(A250,Data_echipe!A:R,18,0)</f>
        <v>Road</v>
      </c>
      <c r="Z250" s="106">
        <f t="shared" si="44"/>
        <v>1</v>
      </c>
    </row>
    <row r="251" spans="1:26" x14ac:dyDescent="0.25">
      <c r="A251" s="61" t="s">
        <v>142</v>
      </c>
      <c r="B251" s="74" t="str">
        <f>VLOOKUP(A251,Participanti!A:B,2,0)</f>
        <v>F</v>
      </c>
      <c r="C251" s="98">
        <v>9</v>
      </c>
      <c r="D251" s="63">
        <v>6.01</v>
      </c>
      <c r="E251" s="64">
        <v>2.224537037037037E-2</v>
      </c>
      <c r="F251" s="64">
        <v>2.224537037037037E-2</v>
      </c>
      <c r="G251" s="90">
        <f t="shared" si="51"/>
        <v>2.224537037037037E-2</v>
      </c>
      <c r="H251" s="65">
        <v>26</v>
      </c>
      <c r="I251" s="13">
        <f t="shared" si="52"/>
        <v>3.7013927404942379E-3</v>
      </c>
      <c r="J251" s="84">
        <f t="shared" si="53"/>
        <v>1.5024999999999999</v>
      </c>
      <c r="K251" s="84">
        <f>IF(J251=0,0,IF(B251="F",VLOOKUP(I251,Barem!$G$2:$H$11,2,1),VLOOKUP(I251,Barem!$G$12:$H$21,2,1)))</f>
        <v>3</v>
      </c>
      <c r="L251" s="63">
        <v>3.5</v>
      </c>
      <c r="M251" s="149" t="s">
        <v>109</v>
      </c>
      <c r="N251" s="10">
        <f t="shared" si="56"/>
        <v>0.25</v>
      </c>
      <c r="O251" s="10">
        <f t="shared" si="56"/>
        <v>0.5</v>
      </c>
      <c r="P251" s="10">
        <f t="shared" si="56"/>
        <v>0.25</v>
      </c>
      <c r="Q251" s="47">
        <f t="shared" si="54"/>
        <v>0</v>
      </c>
      <c r="R251" s="25">
        <f>IF(D251&gt;21,VLOOKUP(D251,Barem!$T$1:$U$141,2,1),0)</f>
        <v>0</v>
      </c>
      <c r="S251" s="25">
        <f>IF(D251&lt;1.609,0,IF(B251="F",VLOOKUP(I251,Barem!$X$2:$Z$13,2,1),VLOOKUP(I251,Barem!$X$14:$Z$25,2,1)))</f>
        <v>0</v>
      </c>
      <c r="T251" s="25">
        <f>VLOOKUP(A251,Participanti!A:C,3,0)</f>
        <v>0</v>
      </c>
      <c r="U251" s="20">
        <f t="shared" si="55"/>
        <v>2.7506249999999999</v>
      </c>
      <c r="V251" s="76">
        <v>44632</v>
      </c>
      <c r="W251" s="101">
        <f>COUNTIFS(A:A,A251,C:C,C251)</f>
        <v>1</v>
      </c>
      <c r="X251" s="74" t="str">
        <f>VLOOKUP(A251,Data_echipe!A:R,18,0)</f>
        <v>Trail</v>
      </c>
      <c r="Z251" s="106">
        <f t="shared" si="44"/>
        <v>1</v>
      </c>
    </row>
    <row r="252" spans="1:26" x14ac:dyDescent="0.25">
      <c r="A252" s="61" t="s">
        <v>215</v>
      </c>
      <c r="B252" s="74" t="str">
        <f>VLOOKUP(A252,Participanti!A:B,2,0)</f>
        <v>M</v>
      </c>
      <c r="C252" s="98">
        <v>9</v>
      </c>
      <c r="D252" s="63">
        <v>10.02</v>
      </c>
      <c r="E252" s="64">
        <v>3.1157407407407408E-2</v>
      </c>
      <c r="F252" s="64">
        <v>3.1400462962962963E-2</v>
      </c>
      <c r="G252" s="90">
        <f t="shared" si="51"/>
        <v>3.1278935185185187E-2</v>
      </c>
      <c r="H252" s="65">
        <v>0</v>
      </c>
      <c r="I252" s="13">
        <f t="shared" si="52"/>
        <v>3.1216502180823544E-3</v>
      </c>
      <c r="J252" s="84">
        <f t="shared" si="53"/>
        <v>2.3857142857142857</v>
      </c>
      <c r="K252" s="84">
        <f>IF(J252=0,0,IF(B252="F",VLOOKUP(I252,Barem!$G$2:$H$11,2,1),VLOOKUP(I252,Barem!$G$12:$H$21,2,1)))</f>
        <v>4</v>
      </c>
      <c r="L252" s="63">
        <v>2.5</v>
      </c>
      <c r="M252" s="149" t="s">
        <v>109</v>
      </c>
      <c r="N252" s="10">
        <f t="shared" si="56"/>
        <v>0.25</v>
      </c>
      <c r="O252" s="10">
        <f t="shared" si="56"/>
        <v>0.5</v>
      </c>
      <c r="P252" s="10">
        <f t="shared" si="56"/>
        <v>0.25</v>
      </c>
      <c r="Q252" s="47">
        <f t="shared" si="54"/>
        <v>0</v>
      </c>
      <c r="R252" s="25">
        <f>IF(D252&gt;21,VLOOKUP(D252,Barem!$T$1:$U$141,2,1),0)</f>
        <v>0</v>
      </c>
      <c r="S252" s="25">
        <f>IF(D252&lt;1.609,0,IF(B252="F",VLOOKUP(I252,Barem!$X$2:$Z$13,2,1),VLOOKUP(I252,Barem!$X$14:$Z$25,2,1)))</f>
        <v>0</v>
      </c>
      <c r="T252" s="25">
        <f>VLOOKUP(A252,Participanti!A:C,3,0)</f>
        <v>0</v>
      </c>
      <c r="U252" s="20">
        <f t="shared" si="55"/>
        <v>3.2214285714285715</v>
      </c>
      <c r="V252" s="76">
        <v>44632</v>
      </c>
      <c r="W252" s="101">
        <f>COUNTIFS(A:A,A252,C:C,C252)</f>
        <v>1</v>
      </c>
      <c r="X252" s="74" t="str">
        <f>VLOOKUP(A252,Data_echipe!A:R,18,0)</f>
        <v>Trail</v>
      </c>
      <c r="Z252" s="106">
        <f t="shared" si="44"/>
        <v>1</v>
      </c>
    </row>
    <row r="253" spans="1:26" x14ac:dyDescent="0.25">
      <c r="A253" s="61" t="s">
        <v>257</v>
      </c>
      <c r="B253" s="74" t="str">
        <f>VLOOKUP(A253,Participanti!A:B,2,0)</f>
        <v>M</v>
      </c>
      <c r="C253" s="98">
        <v>9</v>
      </c>
      <c r="D253" s="63">
        <v>15.09</v>
      </c>
      <c r="E253" s="64">
        <v>6.1655092592592588E-2</v>
      </c>
      <c r="F253" s="64">
        <v>6.2638888888888897E-2</v>
      </c>
      <c r="G253" s="90">
        <f t="shared" si="51"/>
        <v>6.2146990740740746E-2</v>
      </c>
      <c r="H253" s="65">
        <v>170</v>
      </c>
      <c r="I253" s="13">
        <f t="shared" si="52"/>
        <v>4.118422182951673E-3</v>
      </c>
      <c r="J253" s="84">
        <f t="shared" si="53"/>
        <v>3.5928571428571425</v>
      </c>
      <c r="K253" s="84">
        <f>IF(J253=0,0,IF(B253="F",VLOOKUP(I253,Barem!$G$2:$H$11,2,1),VLOOKUP(I253,Barem!$G$12:$H$21,2,1)))</f>
        <v>1.5</v>
      </c>
      <c r="L253" s="63">
        <v>3.5</v>
      </c>
      <c r="M253" s="149" t="s">
        <v>109</v>
      </c>
      <c r="N253" s="10">
        <f t="shared" si="56"/>
        <v>0.25</v>
      </c>
      <c r="O253" s="10">
        <f t="shared" si="56"/>
        <v>0.5</v>
      </c>
      <c r="P253" s="10">
        <f t="shared" si="56"/>
        <v>0.25</v>
      </c>
      <c r="Q253" s="47">
        <f t="shared" si="54"/>
        <v>0.11333333333333333</v>
      </c>
      <c r="R253" s="25">
        <f>IF(D253&gt;21,VLOOKUP(D253,Barem!$T$1:$U$141,2,1),0)</f>
        <v>0</v>
      </c>
      <c r="S253" s="25">
        <f>IF(D253&lt;1.609,0,IF(B253="F",VLOOKUP(I253,Barem!$X$2:$Z$13,2,1),VLOOKUP(I253,Barem!$X$14:$Z$25,2,1)))</f>
        <v>0</v>
      </c>
      <c r="T253" s="25">
        <f>VLOOKUP(A253,Participanti!A:C,3,0)</f>
        <v>0</v>
      </c>
      <c r="U253" s="20">
        <f t="shared" si="55"/>
        <v>2.6365476190476187</v>
      </c>
      <c r="V253" s="76">
        <v>44633</v>
      </c>
      <c r="W253" s="101">
        <f>COUNTIFS(A:A,A253,C:C,C253)</f>
        <v>1</v>
      </c>
      <c r="X253" s="74" t="str">
        <f>VLOOKUP(A253,Data_echipe!A:R,18,0)</f>
        <v>Road</v>
      </c>
      <c r="Z253" s="106">
        <f t="shared" si="44"/>
        <v>1</v>
      </c>
    </row>
    <row r="254" spans="1:26" x14ac:dyDescent="0.25">
      <c r="A254" s="61" t="s">
        <v>119</v>
      </c>
      <c r="B254" s="74" t="str">
        <f>VLOOKUP(A254,Participanti!A:B,2,0)</f>
        <v>F</v>
      </c>
      <c r="C254" s="98">
        <v>9</v>
      </c>
      <c r="D254" s="63">
        <v>5.01</v>
      </c>
      <c r="E254" s="64">
        <v>1.9178240740740742E-2</v>
      </c>
      <c r="F254" s="64">
        <v>1.9189814814814816E-2</v>
      </c>
      <c r="G254" s="90">
        <f t="shared" si="51"/>
        <v>1.9184027777777779E-2</v>
      </c>
      <c r="H254" s="65">
        <v>24</v>
      </c>
      <c r="I254" s="13">
        <f t="shared" si="52"/>
        <v>3.8291472610334889E-3</v>
      </c>
      <c r="J254" s="84">
        <f t="shared" si="53"/>
        <v>1.2524999999999999</v>
      </c>
      <c r="K254" s="84">
        <f>IF(J254=0,0,IF(B254="F",VLOOKUP(I254,Barem!$G$2:$H$11,2,1),VLOOKUP(I254,Barem!$G$12:$H$21,2,1)))</f>
        <v>3</v>
      </c>
      <c r="L254" s="63">
        <v>2.5</v>
      </c>
      <c r="M254" s="149" t="s">
        <v>109</v>
      </c>
      <c r="N254" s="10">
        <f t="shared" si="56"/>
        <v>0.25</v>
      </c>
      <c r="O254" s="10">
        <f t="shared" si="56"/>
        <v>0.5</v>
      </c>
      <c r="P254" s="10">
        <f t="shared" si="56"/>
        <v>0.25</v>
      </c>
      <c r="Q254" s="47">
        <f t="shared" si="54"/>
        <v>0</v>
      </c>
      <c r="R254" s="25">
        <f>IF(D254&gt;21,VLOOKUP(D254,Barem!$T$1:$U$141,2,1),0)</f>
        <v>0</v>
      </c>
      <c r="S254" s="25">
        <f>IF(D254&lt;1.609,0,IF(B254="F",VLOOKUP(I254,Barem!$X$2:$Z$13,2,1),VLOOKUP(I254,Barem!$X$14:$Z$25,2,1)))</f>
        <v>0</v>
      </c>
      <c r="T254" s="25">
        <f>VLOOKUP(A254,Participanti!A:C,3,0)</f>
        <v>0</v>
      </c>
      <c r="U254" s="20">
        <f t="shared" si="55"/>
        <v>2.4381249999999999</v>
      </c>
      <c r="V254" s="76">
        <v>44628</v>
      </c>
      <c r="W254" s="101">
        <f>COUNTIFS(A:A,A254,C:C,C254)</f>
        <v>1</v>
      </c>
      <c r="X254" s="74" t="str">
        <f>VLOOKUP(A254,Data_echipe!A:R,18,0)</f>
        <v>Trail</v>
      </c>
      <c r="Z254" s="106">
        <f t="shared" si="44"/>
        <v>1</v>
      </c>
    </row>
    <row r="255" spans="1:26" x14ac:dyDescent="0.25">
      <c r="A255" s="61" t="s">
        <v>116</v>
      </c>
      <c r="B255" s="74" t="str">
        <f>VLOOKUP(A255,Participanti!A:B,2,0)</f>
        <v>M</v>
      </c>
      <c r="C255" s="98">
        <v>9</v>
      </c>
      <c r="D255" s="63">
        <v>10.68</v>
      </c>
      <c r="E255" s="64">
        <v>4.553240740740741E-2</v>
      </c>
      <c r="F255" s="64">
        <v>4.731481481481481E-2</v>
      </c>
      <c r="G255" s="90">
        <f t="shared" si="51"/>
        <v>4.642361111111111E-2</v>
      </c>
      <c r="H255" s="65">
        <v>35</v>
      </c>
      <c r="I255" s="13">
        <f t="shared" si="52"/>
        <v>4.3467800665834373E-3</v>
      </c>
      <c r="J255" s="84">
        <f t="shared" si="53"/>
        <v>2.5428571428571427</v>
      </c>
      <c r="K255" s="84">
        <f>IF(J255=0,0,IF(B255="F",VLOOKUP(I255,Barem!$G$2:$H$11,2,1),VLOOKUP(I255,Barem!$G$12:$H$21,2,1)))</f>
        <v>1</v>
      </c>
      <c r="L255" s="63">
        <v>2.75</v>
      </c>
      <c r="M255" s="149" t="s">
        <v>220</v>
      </c>
      <c r="N255" s="10">
        <f t="shared" si="56"/>
        <v>0.25</v>
      </c>
      <c r="O255" s="10">
        <f t="shared" si="56"/>
        <v>0.25</v>
      </c>
      <c r="P255" s="10">
        <f t="shared" si="56"/>
        <v>0.5</v>
      </c>
      <c r="Q255" s="47">
        <f t="shared" si="54"/>
        <v>0</v>
      </c>
      <c r="R255" s="25">
        <f>IF(D255&gt;21,VLOOKUP(D255,Barem!$T$1:$U$141,2,1),0)</f>
        <v>0</v>
      </c>
      <c r="S255" s="25">
        <f>IF(D255&lt;1.609,0,IF(B255="F",VLOOKUP(I255,Barem!$X$2:$Z$13,2,1),VLOOKUP(I255,Barem!$X$14:$Z$25,2,1)))</f>
        <v>0</v>
      </c>
      <c r="T255" s="25">
        <f>VLOOKUP(A255,Participanti!A:C,3,0)</f>
        <v>0</v>
      </c>
      <c r="U255" s="20">
        <f t="shared" si="55"/>
        <v>2.2607142857142857</v>
      </c>
      <c r="V255" s="76">
        <v>44633</v>
      </c>
      <c r="W255" s="101">
        <f>COUNTIFS(A:A,A255,C:C,C255)</f>
        <v>1</v>
      </c>
      <c r="X255" s="74" t="str">
        <f>VLOOKUP(A255,Data_echipe!A:R,18,0)</f>
        <v>Trail</v>
      </c>
      <c r="Z255" s="106">
        <f t="shared" si="44"/>
        <v>1</v>
      </c>
    </row>
    <row r="256" spans="1:26" x14ac:dyDescent="0.25">
      <c r="A256" s="61" t="s">
        <v>65</v>
      </c>
      <c r="B256" s="74" t="str">
        <f>VLOOKUP(A256,Participanti!A:B,2,0)</f>
        <v>F</v>
      </c>
      <c r="C256" s="98">
        <v>9</v>
      </c>
      <c r="D256" s="63">
        <v>5.03</v>
      </c>
      <c r="E256" s="64">
        <v>2.5243055555555557E-2</v>
      </c>
      <c r="F256" s="64">
        <v>2.5891203703703704E-2</v>
      </c>
      <c r="G256" s="90">
        <f t="shared" si="51"/>
        <v>2.5567129629629631E-2</v>
      </c>
      <c r="H256" s="65">
        <v>4</v>
      </c>
      <c r="I256" s="13">
        <f t="shared" si="52"/>
        <v>5.0829283557911791E-3</v>
      </c>
      <c r="J256" s="84">
        <f t="shared" si="53"/>
        <v>1.2575000000000001</v>
      </c>
      <c r="K256" s="84">
        <f>IF(J256=0,0,IF(B256="F",VLOOKUP(I256,Barem!$G$2:$H$11,2,1),VLOOKUP(I256,Barem!$G$12:$H$21,2,1)))</f>
        <v>1</v>
      </c>
      <c r="L256" s="63">
        <v>2.75</v>
      </c>
      <c r="M256" s="62" t="str">
        <f>VLOOKUP(C256,Barem!L:R,7,0)</f>
        <v>D</v>
      </c>
      <c r="N256" s="10">
        <f t="shared" si="56"/>
        <v>0.5</v>
      </c>
      <c r="O256" s="10">
        <f t="shared" si="56"/>
        <v>0.25</v>
      </c>
      <c r="P256" s="10">
        <f t="shared" si="56"/>
        <v>0.25</v>
      </c>
      <c r="Q256" s="47">
        <f t="shared" si="54"/>
        <v>0</v>
      </c>
      <c r="R256" s="25">
        <f>IF(D256&gt;21,VLOOKUP(D256,Barem!$T$1:$U$141,2,1),0)</f>
        <v>0</v>
      </c>
      <c r="S256" s="25">
        <f>IF(D256&lt;1.609,0,IF(B256="F",VLOOKUP(I256,Barem!$X$2:$Z$13,2,1),VLOOKUP(I256,Barem!$X$14:$Z$25,2,1)))</f>
        <v>0</v>
      </c>
      <c r="T256" s="25">
        <f>VLOOKUP(A256,Participanti!A:C,3,0)</f>
        <v>0.7</v>
      </c>
      <c r="U256" s="20">
        <f t="shared" si="55"/>
        <v>2.2662500000000003</v>
      </c>
      <c r="V256" s="76">
        <v>44631</v>
      </c>
      <c r="W256" s="101">
        <f>COUNTIFS(A:A,A256,C:C,C256)</f>
        <v>1</v>
      </c>
      <c r="X256" s="74" t="str">
        <f>VLOOKUP(A256,Data_echipe!A:R,18,0)</f>
        <v>Road</v>
      </c>
      <c r="Z256" s="106">
        <f t="shared" si="44"/>
        <v>1</v>
      </c>
    </row>
    <row r="257" spans="1:26" x14ac:dyDescent="0.25">
      <c r="A257" s="61" t="s">
        <v>185</v>
      </c>
      <c r="B257" s="74" t="str">
        <f>VLOOKUP(A257,Participanti!A:B,2,0)</f>
        <v>F</v>
      </c>
      <c r="C257" s="98">
        <v>9</v>
      </c>
      <c r="D257" s="63">
        <v>20.010000000000002</v>
      </c>
      <c r="E257" s="64">
        <v>9.0300925925925923E-2</v>
      </c>
      <c r="F257" s="64">
        <v>0.10346064814814815</v>
      </c>
      <c r="G257" s="90">
        <f t="shared" si="51"/>
        <v>9.6880787037037036E-2</v>
      </c>
      <c r="H257" s="65">
        <v>23</v>
      </c>
      <c r="I257" s="13">
        <f t="shared" si="52"/>
        <v>4.841618542580561E-3</v>
      </c>
      <c r="J257" s="84">
        <f t="shared" si="53"/>
        <v>5</v>
      </c>
      <c r="K257" s="84">
        <f>IF(J257=0,0,IF(B257="F",VLOOKUP(I257,Barem!$G$2:$H$11,2,1),VLOOKUP(I257,Barem!$G$12:$H$21,2,1)))</f>
        <v>1</v>
      </c>
      <c r="L257" s="63">
        <v>2</v>
      </c>
      <c r="M257" s="62" t="str">
        <f>VLOOKUP(C257,Barem!L:R,7,0)</f>
        <v>D</v>
      </c>
      <c r="N257" s="10">
        <f t="shared" si="56"/>
        <v>0.5</v>
      </c>
      <c r="O257" s="10">
        <f t="shared" si="56"/>
        <v>0.25</v>
      </c>
      <c r="P257" s="10">
        <f t="shared" si="56"/>
        <v>0.25</v>
      </c>
      <c r="Q257" s="47">
        <f t="shared" si="54"/>
        <v>0</v>
      </c>
      <c r="R257" s="25">
        <f>IF(D257&gt;21,VLOOKUP(D257,Barem!$T$1:$U$141,2,1),0)</f>
        <v>0</v>
      </c>
      <c r="S257" s="25">
        <f>IF(D257&lt;1.609,0,IF(B257="F",VLOOKUP(I257,Barem!$X$2:$Z$13,2,1),VLOOKUP(I257,Barem!$X$14:$Z$25,2,1)))</f>
        <v>0</v>
      </c>
      <c r="T257" s="25">
        <f>VLOOKUP(A257,Participanti!A:C,3,0)</f>
        <v>0</v>
      </c>
      <c r="U257" s="20">
        <f t="shared" si="55"/>
        <v>3.25</v>
      </c>
      <c r="V257" s="76">
        <v>44633</v>
      </c>
      <c r="W257" s="101">
        <f>COUNTIFS(A:A,A257,C:C,C257)</f>
        <v>1</v>
      </c>
      <c r="X257" s="74" t="str">
        <f>VLOOKUP(A257,Data_echipe!A:R,18,0)</f>
        <v>Road</v>
      </c>
      <c r="Z257" s="106">
        <f t="shared" si="44"/>
        <v>1</v>
      </c>
    </row>
    <row r="258" spans="1:26" x14ac:dyDescent="0.25">
      <c r="A258" s="61" t="s">
        <v>102</v>
      </c>
      <c r="B258" s="74" t="str">
        <f>VLOOKUP(A258,Participanti!A:B,2,0)</f>
        <v>F</v>
      </c>
      <c r="C258" s="98">
        <v>9</v>
      </c>
      <c r="D258" s="63">
        <v>7.01</v>
      </c>
      <c r="E258" s="64">
        <v>2.6273148148148153E-2</v>
      </c>
      <c r="F258" s="64">
        <v>2.7245370370370368E-2</v>
      </c>
      <c r="G258" s="90">
        <f t="shared" si="51"/>
        <v>2.675925925925926E-2</v>
      </c>
      <c r="H258" s="65">
        <v>0</v>
      </c>
      <c r="I258" s="13">
        <f t="shared" si="52"/>
        <v>3.81729803983727E-3</v>
      </c>
      <c r="J258" s="84">
        <f t="shared" si="53"/>
        <v>1.7524999999999999</v>
      </c>
      <c r="K258" s="84">
        <f>IF(J258=0,0,IF(B258="F",VLOOKUP(I258,Barem!$G$2:$H$11,2,1),VLOOKUP(I258,Barem!$G$12:$H$21,2,1)))</f>
        <v>3</v>
      </c>
      <c r="L258" s="63">
        <v>1</v>
      </c>
      <c r="M258" s="149" t="s">
        <v>109</v>
      </c>
      <c r="N258" s="10">
        <f t="shared" si="56"/>
        <v>0.25</v>
      </c>
      <c r="O258" s="10">
        <f t="shared" si="56"/>
        <v>0.5</v>
      </c>
      <c r="P258" s="10">
        <f t="shared" si="56"/>
        <v>0.25</v>
      </c>
      <c r="Q258" s="47">
        <f t="shared" si="54"/>
        <v>0</v>
      </c>
      <c r="R258" s="25">
        <f>IF(D258&gt;21,VLOOKUP(D258,Barem!$T$1:$U$141,2,1),0)</f>
        <v>0</v>
      </c>
      <c r="S258" s="25">
        <f>IF(D258&lt;1.609,0,IF(B258="F",VLOOKUP(I258,Barem!$X$2:$Z$13,2,1),VLOOKUP(I258,Barem!$X$14:$Z$25,2,1)))</f>
        <v>0</v>
      </c>
      <c r="T258" s="25">
        <f>VLOOKUP(A258,Participanti!A:C,3,0)</f>
        <v>0</v>
      </c>
      <c r="U258" s="20">
        <f t="shared" si="55"/>
        <v>2.1881249999999999</v>
      </c>
      <c r="V258" s="76">
        <v>44633</v>
      </c>
      <c r="W258" s="101">
        <f>COUNTIFS(A:A,A258,C:C,C258)</f>
        <v>1</v>
      </c>
      <c r="X258" s="74" t="str">
        <f>VLOOKUP(A258,Data_echipe!A:R,18,0)</f>
        <v>Trail</v>
      </c>
      <c r="Z258" s="106">
        <f t="shared" si="44"/>
        <v>1</v>
      </c>
    </row>
    <row r="259" spans="1:26" x14ac:dyDescent="0.25">
      <c r="A259" s="61" t="s">
        <v>143</v>
      </c>
      <c r="B259" s="74" t="str">
        <f>VLOOKUP(A259,Participanti!A:B,2,0)</f>
        <v>M</v>
      </c>
      <c r="C259" s="98">
        <v>9</v>
      </c>
      <c r="D259" s="63">
        <v>13.47</v>
      </c>
      <c r="E259" s="64">
        <v>4.7835648148148148E-2</v>
      </c>
      <c r="F259" s="64">
        <v>5.2766203703703697E-2</v>
      </c>
      <c r="G259" s="90">
        <f t="shared" si="51"/>
        <v>5.0300925925925923E-2</v>
      </c>
      <c r="H259" s="65">
        <v>39</v>
      </c>
      <c r="I259" s="13">
        <f t="shared" si="52"/>
        <v>3.7342929417910854E-3</v>
      </c>
      <c r="J259" s="84">
        <f t="shared" si="53"/>
        <v>3.2071428571428573</v>
      </c>
      <c r="K259" s="84">
        <f>IF(J259=0,0,IF(B259="F",VLOOKUP(I259,Barem!$G$2:$H$11,2,1),VLOOKUP(I259,Barem!$G$12:$H$21,2,1)))</f>
        <v>2</v>
      </c>
      <c r="L259" s="63">
        <v>2</v>
      </c>
      <c r="M259" s="149" t="s">
        <v>220</v>
      </c>
      <c r="N259" s="10">
        <f t="shared" si="56"/>
        <v>0.25</v>
      </c>
      <c r="O259" s="10">
        <f t="shared" si="56"/>
        <v>0.25</v>
      </c>
      <c r="P259" s="10">
        <f t="shared" si="56"/>
        <v>0.5</v>
      </c>
      <c r="Q259" s="47">
        <f t="shared" si="54"/>
        <v>0</v>
      </c>
      <c r="R259" s="25">
        <f>IF(D259&gt;21,VLOOKUP(D259,Barem!$T$1:$U$141,2,1),0)</f>
        <v>0</v>
      </c>
      <c r="S259" s="25">
        <f>IF(D259&lt;1.609,0,IF(B259="F",VLOOKUP(I259,Barem!$X$2:$Z$13,2,1),VLOOKUP(I259,Barem!$X$14:$Z$25,2,1)))</f>
        <v>0</v>
      </c>
      <c r="T259" s="25">
        <f>VLOOKUP(A259,Participanti!A:C,3,0)</f>
        <v>0</v>
      </c>
      <c r="U259" s="20">
        <f t="shared" si="55"/>
        <v>2.3017857142857143</v>
      </c>
      <c r="V259" s="76">
        <v>44629</v>
      </c>
      <c r="W259" s="101">
        <f>COUNTIFS(A:A,A259,C:C,C259)</f>
        <v>1</v>
      </c>
      <c r="X259" s="74" t="str">
        <f>VLOOKUP(A259,Data_echipe!A:R,18,0)</f>
        <v>Road</v>
      </c>
      <c r="Z259" s="106">
        <f t="shared" ref="Z259:Z322" si="57">IF(K259&gt;0,1,0)</f>
        <v>1</v>
      </c>
    </row>
    <row r="260" spans="1:26" x14ac:dyDescent="0.25">
      <c r="A260" s="61" t="s">
        <v>217</v>
      </c>
      <c r="B260" s="74" t="str">
        <f>VLOOKUP(A260,Participanti!A:B,2,0)</f>
        <v>M</v>
      </c>
      <c r="C260" s="98">
        <v>9</v>
      </c>
      <c r="D260" s="63">
        <v>5.2</v>
      </c>
      <c r="E260" s="64">
        <v>1.5868055555555555E-2</v>
      </c>
      <c r="F260" s="64">
        <v>1.5960648148148151E-2</v>
      </c>
      <c r="G260" s="90">
        <f t="shared" si="51"/>
        <v>1.5914351851851853E-2</v>
      </c>
      <c r="H260" s="65">
        <v>0</v>
      </c>
      <c r="I260" s="13">
        <f t="shared" si="52"/>
        <v>3.0604522792022793E-3</v>
      </c>
      <c r="J260" s="84">
        <f t="shared" si="53"/>
        <v>1.2380952380952381</v>
      </c>
      <c r="K260" s="84">
        <f>IF(J260=0,0,IF(B260="F",VLOOKUP(I260,Barem!$G$2:$H$11,2,1),VLOOKUP(I260,Barem!$G$12:$H$21,2,1)))</f>
        <v>4</v>
      </c>
      <c r="L260" s="63">
        <v>2</v>
      </c>
      <c r="M260" s="149" t="s">
        <v>109</v>
      </c>
      <c r="N260" s="10">
        <f t="shared" si="56"/>
        <v>0.25</v>
      </c>
      <c r="O260" s="10">
        <f t="shared" si="56"/>
        <v>0.5</v>
      </c>
      <c r="P260" s="10">
        <f t="shared" si="56"/>
        <v>0.25</v>
      </c>
      <c r="Q260" s="47">
        <f t="shared" si="54"/>
        <v>0</v>
      </c>
      <c r="R260" s="25">
        <f>IF(D260&gt;21,VLOOKUP(D260,Barem!$T$1:$U$141,2,1),0)</f>
        <v>0</v>
      </c>
      <c r="S260" s="25">
        <f>IF(D260&lt;1.609,0,IF(B260="F",VLOOKUP(I260,Barem!$X$2:$Z$13,2,1),VLOOKUP(I260,Barem!$X$14:$Z$25,2,1)))</f>
        <v>0</v>
      </c>
      <c r="T260" s="25">
        <f>VLOOKUP(A260,Participanti!A:C,3,0)</f>
        <v>0</v>
      </c>
      <c r="U260" s="20">
        <f t="shared" si="55"/>
        <v>2.8095238095238093</v>
      </c>
      <c r="V260" s="76">
        <v>44630</v>
      </c>
      <c r="W260" s="101">
        <f>COUNTIFS(A:A,A260,C:C,C260)</f>
        <v>1</v>
      </c>
      <c r="X260" s="74" t="e">
        <f>VLOOKUP(A260,Data_echipe!A:R,18,0)</f>
        <v>#N/A</v>
      </c>
      <c r="Z260" s="106">
        <f t="shared" si="57"/>
        <v>1</v>
      </c>
    </row>
    <row r="261" spans="1:26" x14ac:dyDescent="0.25">
      <c r="A261" s="61" t="s">
        <v>48</v>
      </c>
      <c r="B261" s="74" t="str">
        <f>VLOOKUP(A261,Participanti!A:B,2,0)</f>
        <v>M</v>
      </c>
      <c r="C261" s="98">
        <v>9</v>
      </c>
      <c r="D261" s="63">
        <v>10.01</v>
      </c>
      <c r="E261" s="64">
        <v>3.079861111111111E-2</v>
      </c>
      <c r="F261" s="64">
        <v>3.079861111111111E-2</v>
      </c>
      <c r="G261" s="90">
        <f t="shared" si="51"/>
        <v>3.079861111111111E-2</v>
      </c>
      <c r="H261" s="65">
        <v>21</v>
      </c>
      <c r="I261" s="13">
        <f t="shared" si="52"/>
        <v>3.0767843267843265E-3</v>
      </c>
      <c r="J261" s="84">
        <f t="shared" si="53"/>
        <v>2.3833333333333333</v>
      </c>
      <c r="K261" s="84">
        <f>IF(J261=0,0,IF(B261="F",VLOOKUP(I261,Barem!$G$2:$H$11,2,1),VLOOKUP(I261,Barem!$G$12:$H$21,2,1)))</f>
        <v>4</v>
      </c>
      <c r="L261" s="63">
        <f>(3+3+2.5)/3</f>
        <v>2.8333333333333335</v>
      </c>
      <c r="M261" s="149" t="s">
        <v>109</v>
      </c>
      <c r="N261" s="10">
        <f t="shared" si="56"/>
        <v>0.25</v>
      </c>
      <c r="O261" s="10">
        <f t="shared" si="56"/>
        <v>0.5</v>
      </c>
      <c r="P261" s="10">
        <f t="shared" si="56"/>
        <v>0.25</v>
      </c>
      <c r="Q261" s="47">
        <f t="shared" si="54"/>
        <v>0</v>
      </c>
      <c r="R261" s="25">
        <f>IF(D261&gt;21,VLOOKUP(D261,Barem!$T$1:$U$141,2,1),0)</f>
        <v>0</v>
      </c>
      <c r="S261" s="25">
        <f>IF(D261&lt;1.609,0,IF(B261="F",VLOOKUP(I261,Barem!$X$2:$Z$13,2,1),VLOOKUP(I261,Barem!$X$14:$Z$25,2,1)))</f>
        <v>0</v>
      </c>
      <c r="T261" s="25">
        <f>VLOOKUP(A261,Participanti!A:C,3,0)</f>
        <v>0</v>
      </c>
      <c r="U261" s="20">
        <f t="shared" si="55"/>
        <v>3.3041666666666667</v>
      </c>
      <c r="V261" s="76">
        <v>44633</v>
      </c>
      <c r="W261" s="101">
        <f>COUNTIFS(A:A,A261,C:C,C261)</f>
        <v>1</v>
      </c>
      <c r="X261" s="74" t="str">
        <f>VLOOKUP(A261,Data_echipe!A:R,18,0)</f>
        <v>Road</v>
      </c>
      <c r="Z261" s="106">
        <f t="shared" si="57"/>
        <v>1</v>
      </c>
    </row>
    <row r="262" spans="1:26" x14ac:dyDescent="0.25">
      <c r="A262" s="61" t="s">
        <v>179</v>
      </c>
      <c r="B262" s="74" t="str">
        <f>VLOOKUP(A262,Participanti!A:B,2,0)</f>
        <v>F</v>
      </c>
      <c r="C262" s="98">
        <v>9</v>
      </c>
      <c r="D262" s="63">
        <v>20.69</v>
      </c>
      <c r="E262" s="64">
        <v>9.347222222222222E-2</v>
      </c>
      <c r="F262" s="64">
        <v>0.11450231481481482</v>
      </c>
      <c r="G262" s="90">
        <f t="shared" si="51"/>
        <v>0.10398726851851853</v>
      </c>
      <c r="H262" s="65">
        <v>183</v>
      </c>
      <c r="I262" s="13">
        <f t="shared" si="52"/>
        <v>5.0259675456026352E-3</v>
      </c>
      <c r="J262" s="84">
        <f t="shared" si="53"/>
        <v>5</v>
      </c>
      <c r="K262" s="84">
        <f>IF(J262=0,0,IF(B262="F",VLOOKUP(I262,Barem!$G$2:$H$11,2,1),VLOOKUP(I262,Barem!$G$12:$H$21,2,1)))</f>
        <v>1</v>
      </c>
      <c r="L262" s="63">
        <v>3.5</v>
      </c>
      <c r="M262" s="62" t="str">
        <f>VLOOKUP(C262,Barem!L:R,7,0)</f>
        <v>D</v>
      </c>
      <c r="N262" s="10">
        <f t="shared" si="56"/>
        <v>0.5</v>
      </c>
      <c r="O262" s="10">
        <f t="shared" si="56"/>
        <v>0.25</v>
      </c>
      <c r="P262" s="10">
        <f t="shared" si="56"/>
        <v>0.25</v>
      </c>
      <c r="Q262" s="47">
        <f t="shared" si="54"/>
        <v>0.122</v>
      </c>
      <c r="R262" s="25">
        <f>IF(D262&gt;21,VLOOKUP(D262,Barem!$T$1:$U$141,2,1),0)</f>
        <v>0</v>
      </c>
      <c r="S262" s="25">
        <f>IF(D262&lt;1.609,0,IF(B262="F",VLOOKUP(I262,Barem!$X$2:$Z$13,2,1),VLOOKUP(I262,Barem!$X$14:$Z$25,2,1)))</f>
        <v>0</v>
      </c>
      <c r="T262" s="25">
        <f>VLOOKUP(A262,Participanti!A:C,3,0)</f>
        <v>0</v>
      </c>
      <c r="U262" s="20">
        <f t="shared" si="55"/>
        <v>3.7469999999999999</v>
      </c>
      <c r="V262" s="76">
        <v>44633</v>
      </c>
      <c r="W262" s="101">
        <f>COUNTIFS(A:A,A262,C:C,C262)</f>
        <v>1</v>
      </c>
      <c r="X262" s="74" t="str">
        <f>VLOOKUP(A262,Data_echipe!A:R,18,0)</f>
        <v>Trail</v>
      </c>
      <c r="Z262" s="106">
        <f t="shared" si="57"/>
        <v>1</v>
      </c>
    </row>
    <row r="263" spans="1:26" x14ac:dyDescent="0.25">
      <c r="A263" s="61" t="s">
        <v>138</v>
      </c>
      <c r="B263" s="74" t="str">
        <f>VLOOKUP(A263,Participanti!A:B,2,0)</f>
        <v>F</v>
      </c>
      <c r="C263" s="98">
        <v>9</v>
      </c>
      <c r="D263" s="63">
        <v>5.81</v>
      </c>
      <c r="E263" s="64">
        <v>2.327546296296296E-2</v>
      </c>
      <c r="F263" s="64">
        <v>2.344907407407407E-2</v>
      </c>
      <c r="G263" s="90">
        <f t="shared" si="51"/>
        <v>2.3362268518518515E-2</v>
      </c>
      <c r="H263" s="65">
        <v>92</v>
      </c>
      <c r="I263" s="13">
        <f t="shared" si="52"/>
        <v>4.0210444954420855E-3</v>
      </c>
      <c r="J263" s="84">
        <f t="shared" si="53"/>
        <v>1.4524999999999999</v>
      </c>
      <c r="K263" s="84">
        <f>IF(J263=0,0,IF(B263="F",VLOOKUP(I263,Barem!$G$2:$H$11,2,1),VLOOKUP(I263,Barem!$G$12:$H$21,2,1)))</f>
        <v>2</v>
      </c>
      <c r="L263" s="63">
        <v>3</v>
      </c>
      <c r="M263" s="149" t="s">
        <v>109</v>
      </c>
      <c r="N263" s="10">
        <f t="shared" si="56"/>
        <v>0.25</v>
      </c>
      <c r="O263" s="10">
        <f t="shared" si="56"/>
        <v>0.5</v>
      </c>
      <c r="P263" s="10">
        <f t="shared" si="56"/>
        <v>0.25</v>
      </c>
      <c r="Q263" s="47">
        <f t="shared" si="54"/>
        <v>6.133333333333333E-2</v>
      </c>
      <c r="R263" s="25">
        <f>IF(D263&gt;21,VLOOKUP(D263,Barem!$T$1:$U$141,2,1),0)</f>
        <v>0</v>
      </c>
      <c r="S263" s="25">
        <f>IF(D263&lt;1.609,0,IF(B263="F",VLOOKUP(I263,Barem!$X$2:$Z$13,2,1),VLOOKUP(I263,Barem!$X$14:$Z$25,2,1)))</f>
        <v>0</v>
      </c>
      <c r="T263" s="25">
        <f>VLOOKUP(A263,Participanti!A:C,3,0)</f>
        <v>0</v>
      </c>
      <c r="U263" s="20">
        <f t="shared" si="55"/>
        <v>2.1744583333333334</v>
      </c>
      <c r="V263" s="76">
        <v>44628</v>
      </c>
      <c r="W263" s="101">
        <f>COUNTIFS(A:A,A263,C:C,C263)</f>
        <v>1</v>
      </c>
      <c r="X263" s="74" t="str">
        <f>VLOOKUP(A263,Data_echipe!A:R,18,0)</f>
        <v>Road</v>
      </c>
      <c r="Z263" s="106">
        <f t="shared" si="57"/>
        <v>1</v>
      </c>
    </row>
    <row r="264" spans="1:26" x14ac:dyDescent="0.25">
      <c r="A264" s="61" t="s">
        <v>54</v>
      </c>
      <c r="B264" s="74" t="str">
        <f>VLOOKUP(A264,Participanti!A:B,2,0)</f>
        <v>M</v>
      </c>
      <c r="C264" s="98">
        <v>9</v>
      </c>
      <c r="D264" s="63">
        <v>16.16</v>
      </c>
      <c r="E264" s="64">
        <v>7.0868055555555545E-2</v>
      </c>
      <c r="F264" s="64">
        <v>8.5844907407407411E-2</v>
      </c>
      <c r="G264" s="90">
        <f t="shared" si="51"/>
        <v>7.8356481481481471E-2</v>
      </c>
      <c r="H264" s="65">
        <v>56</v>
      </c>
      <c r="I264" s="13">
        <f t="shared" si="52"/>
        <v>4.8487921708837544E-3</v>
      </c>
      <c r="J264" s="84">
        <f t="shared" si="53"/>
        <v>3.8476190476190473</v>
      </c>
      <c r="K264" s="84">
        <f>IF(J264=0,0,IF(B264="F",VLOOKUP(I264,Barem!$G$2:$H$11,2,1),VLOOKUP(I264,Barem!$G$12:$H$21,2,1)))</f>
        <v>1</v>
      </c>
      <c r="L264" s="63">
        <v>2.5</v>
      </c>
      <c r="M264" s="62" t="str">
        <f>VLOOKUP(C264,Barem!L:R,7,0)</f>
        <v>D</v>
      </c>
      <c r="N264" s="10">
        <f t="shared" si="56"/>
        <v>0.5</v>
      </c>
      <c r="O264" s="10">
        <f t="shared" si="56"/>
        <v>0.25</v>
      </c>
      <c r="P264" s="10">
        <f t="shared" si="56"/>
        <v>0.25</v>
      </c>
      <c r="Q264" s="47">
        <f t="shared" si="54"/>
        <v>3.7333333333333336E-2</v>
      </c>
      <c r="R264" s="25">
        <f>IF(D264&gt;21,VLOOKUP(D264,Barem!$T$1:$U$141,2,1),0)</f>
        <v>0</v>
      </c>
      <c r="S264" s="25">
        <f>IF(D264&lt;1.609,0,IF(B264="F",VLOOKUP(I264,Barem!$X$2:$Z$13,2,1),VLOOKUP(I264,Barem!$X$14:$Z$25,2,1)))</f>
        <v>0</v>
      </c>
      <c r="T264" s="25">
        <f>VLOOKUP(A264,Participanti!A:C,3,0)</f>
        <v>0</v>
      </c>
      <c r="U264" s="20">
        <f t="shared" si="55"/>
        <v>2.8361428571428569</v>
      </c>
      <c r="V264" s="76">
        <v>44633</v>
      </c>
      <c r="W264" s="101">
        <f>COUNTIFS(A:A,A264,C:C,C264)</f>
        <v>1</v>
      </c>
      <c r="X264" s="74" t="e">
        <f>VLOOKUP(A264,Data_echipe!A:R,18,0)</f>
        <v>#N/A</v>
      </c>
      <c r="Z264" s="106">
        <f t="shared" si="57"/>
        <v>1</v>
      </c>
    </row>
    <row r="265" spans="1:26" s="146" customFormat="1" ht="12.6" thickBot="1" x14ac:dyDescent="0.3">
      <c r="A265" s="130" t="s">
        <v>219</v>
      </c>
      <c r="B265" s="131" t="str">
        <f>VLOOKUP(A265,Participanti!A:B,2,0)</f>
        <v>M</v>
      </c>
      <c r="C265" s="132">
        <v>9</v>
      </c>
      <c r="D265" s="133">
        <v>20.2</v>
      </c>
      <c r="E265" s="134">
        <v>0.17136574074074074</v>
      </c>
      <c r="F265" s="134">
        <v>0.19761574074074073</v>
      </c>
      <c r="G265" s="135">
        <f t="shared" si="51"/>
        <v>0.18449074074074073</v>
      </c>
      <c r="H265" s="136">
        <v>1025</v>
      </c>
      <c r="I265" s="137">
        <f t="shared" si="52"/>
        <v>9.1332049871653831E-3</v>
      </c>
      <c r="J265" s="138">
        <f t="shared" si="53"/>
        <v>4.8095238095238093</v>
      </c>
      <c r="K265" s="138">
        <f>IF(J265=0,0,IF(B265="F",VLOOKUP(I265,Barem!$G$2:$H$11,2,1),VLOOKUP(I265,Barem!$G$12:$H$21,2,1)))</f>
        <v>0</v>
      </c>
      <c r="L265" s="133">
        <v>3.75</v>
      </c>
      <c r="M265" s="139" t="str">
        <f>VLOOKUP(C265,Barem!L:R,7,0)</f>
        <v>D</v>
      </c>
      <c r="N265" s="140">
        <f t="shared" si="56"/>
        <v>0.5</v>
      </c>
      <c r="O265" s="140">
        <f t="shared" si="56"/>
        <v>0.25</v>
      </c>
      <c r="P265" s="140">
        <f t="shared" si="56"/>
        <v>0.25</v>
      </c>
      <c r="Q265" s="141">
        <f t="shared" si="54"/>
        <v>0.68333333333333335</v>
      </c>
      <c r="R265" s="142">
        <f>IF(D265&gt;21,VLOOKUP(D265,Barem!$T$1:$U$141,2,1),0)</f>
        <v>0</v>
      </c>
      <c r="S265" s="142">
        <f>IF(D265&lt;1.609,0,IF(B265="F",VLOOKUP(I265,Barem!$X$2:$Z$13,2,1),VLOOKUP(I265,Barem!$X$14:$Z$25,2,1)))</f>
        <v>0</v>
      </c>
      <c r="T265" s="142">
        <f>VLOOKUP(A265,Participanti!A:C,3,0)</f>
        <v>0</v>
      </c>
      <c r="U265" s="143">
        <f t="shared" si="55"/>
        <v>4.0255952380952378</v>
      </c>
      <c r="V265" s="144">
        <v>44632</v>
      </c>
      <c r="W265" s="145">
        <f>COUNTIFS(A:A,A265,C:C,C265)</f>
        <v>1</v>
      </c>
      <c r="X265" s="131" t="str">
        <f>VLOOKUP(A265,Data_echipe!A:R,18,0)</f>
        <v>Road</v>
      </c>
      <c r="Z265" s="106">
        <f t="shared" si="57"/>
        <v>0</v>
      </c>
    </row>
    <row r="266" spans="1:26" x14ac:dyDescent="0.25">
      <c r="A266" s="61" t="s">
        <v>218</v>
      </c>
      <c r="B266" s="74" t="str">
        <f>VLOOKUP(A266,Participanti!A:B,2,0)</f>
        <v>M</v>
      </c>
      <c r="C266" s="98">
        <v>10</v>
      </c>
      <c r="D266" s="63">
        <v>27</v>
      </c>
      <c r="E266" s="64">
        <v>7.7569444444444455E-2</v>
      </c>
      <c r="F266" s="64">
        <v>7.7650462962962963E-2</v>
      </c>
      <c r="G266" s="90">
        <f>AVERAGE(E266:F266)</f>
        <v>7.7609953703703716E-2</v>
      </c>
      <c r="H266" s="65">
        <v>280</v>
      </c>
      <c r="I266" s="13">
        <f>G266/D266</f>
        <v>2.8744427297668043E-3</v>
      </c>
      <c r="J266" s="84">
        <f>IF(B266="F",IF(D266&lt;2.5,0,IF(D266&gt;19.99,5,D266/4)),IF(D266&lt;3,0, IF(D266&gt;20.99,5,D266/4.2)))</f>
        <v>5</v>
      </c>
      <c r="K266" s="84">
        <f>IF(J266=0,0,IF(B266="F",VLOOKUP(I266,Barem!$G$2:$H$11,2,1),VLOOKUP(I266,Barem!$G$12:$H$21,2,1)))</f>
        <v>4.5</v>
      </c>
      <c r="L266" s="63">
        <v>3</v>
      </c>
      <c r="M266" s="149" t="s">
        <v>108</v>
      </c>
      <c r="N266" s="10">
        <f t="shared" si="56"/>
        <v>0.5</v>
      </c>
      <c r="O266" s="10">
        <f t="shared" si="56"/>
        <v>0.25</v>
      </c>
      <c r="P266" s="10">
        <f t="shared" si="56"/>
        <v>0.25</v>
      </c>
      <c r="Q266" s="47">
        <f>IF(H266&gt;49,H266/1500,0)</f>
        <v>0.18666666666666668</v>
      </c>
      <c r="R266" s="25">
        <f>IF(D266&gt;21,VLOOKUP(D266,Barem!$T$1:$U$141,2,1),0)</f>
        <v>0.3</v>
      </c>
      <c r="S266" s="25">
        <f>IF(D266&lt;1.609,0,IF(B266="F",VLOOKUP(I266,Barem!$X$2:$Z$13,2,1),VLOOKUP(I266,Barem!$X$14:$Z$25,2,1)))</f>
        <v>0</v>
      </c>
      <c r="T266" s="25">
        <f>VLOOKUP(A266,Participanti!A:C,3,0)</f>
        <v>0</v>
      </c>
      <c r="U266" s="20">
        <f>IF(H266&lt;0,0,J266*N266+K266*O266+L266*P266+Q266+R266+S266+T266)</f>
        <v>4.8616666666666664</v>
      </c>
      <c r="V266" s="76">
        <v>44635</v>
      </c>
      <c r="W266" s="101">
        <f>COUNTIFS(A:A,A266,C:C,C266)</f>
        <v>1</v>
      </c>
      <c r="X266" s="74" t="str">
        <f>VLOOKUP(A266,Data_echipe!A:R,18,0)</f>
        <v>Road</v>
      </c>
      <c r="Y266" s="22" t="s">
        <v>279</v>
      </c>
      <c r="Z266" s="106">
        <f t="shared" si="57"/>
        <v>1</v>
      </c>
    </row>
    <row r="267" spans="1:26" x14ac:dyDescent="0.25">
      <c r="A267" s="61" t="s">
        <v>50</v>
      </c>
      <c r="B267" s="74" t="str">
        <f>VLOOKUP(A267,Participanti!A:B,2,0)</f>
        <v>M</v>
      </c>
      <c r="C267" s="98">
        <v>10</v>
      </c>
      <c r="D267" s="63">
        <v>51</v>
      </c>
      <c r="E267" s="64">
        <v>0.30386574074074074</v>
      </c>
      <c r="F267" s="64">
        <v>0.31905092592592593</v>
      </c>
      <c r="G267" s="90">
        <f t="shared" ref="G267:G291" si="58">AVERAGE(E267:F267)</f>
        <v>0.31145833333333334</v>
      </c>
      <c r="H267" s="65">
        <v>2205</v>
      </c>
      <c r="I267" s="13">
        <f t="shared" ref="I267:I291" si="59">G267/D267</f>
        <v>6.1070261437908497E-3</v>
      </c>
      <c r="J267" s="84">
        <f t="shared" ref="J267:J291" si="60">IF(B267="F",IF(D267&lt;2.5,0,IF(D267&gt;19.99,5,D267/4)),IF(D267&lt;3,0, IF(D267&gt;20.99,5,D267/4.2)))</f>
        <v>5</v>
      </c>
      <c r="K267" s="84">
        <f>IF(J267=0,0,IF(B267="F",VLOOKUP(I267,Barem!$G$2:$H$11,2,1),VLOOKUP(I267,Barem!$G$12:$H$21,2,1)))</f>
        <v>0</v>
      </c>
      <c r="L267" s="63">
        <v>3.75</v>
      </c>
      <c r="M267" s="149" t="s">
        <v>108</v>
      </c>
      <c r="N267" s="10">
        <f t="shared" si="56"/>
        <v>0.5</v>
      </c>
      <c r="O267" s="10">
        <f t="shared" si="56"/>
        <v>0.25</v>
      </c>
      <c r="P267" s="10">
        <f t="shared" si="56"/>
        <v>0.25</v>
      </c>
      <c r="Q267" s="47">
        <f t="shared" ref="Q267:Q291" si="61">IF(H267&gt;49,H267/1500,0)</f>
        <v>1.47</v>
      </c>
      <c r="R267" s="25">
        <f>IF(D267&gt;21,VLOOKUP(D267,Barem!$T$1:$U$141,2,1),0)</f>
        <v>1.5</v>
      </c>
      <c r="S267" s="25">
        <f>IF(D267&lt;1.609,0,IF(B267="F",VLOOKUP(I267,Barem!$X$2:$Z$13,2,1),VLOOKUP(I267,Barem!$X$14:$Z$25,2,1)))</f>
        <v>0</v>
      </c>
      <c r="T267" s="25">
        <f>VLOOKUP(A267,Participanti!A:C,3,0)</f>
        <v>0</v>
      </c>
      <c r="U267" s="20">
        <f t="shared" ref="U267:U291" si="62">IF(H267&lt;0,0,J267*N267+K267*O267+L267*P267+Q267+R267+S267+T267)</f>
        <v>6.4074999999999998</v>
      </c>
      <c r="V267" s="76">
        <v>44640</v>
      </c>
      <c r="W267" s="101">
        <f>COUNTIFS(A:A,A267,C:C,C267)</f>
        <v>1</v>
      </c>
      <c r="X267" s="74" t="str">
        <f>VLOOKUP(A267,Data_echipe!A:R,18,0)</f>
        <v>Trail</v>
      </c>
      <c r="Z267" s="106">
        <f t="shared" si="57"/>
        <v>0</v>
      </c>
    </row>
    <row r="268" spans="1:26" x14ac:dyDescent="0.25">
      <c r="A268" s="61" t="s">
        <v>64</v>
      </c>
      <c r="B268" s="74" t="str">
        <f>VLOOKUP(A268,Participanti!A:B,2,0)</f>
        <v>M</v>
      </c>
      <c r="C268" s="98">
        <v>10</v>
      </c>
      <c r="D268" s="63">
        <v>8.06</v>
      </c>
      <c r="E268" s="64">
        <v>2.9699074074074072E-2</v>
      </c>
      <c r="F268" s="64">
        <v>2.974537037037037E-2</v>
      </c>
      <c r="G268" s="90">
        <f t="shared" si="58"/>
        <v>2.9722222222222219E-2</v>
      </c>
      <c r="H268" s="65">
        <v>48</v>
      </c>
      <c r="I268" s="13">
        <f t="shared" si="59"/>
        <v>3.6876206231044933E-3</v>
      </c>
      <c r="J268" s="84">
        <f t="shared" si="60"/>
        <v>1.9190476190476191</v>
      </c>
      <c r="K268" s="84">
        <f>IF(J268=0,0,IF(B268="F",VLOOKUP(I268,Barem!$G$2:$H$11,2,1),VLOOKUP(I268,Barem!$G$12:$H$21,2,1)))</f>
        <v>2</v>
      </c>
      <c r="L268" s="63">
        <v>2.5</v>
      </c>
      <c r="M268" s="62" t="str">
        <f>VLOOKUP(C268,Barem!L:R,7,0)</f>
        <v>V</v>
      </c>
      <c r="N268" s="10">
        <f t="shared" ref="N268:P291" si="63">IF($M268=N$1,50%,25%)</f>
        <v>0.25</v>
      </c>
      <c r="O268" s="10">
        <f t="shared" si="63"/>
        <v>0.5</v>
      </c>
      <c r="P268" s="10">
        <f t="shared" si="63"/>
        <v>0.25</v>
      </c>
      <c r="Q268" s="47">
        <f t="shared" si="61"/>
        <v>0</v>
      </c>
      <c r="R268" s="25">
        <f>IF(D268&gt;21,VLOOKUP(D268,Barem!$T$1:$U$141,2,1),0)</f>
        <v>0</v>
      </c>
      <c r="S268" s="25">
        <f>IF(D268&lt;1.609,0,IF(B268="F",VLOOKUP(I268,Barem!$X$2:$Z$13,2,1),VLOOKUP(I268,Barem!$X$14:$Z$25,2,1)))</f>
        <v>0</v>
      </c>
      <c r="T268" s="25">
        <f>VLOOKUP(A268,Participanti!A:C,3,0)</f>
        <v>0</v>
      </c>
      <c r="U268" s="20">
        <f t="shared" si="62"/>
        <v>2.1047619047619048</v>
      </c>
      <c r="V268" s="76">
        <v>44637</v>
      </c>
      <c r="W268" s="101">
        <f>COUNTIFS(A:A,A268,C:C,C268)</f>
        <v>1</v>
      </c>
      <c r="X268" s="74" t="str">
        <f>VLOOKUP(A268,Data_echipe!A:R,18,0)</f>
        <v>Trail</v>
      </c>
      <c r="Z268" s="106">
        <f t="shared" si="57"/>
        <v>1</v>
      </c>
    </row>
    <row r="269" spans="1:26" x14ac:dyDescent="0.25">
      <c r="A269" s="61" t="s">
        <v>52</v>
      </c>
      <c r="B269" s="74" t="str">
        <f>VLOOKUP(A269,Participanti!A:B,2,0)</f>
        <v>M</v>
      </c>
      <c r="C269" s="98">
        <v>10</v>
      </c>
      <c r="D269" s="63">
        <v>13.01</v>
      </c>
      <c r="E269" s="64">
        <v>4.1226851851851855E-2</v>
      </c>
      <c r="F269" s="64">
        <v>4.1226851851851855E-2</v>
      </c>
      <c r="G269" s="90">
        <f t="shared" si="58"/>
        <v>4.1226851851851855E-2</v>
      </c>
      <c r="H269" s="65">
        <v>44</v>
      </c>
      <c r="I269" s="13">
        <f t="shared" si="59"/>
        <v>3.1688587126711648E-3</v>
      </c>
      <c r="J269" s="84">
        <f t="shared" si="60"/>
        <v>3.0976190476190473</v>
      </c>
      <c r="K269" s="84">
        <f>IF(J269=0,0,IF(B269="F",VLOOKUP(I269,Barem!$G$2:$H$11,2,1),VLOOKUP(I269,Barem!$G$12:$H$21,2,1)))</f>
        <v>3.5</v>
      </c>
      <c r="L269" s="63">
        <v>3.5</v>
      </c>
      <c r="M269" s="62" t="str">
        <f>VLOOKUP(C269,Barem!L:R,7,0)</f>
        <v>V</v>
      </c>
      <c r="N269" s="10">
        <f t="shared" si="63"/>
        <v>0.25</v>
      </c>
      <c r="O269" s="10">
        <f t="shared" si="63"/>
        <v>0.5</v>
      </c>
      <c r="P269" s="10">
        <f t="shared" si="63"/>
        <v>0.25</v>
      </c>
      <c r="Q269" s="47">
        <f t="shared" si="61"/>
        <v>0</v>
      </c>
      <c r="R269" s="25">
        <f>IF(D269&gt;21,VLOOKUP(D269,Barem!$T$1:$U$141,2,1),0)</f>
        <v>0</v>
      </c>
      <c r="S269" s="25">
        <f>IF(D269&lt;1.609,0,IF(B269="F",VLOOKUP(I269,Barem!$X$2:$Z$13,2,1),VLOOKUP(I269,Barem!$X$14:$Z$25,2,1)))</f>
        <v>0</v>
      </c>
      <c r="T269" s="25">
        <f>VLOOKUP(A269,Participanti!A:C,3,0)</f>
        <v>0</v>
      </c>
      <c r="U269" s="20">
        <f t="shared" si="62"/>
        <v>3.399404761904762</v>
      </c>
      <c r="V269" s="76">
        <v>44636</v>
      </c>
      <c r="W269" s="101">
        <f>COUNTIFS(A:A,A269,C:C,C269)</f>
        <v>1</v>
      </c>
      <c r="X269" s="74" t="str">
        <f>VLOOKUP(A269,Data_echipe!A:R,18,0)</f>
        <v>Trail</v>
      </c>
      <c r="Z269" s="106">
        <f t="shared" si="57"/>
        <v>1</v>
      </c>
    </row>
    <row r="270" spans="1:26" x14ac:dyDescent="0.25">
      <c r="A270" s="61" t="s">
        <v>110</v>
      </c>
      <c r="B270" s="74" t="str">
        <f>VLOOKUP(A270,Participanti!A:B,2,0)</f>
        <v>M</v>
      </c>
      <c r="C270" s="98">
        <v>10</v>
      </c>
      <c r="D270" s="63">
        <v>12.5</v>
      </c>
      <c r="E270" s="64">
        <v>3.888888888888889E-2</v>
      </c>
      <c r="F270" s="64">
        <v>3.888888888888889E-2</v>
      </c>
      <c r="G270" s="90">
        <f t="shared" si="58"/>
        <v>3.888888888888889E-2</v>
      </c>
      <c r="H270" s="65">
        <v>13</v>
      </c>
      <c r="I270" s="13">
        <f t="shared" si="59"/>
        <v>3.1111111111111114E-3</v>
      </c>
      <c r="J270" s="84">
        <f t="shared" si="60"/>
        <v>2.9761904761904763</v>
      </c>
      <c r="K270" s="84">
        <f>IF(J270=0,0,IF(B270="F",VLOOKUP(I270,Barem!$G$2:$H$11,2,1),VLOOKUP(I270,Barem!$G$12:$H$21,2,1)))</f>
        <v>4</v>
      </c>
      <c r="L270" s="63">
        <v>2.5</v>
      </c>
      <c r="M270" s="62" t="str">
        <f>VLOOKUP(C270,Barem!L:R,7,0)</f>
        <v>V</v>
      </c>
      <c r="N270" s="10">
        <f t="shared" si="63"/>
        <v>0.25</v>
      </c>
      <c r="O270" s="10">
        <f t="shared" si="63"/>
        <v>0.5</v>
      </c>
      <c r="P270" s="10">
        <f t="shared" si="63"/>
        <v>0.25</v>
      </c>
      <c r="Q270" s="47">
        <f t="shared" si="61"/>
        <v>0</v>
      </c>
      <c r="R270" s="25">
        <f>IF(D270&gt;21,VLOOKUP(D270,Barem!$T$1:$U$141,2,1),0)</f>
        <v>0</v>
      </c>
      <c r="S270" s="25">
        <f>IF(D270&lt;1.609,0,IF(B270="F",VLOOKUP(I270,Barem!$X$2:$Z$13,2,1),VLOOKUP(I270,Barem!$X$14:$Z$25,2,1)))</f>
        <v>0</v>
      </c>
      <c r="T270" s="25">
        <f>VLOOKUP(A270,Participanti!A:C,3,0)</f>
        <v>0</v>
      </c>
      <c r="U270" s="20">
        <f t="shared" si="62"/>
        <v>3.3690476190476191</v>
      </c>
      <c r="V270" s="76">
        <v>44635</v>
      </c>
      <c r="W270" s="101">
        <f>COUNTIFS(A:A,A270,C:C,C270)</f>
        <v>1</v>
      </c>
      <c r="X270" s="74" t="str">
        <f>VLOOKUP(A270,Data_echipe!A:R,18,0)</f>
        <v>Road</v>
      </c>
      <c r="Z270" s="106">
        <f t="shared" si="57"/>
        <v>1</v>
      </c>
    </row>
    <row r="271" spans="1:26" x14ac:dyDescent="0.25">
      <c r="A271" s="61" t="s">
        <v>117</v>
      </c>
      <c r="B271" s="74" t="str">
        <f>VLOOKUP(A271,Participanti!A:B,2,0)</f>
        <v>M</v>
      </c>
      <c r="C271" s="98">
        <v>10</v>
      </c>
      <c r="D271" s="63">
        <v>21.26</v>
      </c>
      <c r="E271" s="64">
        <v>6.5682870370370364E-2</v>
      </c>
      <c r="F271" s="64">
        <v>6.6006944444444438E-2</v>
      </c>
      <c r="G271" s="90">
        <f t="shared" si="58"/>
        <v>6.5844907407407394E-2</v>
      </c>
      <c r="H271" s="65">
        <v>20</v>
      </c>
      <c r="I271" s="13">
        <f t="shared" si="59"/>
        <v>3.0971264067454086E-3</v>
      </c>
      <c r="J271" s="84">
        <f t="shared" si="60"/>
        <v>5</v>
      </c>
      <c r="K271" s="84">
        <f>IF(J271=0,0,IF(B271="F",VLOOKUP(I271,Barem!$G$2:$H$11,2,1),VLOOKUP(I271,Barem!$G$12:$H$21,2,1)))</f>
        <v>4</v>
      </c>
      <c r="L271" s="63">
        <v>0.5</v>
      </c>
      <c r="M271" s="149" t="s">
        <v>108</v>
      </c>
      <c r="N271" s="10">
        <f t="shared" si="63"/>
        <v>0.5</v>
      </c>
      <c r="O271" s="10">
        <f t="shared" si="63"/>
        <v>0.25</v>
      </c>
      <c r="P271" s="10">
        <f t="shared" si="63"/>
        <v>0.25</v>
      </c>
      <c r="Q271" s="47">
        <f t="shared" si="61"/>
        <v>0</v>
      </c>
      <c r="R271" s="25">
        <f>IF(D271&gt;21,VLOOKUP(D271,Barem!$T$1:$U$141,2,1),0)</f>
        <v>0</v>
      </c>
      <c r="S271" s="25">
        <f>IF(D271&lt;1.609,0,IF(B271="F",VLOOKUP(I271,Barem!$X$2:$Z$13,2,1),VLOOKUP(I271,Barem!$X$14:$Z$25,2,1)))</f>
        <v>0</v>
      </c>
      <c r="T271" s="25">
        <f>VLOOKUP(A271,Participanti!A:C,3,0)</f>
        <v>0</v>
      </c>
      <c r="U271" s="20">
        <f t="shared" si="62"/>
        <v>3.625</v>
      </c>
      <c r="V271" s="76">
        <v>44640</v>
      </c>
      <c r="W271" s="101">
        <f>COUNTIFS(A:A,A271,C:C,C271)</f>
        <v>1</v>
      </c>
      <c r="X271" s="74" t="str">
        <f>VLOOKUP(A271,Data_echipe!A:R,18,0)</f>
        <v>Trail</v>
      </c>
      <c r="Z271" s="106">
        <f t="shared" si="57"/>
        <v>1</v>
      </c>
    </row>
    <row r="272" spans="1:26" x14ac:dyDescent="0.25">
      <c r="A272" s="61" t="s">
        <v>141</v>
      </c>
      <c r="B272" s="74" t="str">
        <f>VLOOKUP(A272,Participanti!A:B,2,0)</f>
        <v>F</v>
      </c>
      <c r="C272" s="98">
        <v>10</v>
      </c>
      <c r="D272" s="63">
        <v>2.5099999999999998</v>
      </c>
      <c r="E272" s="64">
        <v>7.4074074074074068E-3</v>
      </c>
      <c r="F272" s="64">
        <v>7.4074074074074068E-3</v>
      </c>
      <c r="G272" s="90">
        <f t="shared" si="58"/>
        <v>7.4074074074074068E-3</v>
      </c>
      <c r="H272" s="65">
        <v>2</v>
      </c>
      <c r="I272" s="13">
        <f t="shared" si="59"/>
        <v>2.9511583296443853E-3</v>
      </c>
      <c r="J272" s="84">
        <f t="shared" si="60"/>
        <v>0.62749999999999995</v>
      </c>
      <c r="K272" s="84">
        <f>IF(J272=0,0,IF(B272="F",VLOOKUP(I272,Barem!$G$2:$H$11,2,1),VLOOKUP(I272,Barem!$G$12:$H$21,2,1)))</f>
        <v>5</v>
      </c>
      <c r="L272" s="63">
        <v>4</v>
      </c>
      <c r="M272" s="62" t="str">
        <f>VLOOKUP(C272,Barem!L:R,7,0)</f>
        <v>V</v>
      </c>
      <c r="N272" s="10">
        <f t="shared" si="63"/>
        <v>0.25</v>
      </c>
      <c r="O272" s="10">
        <f t="shared" si="63"/>
        <v>0.5</v>
      </c>
      <c r="P272" s="10">
        <f t="shared" si="63"/>
        <v>0.25</v>
      </c>
      <c r="Q272" s="47">
        <f t="shared" si="61"/>
        <v>0</v>
      </c>
      <c r="R272" s="25">
        <f>IF(D272&gt;21,VLOOKUP(D272,Barem!$T$1:$U$141,2,1),0)</f>
        <v>0</v>
      </c>
      <c r="S272" s="25">
        <f>IF(D272&lt;1.609,0,IF(B272="F",VLOOKUP(I272,Barem!$X$2:$Z$13,2,1),VLOOKUP(I272,Barem!$X$14:$Z$25,2,1)))</f>
        <v>1.4999999999999998</v>
      </c>
      <c r="T272" s="25">
        <f>VLOOKUP(A272,Participanti!A:C,3,0)</f>
        <v>0</v>
      </c>
      <c r="U272" s="20">
        <f t="shared" si="62"/>
        <v>5.1568749999999994</v>
      </c>
      <c r="V272" s="76">
        <v>44639</v>
      </c>
      <c r="W272" s="101">
        <f>COUNTIFS(A:A,A272,C:C,C272)</f>
        <v>1</v>
      </c>
      <c r="X272" s="74" t="str">
        <f>VLOOKUP(A272,Data_echipe!A:R,18,0)</f>
        <v>Trail</v>
      </c>
      <c r="Z272" s="106">
        <f t="shared" si="57"/>
        <v>1</v>
      </c>
    </row>
    <row r="273" spans="1:26" x14ac:dyDescent="0.25">
      <c r="A273" s="61" t="s">
        <v>254</v>
      </c>
      <c r="B273" s="74" t="str">
        <f>VLOOKUP(A273,Participanti!A:B,2,0)</f>
        <v>M</v>
      </c>
      <c r="C273" s="98">
        <v>10</v>
      </c>
      <c r="D273" s="63">
        <v>21.16</v>
      </c>
      <c r="E273" s="64">
        <v>7.5949074074074072E-2</v>
      </c>
      <c r="F273" s="64">
        <v>7.5983796296296299E-2</v>
      </c>
      <c r="G273" s="90">
        <f t="shared" si="58"/>
        <v>7.5966435185185185E-2</v>
      </c>
      <c r="H273" s="65">
        <v>117</v>
      </c>
      <c r="I273" s="13">
        <f t="shared" si="59"/>
        <v>3.590096180774347E-3</v>
      </c>
      <c r="J273" s="84">
        <f t="shared" si="60"/>
        <v>5</v>
      </c>
      <c r="K273" s="84">
        <f>IF(J273=0,0,IF(B273="F",VLOOKUP(I273,Barem!$G$2:$H$11,2,1),VLOOKUP(I273,Barem!$G$12:$H$21,2,1)))</f>
        <v>2.5</v>
      </c>
      <c r="L273" s="63">
        <v>3.5</v>
      </c>
      <c r="M273" s="62" t="str">
        <f>VLOOKUP(C273,Barem!L:R,7,0)</f>
        <v>V</v>
      </c>
      <c r="N273" s="10">
        <f t="shared" si="63"/>
        <v>0.25</v>
      </c>
      <c r="O273" s="10">
        <f t="shared" si="63"/>
        <v>0.5</v>
      </c>
      <c r="P273" s="10">
        <f t="shared" si="63"/>
        <v>0.25</v>
      </c>
      <c r="Q273" s="47">
        <f t="shared" si="61"/>
        <v>7.8E-2</v>
      </c>
      <c r="R273" s="25">
        <f>IF(D273&gt;21,VLOOKUP(D273,Barem!$T$1:$U$141,2,1),0)</f>
        <v>0</v>
      </c>
      <c r="S273" s="25">
        <f>IF(D273&lt;1.609,0,IF(B273="F",VLOOKUP(I273,Barem!$X$2:$Z$13,2,1),VLOOKUP(I273,Barem!$X$14:$Z$25,2,1)))</f>
        <v>0</v>
      </c>
      <c r="T273" s="25">
        <f>VLOOKUP(A273,Participanti!A:C,3,0)</f>
        <v>0</v>
      </c>
      <c r="U273" s="20">
        <f t="shared" si="62"/>
        <v>3.4529999999999998</v>
      </c>
      <c r="V273" s="76">
        <v>44635</v>
      </c>
      <c r="W273" s="101">
        <f>COUNTIFS(A:A,A273,C:C,C273)</f>
        <v>1</v>
      </c>
      <c r="X273" s="74" t="str">
        <f>VLOOKUP(A273,Data_echipe!A:R,18,0)</f>
        <v>Trail</v>
      </c>
      <c r="Z273" s="106">
        <f t="shared" si="57"/>
        <v>1</v>
      </c>
    </row>
    <row r="274" spans="1:26" ht="12.6" customHeight="1" x14ac:dyDescent="0.25">
      <c r="A274" s="61" t="s">
        <v>255</v>
      </c>
      <c r="B274" s="74" t="str">
        <f>VLOOKUP(A274,Participanti!A:B,2,0)</f>
        <v>F</v>
      </c>
      <c r="C274" s="98">
        <v>10</v>
      </c>
      <c r="D274" s="63">
        <v>10.01</v>
      </c>
      <c r="E274" s="64">
        <v>3.5057870370370371E-2</v>
      </c>
      <c r="F274" s="64">
        <v>3.577546296296296E-2</v>
      </c>
      <c r="G274" s="90">
        <f t="shared" si="58"/>
        <v>3.5416666666666666E-2</v>
      </c>
      <c r="H274" s="65">
        <v>25</v>
      </c>
      <c r="I274" s="13">
        <f t="shared" si="59"/>
        <v>3.538128538128538E-3</v>
      </c>
      <c r="J274" s="84">
        <f t="shared" si="60"/>
        <v>2.5024999999999999</v>
      </c>
      <c r="K274" s="84">
        <f>IF(J274=0,0,IF(B274="F",VLOOKUP(I274,Barem!$G$2:$H$11,2,1),VLOOKUP(I274,Barem!$G$12:$H$21,2,1)))</f>
        <v>3.5</v>
      </c>
      <c r="L274" s="63">
        <v>2.5</v>
      </c>
      <c r="M274" s="62" t="str">
        <f>VLOOKUP(C274,Barem!L:R,7,0)</f>
        <v>V</v>
      </c>
      <c r="N274" s="10">
        <f t="shared" si="63"/>
        <v>0.25</v>
      </c>
      <c r="O274" s="10">
        <f t="shared" si="63"/>
        <v>0.5</v>
      </c>
      <c r="P274" s="10">
        <f t="shared" si="63"/>
        <v>0.25</v>
      </c>
      <c r="Q274" s="47">
        <f t="shared" si="61"/>
        <v>0</v>
      </c>
      <c r="R274" s="25">
        <f>IF(D274&gt;21,VLOOKUP(D274,Barem!$T$1:$U$141,2,1),0)</f>
        <v>0</v>
      </c>
      <c r="S274" s="25">
        <f>IF(D274&lt;1.609,0,IF(B274="F",VLOOKUP(I274,Barem!$X$2:$Z$13,2,1),VLOOKUP(I274,Barem!$X$14:$Z$25,2,1)))</f>
        <v>0</v>
      </c>
      <c r="T274" s="25">
        <f>VLOOKUP(A274,Participanti!A:C,3,0)</f>
        <v>0</v>
      </c>
      <c r="U274" s="20">
        <f t="shared" si="62"/>
        <v>3.0006249999999999</v>
      </c>
      <c r="V274" s="76">
        <v>44640</v>
      </c>
      <c r="W274" s="101">
        <f>COUNTIFS(A:A,A274,C:C,C274)</f>
        <v>1</v>
      </c>
      <c r="X274" s="74" t="str">
        <f>VLOOKUP(A274,Data_echipe!A:R,18,0)</f>
        <v>Trail</v>
      </c>
      <c r="Z274" s="106">
        <f t="shared" si="57"/>
        <v>1</v>
      </c>
    </row>
    <row r="275" spans="1:26" x14ac:dyDescent="0.25">
      <c r="A275" s="61" t="s">
        <v>216</v>
      </c>
      <c r="B275" s="74" t="str">
        <f>VLOOKUP(A275,Participanti!A:B,2,0)</f>
        <v>M</v>
      </c>
      <c r="C275" s="98">
        <v>10</v>
      </c>
      <c r="D275" s="63">
        <v>21.12</v>
      </c>
      <c r="E275" s="64">
        <v>6.880787037037038E-2</v>
      </c>
      <c r="F275" s="64">
        <v>6.9039351851851852E-2</v>
      </c>
      <c r="G275" s="90">
        <f t="shared" si="58"/>
        <v>6.8923611111111116E-2</v>
      </c>
      <c r="H275" s="65">
        <v>43</v>
      </c>
      <c r="I275" s="13">
        <f t="shared" si="59"/>
        <v>3.2634285563973063E-3</v>
      </c>
      <c r="J275" s="84">
        <f t="shared" si="60"/>
        <v>5</v>
      </c>
      <c r="K275" s="84">
        <f>IF(J275=0,0,IF(B275="F",VLOOKUP(I275,Barem!$G$2:$H$11,2,1),VLOOKUP(I275,Barem!$G$12:$H$21,2,1)))</f>
        <v>3.5</v>
      </c>
      <c r="L275" s="63">
        <v>4</v>
      </c>
      <c r="M275" s="149" t="s">
        <v>108</v>
      </c>
      <c r="N275" s="10">
        <f t="shared" si="63"/>
        <v>0.5</v>
      </c>
      <c r="O275" s="10">
        <f t="shared" si="63"/>
        <v>0.25</v>
      </c>
      <c r="P275" s="10">
        <f t="shared" si="63"/>
        <v>0.25</v>
      </c>
      <c r="Q275" s="47">
        <f t="shared" si="61"/>
        <v>0</v>
      </c>
      <c r="R275" s="25">
        <f>IF(D275&gt;21,VLOOKUP(D275,Barem!$T$1:$U$141,2,1),0)</f>
        <v>0</v>
      </c>
      <c r="S275" s="25">
        <f>IF(D275&lt;1.609,0,IF(B275="F",VLOOKUP(I275,Barem!$X$2:$Z$13,2,1),VLOOKUP(I275,Barem!$X$14:$Z$25,2,1)))</f>
        <v>0</v>
      </c>
      <c r="T275" s="25">
        <f>VLOOKUP(A275,Participanti!A:C,3,0)</f>
        <v>0</v>
      </c>
      <c r="U275" s="20">
        <f t="shared" si="62"/>
        <v>4.375</v>
      </c>
      <c r="V275" s="76">
        <v>44640</v>
      </c>
      <c r="W275" s="101">
        <f>COUNTIFS(A:A,A275,C:C,C275)</f>
        <v>1</v>
      </c>
      <c r="X275" s="74" t="str">
        <f>VLOOKUP(A275,Data_echipe!A:R,18,0)</f>
        <v>Road</v>
      </c>
      <c r="Z275" s="106">
        <f t="shared" si="57"/>
        <v>1</v>
      </c>
    </row>
    <row r="276" spans="1:26" x14ac:dyDescent="0.25">
      <c r="A276" s="61" t="s">
        <v>49</v>
      </c>
      <c r="B276" s="74" t="str">
        <f>VLOOKUP(A276,Participanti!A:B,2,0)</f>
        <v>M</v>
      </c>
      <c r="C276" s="98">
        <v>10</v>
      </c>
      <c r="D276" s="63">
        <v>10.56</v>
      </c>
      <c r="E276" s="64">
        <v>4.447916666666666E-2</v>
      </c>
      <c r="F276" s="64">
        <v>6.5219907407407407E-2</v>
      </c>
      <c r="G276" s="90">
        <f t="shared" si="58"/>
        <v>5.484953703703703E-2</v>
      </c>
      <c r="H276" s="65">
        <v>126</v>
      </c>
      <c r="I276" s="13">
        <f t="shared" si="59"/>
        <v>5.1940849466891124E-3</v>
      </c>
      <c r="J276" s="84">
        <f t="shared" si="60"/>
        <v>2.5142857142857142</v>
      </c>
      <c r="K276" s="84">
        <f>IF(J276=0,0,IF(B276="F",VLOOKUP(I276,Barem!$G$2:$H$11,2,1),VLOOKUP(I276,Barem!$G$12:$H$21,2,1)))</f>
        <v>1</v>
      </c>
      <c r="L276" s="63">
        <v>3</v>
      </c>
      <c r="M276" s="62" t="str">
        <f>VLOOKUP(C276,Barem!L:R,7,0)</f>
        <v>V</v>
      </c>
      <c r="N276" s="10">
        <f t="shared" si="63"/>
        <v>0.25</v>
      </c>
      <c r="O276" s="10">
        <f t="shared" si="63"/>
        <v>0.5</v>
      </c>
      <c r="P276" s="10">
        <f t="shared" si="63"/>
        <v>0.25</v>
      </c>
      <c r="Q276" s="47">
        <f t="shared" si="61"/>
        <v>8.4000000000000005E-2</v>
      </c>
      <c r="R276" s="25">
        <f>IF(D276&gt;21,VLOOKUP(D276,Barem!$T$1:$U$141,2,1),0)</f>
        <v>0</v>
      </c>
      <c r="S276" s="25">
        <f>IF(D276&lt;1.609,0,IF(B276="F",VLOOKUP(I276,Barem!$X$2:$Z$13,2,1),VLOOKUP(I276,Barem!$X$14:$Z$25,2,1)))</f>
        <v>0</v>
      </c>
      <c r="T276" s="25">
        <f>VLOOKUP(A276,Participanti!A:C,3,0)</f>
        <v>0.4</v>
      </c>
      <c r="U276" s="20">
        <f t="shared" si="62"/>
        <v>2.3625714285714285</v>
      </c>
      <c r="V276" s="76">
        <v>44640</v>
      </c>
      <c r="W276" s="101">
        <f>COUNTIFS(A:A,A276,C:C,C276)</f>
        <v>1</v>
      </c>
      <c r="X276" s="74" t="str">
        <f>VLOOKUP(A276,Data_echipe!A:R,18,0)</f>
        <v>Road</v>
      </c>
      <c r="Z276" s="106">
        <f t="shared" si="57"/>
        <v>1</v>
      </c>
    </row>
    <row r="277" spans="1:26" x14ac:dyDescent="0.25">
      <c r="A277" s="61" t="s">
        <v>57</v>
      </c>
      <c r="B277" s="74" t="str">
        <f>VLOOKUP(A277,Participanti!A:B,2,0)</f>
        <v>M</v>
      </c>
      <c r="C277" s="98">
        <v>10</v>
      </c>
      <c r="D277" s="63">
        <v>3.01</v>
      </c>
      <c r="E277" s="64">
        <v>1.0092592592592592E-2</v>
      </c>
      <c r="F277" s="64">
        <v>1.0092592592592592E-2</v>
      </c>
      <c r="G277" s="90">
        <f t="shared" si="58"/>
        <v>1.0092592592592592E-2</v>
      </c>
      <c r="H277" s="65">
        <v>14</v>
      </c>
      <c r="I277" s="13">
        <f t="shared" si="59"/>
        <v>3.3530207948812602E-3</v>
      </c>
      <c r="J277" s="84">
        <f t="shared" si="60"/>
        <v>0.71666666666666656</v>
      </c>
      <c r="K277" s="84">
        <f>IF(J277=0,0,IF(B277="F",VLOOKUP(I277,Barem!$G$2:$H$11,2,1),VLOOKUP(I277,Barem!$G$12:$H$21,2,1)))</f>
        <v>3</v>
      </c>
      <c r="L277" s="63">
        <v>2.5</v>
      </c>
      <c r="M277" s="62" t="str">
        <f>VLOOKUP(C277,Barem!L:R,7,0)</f>
        <v>V</v>
      </c>
      <c r="N277" s="10">
        <f t="shared" si="63"/>
        <v>0.25</v>
      </c>
      <c r="O277" s="10">
        <f t="shared" si="63"/>
        <v>0.5</v>
      </c>
      <c r="P277" s="10">
        <f t="shared" si="63"/>
        <v>0.25</v>
      </c>
      <c r="Q277" s="47">
        <f t="shared" si="61"/>
        <v>0</v>
      </c>
      <c r="R277" s="25">
        <f>IF(D277&gt;21,VLOOKUP(D277,Barem!$T$1:$U$141,2,1),0)</f>
        <v>0</v>
      </c>
      <c r="S277" s="25">
        <f>IF(D277&lt;1.609,0,IF(B277="F",VLOOKUP(I277,Barem!$X$2:$Z$13,2,1),VLOOKUP(I277,Barem!$X$14:$Z$25,2,1)))</f>
        <v>0</v>
      </c>
      <c r="T277" s="25">
        <f>VLOOKUP(A277,Participanti!A:C,3,0)</f>
        <v>0</v>
      </c>
      <c r="U277" s="20">
        <f t="shared" si="62"/>
        <v>2.3041666666666667</v>
      </c>
      <c r="V277" s="76">
        <v>44640</v>
      </c>
      <c r="W277" s="101">
        <f>COUNTIFS(A:A,A277,C:C,C277)</f>
        <v>1</v>
      </c>
      <c r="X277" s="74" t="str">
        <f>VLOOKUP(A277,Data_echipe!A:R,18,0)</f>
        <v>Trail</v>
      </c>
      <c r="Z277" s="106">
        <f t="shared" si="57"/>
        <v>1</v>
      </c>
    </row>
    <row r="278" spans="1:26" x14ac:dyDescent="0.25">
      <c r="A278" s="61" t="s">
        <v>142</v>
      </c>
      <c r="B278" s="74" t="str">
        <f>VLOOKUP(A278,Participanti!A:B,2,0)</f>
        <v>F</v>
      </c>
      <c r="C278" s="98">
        <v>10</v>
      </c>
      <c r="D278" s="63">
        <v>10.01</v>
      </c>
      <c r="E278" s="64">
        <v>4.7615740740740743E-2</v>
      </c>
      <c r="F278" s="64">
        <v>7.2824074074074083E-2</v>
      </c>
      <c r="G278" s="90">
        <f t="shared" si="58"/>
        <v>6.0219907407407416E-2</v>
      </c>
      <c r="H278" s="65">
        <v>411</v>
      </c>
      <c r="I278" s="13">
        <f t="shared" si="59"/>
        <v>6.0159747659747666E-3</v>
      </c>
      <c r="J278" s="84">
        <f t="shared" si="60"/>
        <v>2.5024999999999999</v>
      </c>
      <c r="K278" s="84">
        <f>IF(J278=0,0,IF(B278="F",VLOOKUP(I278,Barem!$G$2:$H$11,2,1),VLOOKUP(I278,Barem!$G$12:$H$21,2,1)))</f>
        <v>1</v>
      </c>
      <c r="L278" s="63">
        <v>3</v>
      </c>
      <c r="M278" s="149" t="s">
        <v>220</v>
      </c>
      <c r="N278" s="10">
        <f t="shared" si="63"/>
        <v>0.25</v>
      </c>
      <c r="O278" s="10">
        <f t="shared" si="63"/>
        <v>0.25</v>
      </c>
      <c r="P278" s="10">
        <f t="shared" si="63"/>
        <v>0.5</v>
      </c>
      <c r="Q278" s="47">
        <f t="shared" si="61"/>
        <v>0.27400000000000002</v>
      </c>
      <c r="R278" s="25">
        <f>IF(D278&gt;21,VLOOKUP(D278,Barem!$T$1:$U$141,2,1),0)</f>
        <v>0</v>
      </c>
      <c r="S278" s="25">
        <f>IF(D278&lt;1.609,0,IF(B278="F",VLOOKUP(I278,Barem!$X$2:$Z$13,2,1),VLOOKUP(I278,Barem!$X$14:$Z$25,2,1)))</f>
        <v>0</v>
      </c>
      <c r="T278" s="25">
        <f>VLOOKUP(A278,Participanti!A:C,3,0)</f>
        <v>0</v>
      </c>
      <c r="U278" s="20">
        <f t="shared" si="62"/>
        <v>2.6496249999999999</v>
      </c>
      <c r="V278" s="76">
        <v>44640</v>
      </c>
      <c r="W278" s="101">
        <f>COUNTIFS(A:A,A278,C:C,C278)</f>
        <v>1</v>
      </c>
      <c r="X278" s="74" t="str">
        <f>VLOOKUP(A278,Data_echipe!A:R,18,0)</f>
        <v>Trail</v>
      </c>
      <c r="Z278" s="106">
        <f t="shared" si="57"/>
        <v>1</v>
      </c>
    </row>
    <row r="279" spans="1:26" x14ac:dyDescent="0.25">
      <c r="A279" s="61" t="s">
        <v>256</v>
      </c>
      <c r="B279" s="74" t="str">
        <f>VLOOKUP(A279,Participanti!A:B,2,0)</f>
        <v>M</v>
      </c>
      <c r="C279" s="98">
        <v>10</v>
      </c>
      <c r="D279" s="63">
        <v>21.12</v>
      </c>
      <c r="E279" s="64">
        <v>9.149305555555555E-2</v>
      </c>
      <c r="F279" s="64">
        <v>9.4745370370370383E-2</v>
      </c>
      <c r="G279" s="90">
        <f t="shared" si="58"/>
        <v>9.3119212962962966E-2</v>
      </c>
      <c r="H279" s="65">
        <v>57</v>
      </c>
      <c r="I279" s="13">
        <f t="shared" si="59"/>
        <v>4.4090536440796859E-3</v>
      </c>
      <c r="J279" s="84">
        <f t="shared" si="60"/>
        <v>5</v>
      </c>
      <c r="K279" s="84">
        <f>IF(J279=0,0,IF(B279="F",VLOOKUP(I279,Barem!$G$2:$H$11,2,1),VLOOKUP(I279,Barem!$G$12:$H$21,2,1)))</f>
        <v>1</v>
      </c>
      <c r="L279" s="63">
        <v>2.25</v>
      </c>
      <c r="M279" s="62" t="str">
        <f>VLOOKUP(C279,Barem!L:R,7,0)</f>
        <v>V</v>
      </c>
      <c r="N279" s="10">
        <f t="shared" si="63"/>
        <v>0.25</v>
      </c>
      <c r="O279" s="10">
        <f t="shared" si="63"/>
        <v>0.5</v>
      </c>
      <c r="P279" s="10">
        <f t="shared" si="63"/>
        <v>0.25</v>
      </c>
      <c r="Q279" s="47">
        <f t="shared" si="61"/>
        <v>3.7999999999999999E-2</v>
      </c>
      <c r="R279" s="25">
        <f>IF(D279&gt;21,VLOOKUP(D279,Barem!$T$1:$U$141,2,1),0)</f>
        <v>0</v>
      </c>
      <c r="S279" s="25">
        <f>IF(D279&lt;1.609,0,IF(B279="F",VLOOKUP(I279,Barem!$X$2:$Z$13,2,1),VLOOKUP(I279,Barem!$X$14:$Z$25,2,1)))</f>
        <v>0</v>
      </c>
      <c r="T279" s="25">
        <f>VLOOKUP(A279,Participanti!A:C,3,0)</f>
        <v>0</v>
      </c>
      <c r="U279" s="20">
        <f t="shared" si="62"/>
        <v>2.3504999999999998</v>
      </c>
      <c r="V279" s="76">
        <v>44640</v>
      </c>
      <c r="W279" s="101">
        <f>COUNTIFS(A:A,A279,C:C,C279)</f>
        <v>1</v>
      </c>
      <c r="X279" s="74" t="str">
        <f>VLOOKUP(A279,Data_echipe!A:R,18,0)</f>
        <v>Road</v>
      </c>
      <c r="Z279" s="106">
        <f t="shared" si="57"/>
        <v>1</v>
      </c>
    </row>
    <row r="280" spans="1:26" x14ac:dyDescent="0.25">
      <c r="A280" s="61" t="s">
        <v>185</v>
      </c>
      <c r="B280" s="74" t="str">
        <f>VLOOKUP(A280,Participanti!A:B,2,0)</f>
        <v>F</v>
      </c>
      <c r="C280" s="98">
        <v>10</v>
      </c>
      <c r="D280" s="63">
        <v>3</v>
      </c>
      <c r="E280" s="64">
        <v>1.0995370370370371E-2</v>
      </c>
      <c r="F280" s="64">
        <v>1.0995370370370371E-2</v>
      </c>
      <c r="G280" s="90">
        <f t="shared" si="58"/>
        <v>1.0995370370370371E-2</v>
      </c>
      <c r="H280" s="65">
        <v>4</v>
      </c>
      <c r="I280" s="13">
        <f t="shared" si="59"/>
        <v>3.6651234567901237E-3</v>
      </c>
      <c r="J280" s="84">
        <f t="shared" si="60"/>
        <v>0.75</v>
      </c>
      <c r="K280" s="84">
        <f>IF(J280=0,0,IF(B280="F",VLOOKUP(I280,Barem!$G$2:$H$11,2,1),VLOOKUP(I280,Barem!$G$12:$H$21,2,1)))</f>
        <v>3</v>
      </c>
      <c r="L280" s="63">
        <v>3.5</v>
      </c>
      <c r="M280" s="62" t="str">
        <f>VLOOKUP(C280,Barem!L:R,7,0)</f>
        <v>V</v>
      </c>
      <c r="N280" s="10">
        <f t="shared" si="63"/>
        <v>0.25</v>
      </c>
      <c r="O280" s="10">
        <f t="shared" si="63"/>
        <v>0.5</v>
      </c>
      <c r="P280" s="10">
        <f t="shared" si="63"/>
        <v>0.25</v>
      </c>
      <c r="Q280" s="47">
        <f t="shared" si="61"/>
        <v>0</v>
      </c>
      <c r="R280" s="25">
        <f>IF(D280&gt;21,VLOOKUP(D280,Barem!$T$1:$U$141,2,1),0)</f>
        <v>0</v>
      </c>
      <c r="S280" s="25">
        <f>IF(D280&lt;1.609,0,IF(B280="F",VLOOKUP(I280,Barem!$X$2:$Z$13,2,1),VLOOKUP(I280,Barem!$X$14:$Z$25,2,1)))</f>
        <v>0</v>
      </c>
      <c r="T280" s="25">
        <f>VLOOKUP(A280,Participanti!A:C,3,0)</f>
        <v>0</v>
      </c>
      <c r="U280" s="20">
        <f t="shared" si="62"/>
        <v>2.5625</v>
      </c>
      <c r="V280" s="76">
        <v>44639</v>
      </c>
      <c r="W280" s="101">
        <f>COUNTIFS(A:A,A280,C:C,C280)</f>
        <v>1</v>
      </c>
      <c r="X280" s="74" t="str">
        <f>VLOOKUP(A280,Data_echipe!A:R,18,0)</f>
        <v>Road</v>
      </c>
      <c r="Z280" s="106">
        <f t="shared" si="57"/>
        <v>1</v>
      </c>
    </row>
    <row r="281" spans="1:26" x14ac:dyDescent="0.25">
      <c r="A281" s="61" t="s">
        <v>119</v>
      </c>
      <c r="B281" s="74" t="str">
        <f>VLOOKUP(A281,Participanti!A:B,2,0)</f>
        <v>F</v>
      </c>
      <c r="C281" s="98">
        <v>10</v>
      </c>
      <c r="D281" s="63">
        <v>6.44</v>
      </c>
      <c r="E281" s="64">
        <v>2.5659722222222223E-2</v>
      </c>
      <c r="F281" s="64">
        <v>2.5659722222222223E-2</v>
      </c>
      <c r="G281" s="90">
        <f t="shared" si="58"/>
        <v>2.5659722222222223E-2</v>
      </c>
      <c r="H281" s="65">
        <v>33</v>
      </c>
      <c r="I281" s="13">
        <f t="shared" si="59"/>
        <v>3.984428916494134E-3</v>
      </c>
      <c r="J281" s="84">
        <f t="shared" si="60"/>
        <v>1.61</v>
      </c>
      <c r="K281" s="84">
        <f>IF(J281=0,0,IF(B281="F",VLOOKUP(I281,Barem!$G$2:$H$11,2,1),VLOOKUP(I281,Barem!$G$12:$H$21,2,1)))</f>
        <v>2.5</v>
      </c>
      <c r="L281" s="63">
        <v>3</v>
      </c>
      <c r="M281" s="62" t="str">
        <f>VLOOKUP(C281,Barem!L:R,7,0)</f>
        <v>V</v>
      </c>
      <c r="N281" s="10">
        <f t="shared" si="63"/>
        <v>0.25</v>
      </c>
      <c r="O281" s="10">
        <f t="shared" si="63"/>
        <v>0.5</v>
      </c>
      <c r="P281" s="10">
        <f t="shared" si="63"/>
        <v>0.25</v>
      </c>
      <c r="Q281" s="47">
        <f t="shared" si="61"/>
        <v>0</v>
      </c>
      <c r="R281" s="25">
        <f>IF(D281&gt;21,VLOOKUP(D281,Barem!$T$1:$U$141,2,1),0)</f>
        <v>0</v>
      </c>
      <c r="S281" s="25">
        <f>IF(D281&lt;1.609,0,IF(B281="F",VLOOKUP(I281,Barem!$X$2:$Z$13,2,1),VLOOKUP(I281,Barem!$X$14:$Z$25,2,1)))</f>
        <v>0</v>
      </c>
      <c r="T281" s="25">
        <f>VLOOKUP(A281,Participanti!A:C,3,0)</f>
        <v>0</v>
      </c>
      <c r="U281" s="20">
        <f t="shared" si="62"/>
        <v>2.4024999999999999</v>
      </c>
      <c r="V281" s="76">
        <v>44636</v>
      </c>
      <c r="W281" s="101">
        <f>COUNTIFS(A:A,A281,C:C,C281)</f>
        <v>1</v>
      </c>
      <c r="X281" s="74" t="str">
        <f>VLOOKUP(A281,Data_echipe!A:R,18,0)</f>
        <v>Trail</v>
      </c>
      <c r="Z281" s="106">
        <f t="shared" si="57"/>
        <v>1</v>
      </c>
    </row>
    <row r="282" spans="1:26" x14ac:dyDescent="0.25">
      <c r="A282" s="61" t="s">
        <v>65</v>
      </c>
      <c r="B282" s="74" t="str">
        <f>VLOOKUP(A282,Participanti!A:B,2,0)</f>
        <v>F</v>
      </c>
      <c r="C282" s="98">
        <v>10</v>
      </c>
      <c r="D282" s="63">
        <v>8.2799999999999994</v>
      </c>
      <c r="E282" s="64">
        <v>4.3657407407407402E-2</v>
      </c>
      <c r="F282" s="64">
        <v>5.8136574074074077E-2</v>
      </c>
      <c r="G282" s="90">
        <f t="shared" si="58"/>
        <v>5.0896990740740736E-2</v>
      </c>
      <c r="H282" s="65">
        <v>0</v>
      </c>
      <c r="I282" s="13">
        <f t="shared" si="59"/>
        <v>6.1469795580604758E-3</v>
      </c>
      <c r="J282" s="84">
        <f t="shared" si="60"/>
        <v>2.0699999999999998</v>
      </c>
      <c r="K282" s="84">
        <f>IF(J282=0,0,IF(B282="F",VLOOKUP(I282,Barem!$G$2:$H$11,2,1),VLOOKUP(I282,Barem!$G$12:$H$21,2,1)))</f>
        <v>1</v>
      </c>
      <c r="L282" s="63">
        <v>1</v>
      </c>
      <c r="M282" s="62" t="str">
        <f>VLOOKUP(C282,Barem!L:R,7,0)</f>
        <v>V</v>
      </c>
      <c r="N282" s="10">
        <f t="shared" si="63"/>
        <v>0.25</v>
      </c>
      <c r="O282" s="10">
        <f t="shared" si="63"/>
        <v>0.5</v>
      </c>
      <c r="P282" s="10">
        <f t="shared" si="63"/>
        <v>0.25</v>
      </c>
      <c r="Q282" s="47">
        <f t="shared" si="61"/>
        <v>0</v>
      </c>
      <c r="R282" s="25">
        <f>IF(D282&gt;21,VLOOKUP(D282,Barem!$T$1:$U$141,2,1),0)</f>
        <v>0</v>
      </c>
      <c r="S282" s="25">
        <f>IF(D282&lt;1.609,0,IF(B282="F",VLOOKUP(I282,Barem!$X$2:$Z$13,2,1),VLOOKUP(I282,Barem!$X$14:$Z$25,2,1)))</f>
        <v>0</v>
      </c>
      <c r="T282" s="25">
        <f>VLOOKUP(A282,Participanti!A:C,3,0)</f>
        <v>0.7</v>
      </c>
      <c r="U282" s="20">
        <f t="shared" si="62"/>
        <v>1.9675</v>
      </c>
      <c r="V282" s="76">
        <v>44638</v>
      </c>
      <c r="W282" s="101">
        <f>COUNTIFS(A:A,A282,C:C,C282)</f>
        <v>1</v>
      </c>
      <c r="X282" s="74" t="str">
        <f>VLOOKUP(A282,Data_echipe!A:R,18,0)</f>
        <v>Road</v>
      </c>
      <c r="Z282" s="106">
        <f t="shared" si="57"/>
        <v>1</v>
      </c>
    </row>
    <row r="283" spans="1:26" x14ac:dyDescent="0.25">
      <c r="A283" s="61" t="s">
        <v>143</v>
      </c>
      <c r="B283" s="74" t="str">
        <f>VLOOKUP(A283,Participanti!A:B,2,0)</f>
        <v>M</v>
      </c>
      <c r="C283" s="98">
        <v>10</v>
      </c>
      <c r="D283" s="63">
        <v>24.09</v>
      </c>
      <c r="E283" s="64">
        <v>9.449074074074075E-2</v>
      </c>
      <c r="F283" s="64">
        <v>9.8726851851851857E-2</v>
      </c>
      <c r="G283" s="90">
        <f t="shared" si="58"/>
        <v>9.6608796296296304E-2</v>
      </c>
      <c r="H283" s="65">
        <v>94</v>
      </c>
      <c r="I283" s="13">
        <f t="shared" si="59"/>
        <v>4.010327783158834E-3</v>
      </c>
      <c r="J283" s="84">
        <f t="shared" si="60"/>
        <v>5</v>
      </c>
      <c r="K283" s="84">
        <f>IF(J283=0,0,IF(B283="F",VLOOKUP(I283,Barem!$G$2:$H$11,2,1),VLOOKUP(I283,Barem!$G$12:$H$21,2,1)))</f>
        <v>1.5</v>
      </c>
      <c r="L283" s="63">
        <v>2.5</v>
      </c>
      <c r="M283" s="149" t="s">
        <v>108</v>
      </c>
      <c r="N283" s="10">
        <f t="shared" si="63"/>
        <v>0.5</v>
      </c>
      <c r="O283" s="10">
        <f t="shared" si="63"/>
        <v>0.25</v>
      </c>
      <c r="P283" s="10">
        <f t="shared" si="63"/>
        <v>0.25</v>
      </c>
      <c r="Q283" s="47">
        <f t="shared" si="61"/>
        <v>6.2666666666666662E-2</v>
      </c>
      <c r="R283" s="25">
        <f>IF(D283&gt;21,VLOOKUP(D283,Barem!$T$1:$U$141,2,1),0)</f>
        <v>0.1</v>
      </c>
      <c r="S283" s="25">
        <f>IF(D283&lt;1.609,0,IF(B283="F",VLOOKUP(I283,Barem!$X$2:$Z$13,2,1),VLOOKUP(I283,Barem!$X$14:$Z$25,2,1)))</f>
        <v>0</v>
      </c>
      <c r="T283" s="25">
        <f>VLOOKUP(A283,Participanti!A:C,3,0)</f>
        <v>0</v>
      </c>
      <c r="U283" s="20">
        <f t="shared" si="62"/>
        <v>3.662666666666667</v>
      </c>
      <c r="V283" s="76">
        <v>44635</v>
      </c>
      <c r="W283" s="101">
        <f>COUNTIFS(A:A,A283,C:C,C283)</f>
        <v>1</v>
      </c>
      <c r="X283" s="74" t="str">
        <f>VLOOKUP(A283,Data_echipe!A:R,18,0)</f>
        <v>Road</v>
      </c>
      <c r="Z283" s="106">
        <f t="shared" si="57"/>
        <v>1</v>
      </c>
    </row>
    <row r="284" spans="1:26" x14ac:dyDescent="0.25">
      <c r="A284" s="61" t="s">
        <v>102</v>
      </c>
      <c r="B284" s="74" t="str">
        <f>VLOOKUP(A284,Participanti!A:B,2,0)</f>
        <v>F</v>
      </c>
      <c r="C284" s="98">
        <v>10</v>
      </c>
      <c r="D284" s="63">
        <v>5.01</v>
      </c>
      <c r="E284" s="64">
        <v>2.0150462962962964E-2</v>
      </c>
      <c r="F284" s="64">
        <v>2.1122685185185185E-2</v>
      </c>
      <c r="G284" s="90">
        <f t="shared" si="58"/>
        <v>2.0636574074074075E-2</v>
      </c>
      <c r="H284" s="65">
        <v>69</v>
      </c>
      <c r="I284" s="13">
        <f t="shared" si="59"/>
        <v>4.1190766614918311E-3</v>
      </c>
      <c r="J284" s="84">
        <f t="shared" si="60"/>
        <v>1.2524999999999999</v>
      </c>
      <c r="K284" s="84">
        <f>IF(J284=0,0,IF(B284="F",VLOOKUP(I284,Barem!$G$2:$H$11,2,1),VLOOKUP(I284,Barem!$G$12:$H$21,2,1)))</f>
        <v>2</v>
      </c>
      <c r="L284" s="63">
        <v>3</v>
      </c>
      <c r="M284" s="149" t="s">
        <v>220</v>
      </c>
      <c r="N284" s="10">
        <f t="shared" si="63"/>
        <v>0.25</v>
      </c>
      <c r="O284" s="10">
        <f t="shared" si="63"/>
        <v>0.25</v>
      </c>
      <c r="P284" s="10">
        <f t="shared" si="63"/>
        <v>0.5</v>
      </c>
      <c r="Q284" s="47">
        <f t="shared" si="61"/>
        <v>4.5999999999999999E-2</v>
      </c>
      <c r="R284" s="25">
        <f>IF(D284&gt;21,VLOOKUP(D284,Barem!$T$1:$U$141,2,1),0)</f>
        <v>0</v>
      </c>
      <c r="S284" s="25">
        <f>IF(D284&lt;1.609,0,IF(B284="F",VLOOKUP(I284,Barem!$X$2:$Z$13,2,1),VLOOKUP(I284,Barem!$X$14:$Z$25,2,1)))</f>
        <v>0</v>
      </c>
      <c r="T284" s="25">
        <f>VLOOKUP(A284,Participanti!A:C,3,0)</f>
        <v>0</v>
      </c>
      <c r="U284" s="20">
        <f t="shared" si="62"/>
        <v>2.3591249999999997</v>
      </c>
      <c r="V284" s="76">
        <v>44639</v>
      </c>
      <c r="W284" s="101">
        <f>COUNTIFS(A:A,A284,C:C,C284)</f>
        <v>1</v>
      </c>
      <c r="X284" s="74" t="str">
        <f>VLOOKUP(A284,Data_echipe!A:R,18,0)</f>
        <v>Trail</v>
      </c>
      <c r="Z284" s="106">
        <f t="shared" si="57"/>
        <v>1</v>
      </c>
    </row>
    <row r="285" spans="1:26" x14ac:dyDescent="0.25">
      <c r="A285" s="61" t="s">
        <v>48</v>
      </c>
      <c r="B285" s="74" t="str">
        <f>VLOOKUP(A285,Participanti!A:B,2,0)</f>
        <v>M</v>
      </c>
      <c r="C285" s="98">
        <v>10</v>
      </c>
      <c r="D285" s="63">
        <v>11.65</v>
      </c>
      <c r="E285" s="64">
        <v>4.4722222222222219E-2</v>
      </c>
      <c r="F285" s="64">
        <v>4.5370370370370366E-2</v>
      </c>
      <c r="G285" s="90">
        <f t="shared" si="58"/>
        <v>4.5046296296296293E-2</v>
      </c>
      <c r="H285" s="65">
        <v>177</v>
      </c>
      <c r="I285" s="13">
        <f t="shared" si="59"/>
        <v>3.8666348752185659E-3</v>
      </c>
      <c r="J285" s="84">
        <f t="shared" si="60"/>
        <v>2.7738095238095237</v>
      </c>
      <c r="K285" s="84">
        <f>IF(J285=0,0,IF(B285="F",VLOOKUP(I285,Barem!$G$2:$H$11,2,1),VLOOKUP(I285,Barem!$G$12:$H$21,2,1)))</f>
        <v>1.5</v>
      </c>
      <c r="L285" s="63">
        <v>2.5</v>
      </c>
      <c r="M285" s="62" t="str">
        <f>VLOOKUP(C285,Barem!L:R,7,0)</f>
        <v>V</v>
      </c>
      <c r="N285" s="10">
        <f t="shared" si="63"/>
        <v>0.25</v>
      </c>
      <c r="O285" s="10">
        <f t="shared" si="63"/>
        <v>0.5</v>
      </c>
      <c r="P285" s="10">
        <f t="shared" si="63"/>
        <v>0.25</v>
      </c>
      <c r="Q285" s="47">
        <f t="shared" si="61"/>
        <v>0.11799999999999999</v>
      </c>
      <c r="R285" s="25">
        <f>IF(D285&gt;21,VLOOKUP(D285,Barem!$T$1:$U$141,2,1),0)</f>
        <v>0</v>
      </c>
      <c r="S285" s="25">
        <f>IF(D285&lt;1.609,0,IF(B285="F",VLOOKUP(I285,Barem!$X$2:$Z$13,2,1),VLOOKUP(I285,Barem!$X$14:$Z$25,2,1)))</f>
        <v>0</v>
      </c>
      <c r="T285" s="25">
        <f>VLOOKUP(A285,Participanti!A:C,3,0)</f>
        <v>0</v>
      </c>
      <c r="U285" s="20">
        <f t="shared" si="62"/>
        <v>2.1864523809523808</v>
      </c>
      <c r="V285" s="76">
        <v>44635</v>
      </c>
      <c r="W285" s="101">
        <f>COUNTIFS(A:A,A285,C:C,C285)</f>
        <v>1</v>
      </c>
      <c r="X285" s="74" t="str">
        <f>VLOOKUP(A285,Data_echipe!A:R,18,0)</f>
        <v>Road</v>
      </c>
      <c r="Z285" s="106">
        <f t="shared" si="57"/>
        <v>1</v>
      </c>
    </row>
    <row r="286" spans="1:26" x14ac:dyDescent="0.25">
      <c r="A286" s="61" t="s">
        <v>217</v>
      </c>
      <c r="B286" s="74" t="str">
        <f>VLOOKUP(A286,Participanti!A:B,2,0)</f>
        <v>M</v>
      </c>
      <c r="C286" s="98">
        <v>10</v>
      </c>
      <c r="D286" s="63">
        <v>11.62</v>
      </c>
      <c r="E286" s="64">
        <v>4.1064814814814811E-2</v>
      </c>
      <c r="F286" s="64">
        <v>4.1215277777777774E-2</v>
      </c>
      <c r="G286" s="90">
        <f t="shared" si="58"/>
        <v>4.1140046296296293E-2</v>
      </c>
      <c r="H286" s="65">
        <v>0</v>
      </c>
      <c r="I286" s="13">
        <f t="shared" si="59"/>
        <v>3.540451488493657E-3</v>
      </c>
      <c r="J286" s="84">
        <f t="shared" si="60"/>
        <v>2.7666666666666662</v>
      </c>
      <c r="K286" s="84">
        <f>IF(J286=0,0,IF(B286="F",VLOOKUP(I286,Barem!$G$2:$H$11,2,1),VLOOKUP(I286,Barem!$G$12:$H$21,2,1)))</f>
        <v>2.5</v>
      </c>
      <c r="L286" s="63">
        <v>1.5</v>
      </c>
      <c r="M286" s="163" t="s">
        <v>108</v>
      </c>
      <c r="N286" s="10">
        <f t="shared" si="63"/>
        <v>0.5</v>
      </c>
      <c r="O286" s="10">
        <f t="shared" si="63"/>
        <v>0.25</v>
      </c>
      <c r="P286" s="10">
        <f t="shared" si="63"/>
        <v>0.25</v>
      </c>
      <c r="Q286" s="47">
        <f t="shared" si="61"/>
        <v>0</v>
      </c>
      <c r="R286" s="25">
        <f>IF(D286&gt;21,VLOOKUP(D286,Barem!$T$1:$U$141,2,1),0)</f>
        <v>0</v>
      </c>
      <c r="S286" s="25">
        <f>IF(D286&lt;1.609,0,IF(B286="F",VLOOKUP(I286,Barem!$X$2:$Z$13,2,1),VLOOKUP(I286,Barem!$X$14:$Z$25,2,1)))</f>
        <v>0</v>
      </c>
      <c r="T286" s="25">
        <f>VLOOKUP(A286,Participanti!A:C,3,0)</f>
        <v>0</v>
      </c>
      <c r="U286" s="20">
        <f t="shared" si="62"/>
        <v>2.3833333333333329</v>
      </c>
      <c r="V286" s="76">
        <v>44636</v>
      </c>
      <c r="W286" s="101">
        <f>COUNTIFS(A:A,A286,C:C,C286)</f>
        <v>1</v>
      </c>
      <c r="X286" s="74" t="e">
        <f>VLOOKUP(A286,Data_echipe!A:R,18,0)</f>
        <v>#N/A</v>
      </c>
      <c r="Z286" s="106">
        <f t="shared" si="57"/>
        <v>1</v>
      </c>
    </row>
    <row r="287" spans="1:26" x14ac:dyDescent="0.25">
      <c r="A287" s="61" t="s">
        <v>179</v>
      </c>
      <c r="B287" s="74" t="str">
        <f>VLOOKUP(A287,Participanti!A:B,2,0)</f>
        <v>F</v>
      </c>
      <c r="C287" s="98">
        <v>10</v>
      </c>
      <c r="D287" s="63">
        <v>15.07</v>
      </c>
      <c r="E287" s="64">
        <v>6.236111111111111E-2</v>
      </c>
      <c r="F287" s="64">
        <v>7.8391203703703713E-2</v>
      </c>
      <c r="G287" s="90">
        <f t="shared" si="58"/>
        <v>7.0376157407407408E-2</v>
      </c>
      <c r="H287" s="65">
        <v>8</v>
      </c>
      <c r="I287" s="13">
        <f t="shared" si="59"/>
        <v>4.6699507237828409E-3</v>
      </c>
      <c r="J287" s="84">
        <f t="shared" si="60"/>
        <v>3.7675000000000001</v>
      </c>
      <c r="K287" s="84">
        <f>IF(J287=0,0,IF(B287="F",VLOOKUP(I287,Barem!$G$2:$H$11,2,1),VLOOKUP(I287,Barem!$G$12:$H$21,2,1)))</f>
        <v>1</v>
      </c>
      <c r="L287" s="63">
        <v>3</v>
      </c>
      <c r="M287" s="149" t="s">
        <v>220</v>
      </c>
      <c r="N287" s="10">
        <f t="shared" si="63"/>
        <v>0.25</v>
      </c>
      <c r="O287" s="10">
        <f t="shared" si="63"/>
        <v>0.25</v>
      </c>
      <c r="P287" s="10">
        <f t="shared" si="63"/>
        <v>0.5</v>
      </c>
      <c r="Q287" s="47">
        <f t="shared" si="61"/>
        <v>0</v>
      </c>
      <c r="R287" s="25">
        <f>IF(D287&gt;21,VLOOKUP(D287,Barem!$T$1:$U$141,2,1),0)</f>
        <v>0</v>
      </c>
      <c r="S287" s="25">
        <f>IF(D287&lt;1.609,0,IF(B287="F",VLOOKUP(I287,Barem!$X$2:$Z$13,2,1),VLOOKUP(I287,Barem!$X$14:$Z$25,2,1)))</f>
        <v>0</v>
      </c>
      <c r="T287" s="25">
        <f>VLOOKUP(A287,Participanti!A:C,3,0)</f>
        <v>0</v>
      </c>
      <c r="U287" s="20">
        <f t="shared" si="62"/>
        <v>2.691875</v>
      </c>
      <c r="V287" s="76">
        <v>44637</v>
      </c>
      <c r="W287" s="101">
        <f>COUNTIFS(A:A,A287,C:C,C287)</f>
        <v>1</v>
      </c>
      <c r="X287" s="74" t="str">
        <f>VLOOKUP(A287,Data_echipe!A:R,18,0)</f>
        <v>Trail</v>
      </c>
      <c r="Z287" s="106">
        <f t="shared" si="57"/>
        <v>1</v>
      </c>
    </row>
    <row r="288" spans="1:26" x14ac:dyDescent="0.25">
      <c r="A288" s="61" t="s">
        <v>138</v>
      </c>
      <c r="B288" s="74" t="str">
        <f>VLOOKUP(A288,Participanti!A:B,2,0)</f>
        <v>F</v>
      </c>
      <c r="C288" s="98">
        <v>10</v>
      </c>
      <c r="D288" s="63">
        <v>5.0199999999999996</v>
      </c>
      <c r="E288" s="64">
        <v>1.9351851851851853E-2</v>
      </c>
      <c r="F288" s="64">
        <v>1.9398148148148147E-2</v>
      </c>
      <c r="G288" s="90">
        <f t="shared" si="58"/>
        <v>1.9375E-2</v>
      </c>
      <c r="H288" s="65">
        <v>49</v>
      </c>
      <c r="I288" s="13">
        <f t="shared" si="59"/>
        <v>3.8595617529880483E-3</v>
      </c>
      <c r="J288" s="84">
        <f t="shared" si="60"/>
        <v>1.2549999999999999</v>
      </c>
      <c r="K288" s="84">
        <f>IF(J288=0,0,IF(B288="F",VLOOKUP(I288,Barem!$G$2:$H$11,2,1),VLOOKUP(I288,Barem!$G$12:$H$21,2,1)))</f>
        <v>2.5</v>
      </c>
      <c r="L288" s="63">
        <v>2</v>
      </c>
      <c r="M288" s="62" t="str">
        <f>VLOOKUP(C288,Barem!L:R,7,0)</f>
        <v>V</v>
      </c>
      <c r="N288" s="10">
        <f t="shared" si="63"/>
        <v>0.25</v>
      </c>
      <c r="O288" s="10">
        <f t="shared" si="63"/>
        <v>0.5</v>
      </c>
      <c r="P288" s="10">
        <f t="shared" si="63"/>
        <v>0.25</v>
      </c>
      <c r="Q288" s="47">
        <f t="shared" si="61"/>
        <v>0</v>
      </c>
      <c r="R288" s="25">
        <f>IF(D288&gt;21,VLOOKUP(D288,Barem!$T$1:$U$141,2,1),0)</f>
        <v>0</v>
      </c>
      <c r="S288" s="25">
        <f>IF(D288&lt;1.609,0,IF(B288="F",VLOOKUP(I288,Barem!$X$2:$Z$13,2,1),VLOOKUP(I288,Barem!$X$14:$Z$25,2,1)))</f>
        <v>0</v>
      </c>
      <c r="T288" s="25">
        <f>VLOOKUP(A288,Participanti!A:C,3,0)</f>
        <v>0</v>
      </c>
      <c r="U288" s="20">
        <f t="shared" si="62"/>
        <v>2.0637499999999998</v>
      </c>
      <c r="V288" s="76">
        <v>44636</v>
      </c>
      <c r="W288" s="101">
        <f>COUNTIFS(A:A,A288,C:C,C288)</f>
        <v>1</v>
      </c>
      <c r="X288" s="74" t="str">
        <f>VLOOKUP(A288,Data_echipe!A:R,18,0)</f>
        <v>Road</v>
      </c>
      <c r="Z288" s="106">
        <f t="shared" si="57"/>
        <v>1</v>
      </c>
    </row>
    <row r="289" spans="1:26" x14ac:dyDescent="0.25">
      <c r="A289" s="61" t="s">
        <v>60</v>
      </c>
      <c r="B289" s="74" t="str">
        <f>VLOOKUP(A289,Participanti!A:B,2,0)</f>
        <v>M</v>
      </c>
      <c r="C289" s="98">
        <v>10</v>
      </c>
      <c r="D289" s="63">
        <v>12.29</v>
      </c>
      <c r="E289" s="64">
        <v>4.0543981481481479E-2</v>
      </c>
      <c r="F289" s="64">
        <v>4.1122685185185186E-2</v>
      </c>
      <c r="G289" s="90">
        <f t="shared" si="58"/>
        <v>4.0833333333333333E-2</v>
      </c>
      <c r="H289" s="65">
        <v>0</v>
      </c>
      <c r="I289" s="13">
        <f t="shared" si="59"/>
        <v>3.3224844046650394E-3</v>
      </c>
      <c r="J289" s="84">
        <f t="shared" si="60"/>
        <v>2.926190476190476</v>
      </c>
      <c r="K289" s="84">
        <f>IF(J289=0,0,IF(B289="F",VLOOKUP(I289,Barem!$G$2:$H$11,2,1),VLOOKUP(I289,Barem!$G$12:$H$21,2,1)))</f>
        <v>3</v>
      </c>
      <c r="L289" s="63">
        <v>2</v>
      </c>
      <c r="M289" s="149" t="s">
        <v>108</v>
      </c>
      <c r="N289" s="10">
        <f t="shared" si="63"/>
        <v>0.5</v>
      </c>
      <c r="O289" s="10">
        <f t="shared" si="63"/>
        <v>0.25</v>
      </c>
      <c r="P289" s="10">
        <f t="shared" si="63"/>
        <v>0.25</v>
      </c>
      <c r="Q289" s="47">
        <f t="shared" si="61"/>
        <v>0</v>
      </c>
      <c r="R289" s="25">
        <f>IF(D289&gt;21,VLOOKUP(D289,Barem!$T$1:$U$141,2,1),0)</f>
        <v>0</v>
      </c>
      <c r="S289" s="25">
        <f>IF(D289&lt;1.609,0,IF(B289="F",VLOOKUP(I289,Barem!$X$2:$Z$13,2,1),VLOOKUP(I289,Barem!$X$14:$Z$25,2,1)))</f>
        <v>0</v>
      </c>
      <c r="T289" s="25">
        <f>VLOOKUP(A289,Participanti!A:C,3,0)</f>
        <v>0</v>
      </c>
      <c r="U289" s="20">
        <f t="shared" si="62"/>
        <v>2.7130952380952378</v>
      </c>
      <c r="V289" s="76">
        <v>44634</v>
      </c>
      <c r="W289" s="101">
        <f>COUNTIFS(A:A,A289,C:C,C289)</f>
        <v>1</v>
      </c>
      <c r="X289" s="74" t="str">
        <f>VLOOKUP(A289,Data_echipe!A:R,18,0)</f>
        <v>Road</v>
      </c>
      <c r="Z289" s="106">
        <f t="shared" si="57"/>
        <v>1</v>
      </c>
    </row>
    <row r="290" spans="1:26" x14ac:dyDescent="0.25">
      <c r="A290" s="61" t="s">
        <v>219</v>
      </c>
      <c r="B290" s="74" t="str">
        <f>VLOOKUP(A290,Participanti!A:B,2,0)</f>
        <v>M</v>
      </c>
      <c r="C290" s="98">
        <v>10</v>
      </c>
      <c r="D290" s="63">
        <v>19.5</v>
      </c>
      <c r="E290" s="64">
        <v>0.10506944444444444</v>
      </c>
      <c r="F290" s="64">
        <v>0.11284722222222222</v>
      </c>
      <c r="G290" s="90">
        <f t="shared" si="58"/>
        <v>0.10895833333333332</v>
      </c>
      <c r="H290" s="65">
        <v>738</v>
      </c>
      <c r="I290" s="13">
        <f t="shared" si="59"/>
        <v>5.5876068376068374E-3</v>
      </c>
      <c r="J290" s="84">
        <f t="shared" si="60"/>
        <v>4.6428571428571423</v>
      </c>
      <c r="K290" s="84">
        <f>IF(J290=0,0,IF(B290="F",VLOOKUP(I290,Barem!$G$2:$H$11,2,1),VLOOKUP(I290,Barem!$G$12:$H$21,2,1)))</f>
        <v>0</v>
      </c>
      <c r="L290" s="63">
        <v>3.5</v>
      </c>
      <c r="M290" s="62" t="str">
        <f>VLOOKUP(C290,Barem!L:R,7,0)</f>
        <v>V</v>
      </c>
      <c r="N290" s="10">
        <f t="shared" si="63"/>
        <v>0.25</v>
      </c>
      <c r="O290" s="10">
        <f t="shared" si="63"/>
        <v>0.5</v>
      </c>
      <c r="P290" s="10">
        <f t="shared" si="63"/>
        <v>0.25</v>
      </c>
      <c r="Q290" s="47">
        <f t="shared" si="61"/>
        <v>0.49199999999999999</v>
      </c>
      <c r="R290" s="25">
        <f>IF(D290&gt;21,VLOOKUP(D290,Barem!$T$1:$U$141,2,1),0)</f>
        <v>0</v>
      </c>
      <c r="S290" s="25">
        <f>IF(D290&lt;1.609,0,IF(B290="F",VLOOKUP(I290,Barem!$X$2:$Z$13,2,1),VLOOKUP(I290,Barem!$X$14:$Z$25,2,1)))</f>
        <v>0</v>
      </c>
      <c r="T290" s="25">
        <f>VLOOKUP(A290,Participanti!A:C,3,0)</f>
        <v>0</v>
      </c>
      <c r="U290" s="20">
        <f t="shared" si="62"/>
        <v>2.5277142857142856</v>
      </c>
      <c r="V290" s="76">
        <v>44639</v>
      </c>
      <c r="W290" s="101">
        <f>COUNTIFS(A:A,A290,C:C,C290)</f>
        <v>1</v>
      </c>
      <c r="X290" s="74" t="str">
        <f>VLOOKUP(A290,Data_echipe!A:R,18,0)</f>
        <v>Road</v>
      </c>
      <c r="Z290" s="106">
        <f t="shared" si="57"/>
        <v>0</v>
      </c>
    </row>
    <row r="291" spans="1:26" s="146" customFormat="1" ht="12.6" thickBot="1" x14ac:dyDescent="0.3">
      <c r="A291" s="130" t="s">
        <v>54</v>
      </c>
      <c r="B291" s="131" t="str">
        <f>VLOOKUP(A291,Participanti!A:B,2,0)</f>
        <v>M</v>
      </c>
      <c r="C291" s="132">
        <v>10</v>
      </c>
      <c r="D291" s="133">
        <v>14.01</v>
      </c>
      <c r="E291" s="134">
        <v>5.9236111111111107E-2</v>
      </c>
      <c r="F291" s="134">
        <v>8.4374999999999992E-2</v>
      </c>
      <c r="G291" s="135">
        <f t="shared" si="58"/>
        <v>7.1805555555555553E-2</v>
      </c>
      <c r="H291" s="136">
        <v>45</v>
      </c>
      <c r="I291" s="137">
        <f t="shared" si="59"/>
        <v>5.1253073201681341E-3</v>
      </c>
      <c r="J291" s="138">
        <f t="shared" si="60"/>
        <v>3.3357142857142854</v>
      </c>
      <c r="K291" s="138">
        <f>IF(J291=0,0,IF(B291="F",VLOOKUP(I291,Barem!$G$2:$H$11,2,1),VLOOKUP(I291,Barem!$G$12:$H$21,2,1)))</f>
        <v>1</v>
      </c>
      <c r="L291" s="133">
        <v>0.5</v>
      </c>
      <c r="M291" s="139" t="str">
        <f>VLOOKUP(C291,Barem!L:R,7,0)</f>
        <v>V</v>
      </c>
      <c r="N291" s="140">
        <f t="shared" si="63"/>
        <v>0.25</v>
      </c>
      <c r="O291" s="140">
        <f t="shared" si="63"/>
        <v>0.5</v>
      </c>
      <c r="P291" s="140">
        <f t="shared" si="63"/>
        <v>0.25</v>
      </c>
      <c r="Q291" s="141">
        <f t="shared" si="61"/>
        <v>0</v>
      </c>
      <c r="R291" s="142">
        <f>IF(D291&gt;21,VLOOKUP(D291,Barem!$T$1:$U$141,2,1),0)</f>
        <v>0</v>
      </c>
      <c r="S291" s="142">
        <f>IF(D291&lt;1.609,0,IF(B291="F",VLOOKUP(I291,Barem!$X$2:$Z$13,2,1),VLOOKUP(I291,Barem!$X$14:$Z$25,2,1)))</f>
        <v>0</v>
      </c>
      <c r="T291" s="142">
        <f>VLOOKUP(A291,Participanti!A:C,3,0)</f>
        <v>0</v>
      </c>
      <c r="U291" s="143">
        <f t="shared" si="62"/>
        <v>1.4589285714285714</v>
      </c>
      <c r="V291" s="144">
        <v>44640</v>
      </c>
      <c r="W291" s="145">
        <f>COUNTIFS(A:A,A291,C:C,C291)</f>
        <v>1</v>
      </c>
      <c r="X291" s="131" t="e">
        <f>VLOOKUP(A291,Data_echipe!A:R,18,0)</f>
        <v>#N/A</v>
      </c>
      <c r="Z291" s="106">
        <f t="shared" si="57"/>
        <v>1</v>
      </c>
    </row>
    <row r="292" spans="1:26" x14ac:dyDescent="0.25">
      <c r="A292" s="61" t="s">
        <v>54</v>
      </c>
      <c r="B292" s="74" t="str">
        <f>VLOOKUP(A292,Participanti!A:B,2,0)</f>
        <v>M</v>
      </c>
      <c r="C292" s="98">
        <v>11</v>
      </c>
      <c r="D292" s="63">
        <v>22.54</v>
      </c>
      <c r="E292" s="64">
        <v>9.2048611111111109E-2</v>
      </c>
      <c r="F292" s="64">
        <v>0.12394675925925926</v>
      </c>
      <c r="G292" s="90">
        <f t="shared" ref="G292:G346" si="64">AVERAGE(E292:F292)</f>
        <v>0.10799768518518518</v>
      </c>
      <c r="H292" s="65">
        <v>102</v>
      </c>
      <c r="I292" s="13">
        <f t="shared" ref="I292:I319" si="65">G292/D292</f>
        <v>4.7913791120312863E-3</v>
      </c>
      <c r="J292" s="84">
        <f t="shared" ref="J292:J319" si="66">IF(B292="F",IF(D292&lt;2.5,0,IF(D292&gt;19.99,5,D292/4)),IF(D292&lt;3,0, IF(D292&gt;20.99,5,D292/4.2)))</f>
        <v>5</v>
      </c>
      <c r="K292" s="84">
        <f>IF(J292=0,0,IF(B292="F",VLOOKUP(I292,Barem!$G$2:$H$11,2,1),VLOOKUP(I292,Barem!$G$12:$H$21,2,1)))</f>
        <v>1</v>
      </c>
      <c r="L292" s="63">
        <v>3.5</v>
      </c>
      <c r="M292" s="62" t="str">
        <f>VLOOKUP(C292,Barem!L:R,7,0)</f>
        <v>P</v>
      </c>
      <c r="N292" s="10">
        <f t="shared" ref="N292:P321" si="67">IF($M292=N$1,50%,25%)</f>
        <v>0.25</v>
      </c>
      <c r="O292" s="10">
        <f t="shared" si="67"/>
        <v>0.25</v>
      </c>
      <c r="P292" s="10">
        <f t="shared" si="67"/>
        <v>0.5</v>
      </c>
      <c r="Q292" s="47">
        <f t="shared" ref="Q292:Q319" si="68">IF(H292&gt;49,H292/1500,0)</f>
        <v>6.8000000000000005E-2</v>
      </c>
      <c r="R292" s="25">
        <f>IF(D292&gt;21,VLOOKUP(D292,Barem!$T$1:$U$141,2,1),0)</f>
        <v>0</v>
      </c>
      <c r="S292" s="25">
        <f>IF(D292&lt;1.609,0,IF(B292="F",VLOOKUP(I292,Barem!$X$2:$Z$13,2,1),VLOOKUP(I292,Barem!$X$14:$Z$25,2,1)))</f>
        <v>0</v>
      </c>
      <c r="T292" s="25">
        <f>VLOOKUP(A292,Participanti!A:C,3,0)</f>
        <v>0</v>
      </c>
      <c r="U292" s="20">
        <f t="shared" ref="U292:U319" si="69">IF(H292&lt;0,0,J292*N292+K292*O292+L292*P292+Q292+R292+S292+T292)</f>
        <v>3.3180000000000001</v>
      </c>
      <c r="V292" s="76">
        <v>44646</v>
      </c>
      <c r="W292" s="101">
        <f>COUNTIFS(A:A,A292,C:C,C292)</f>
        <v>1</v>
      </c>
      <c r="X292" s="74" t="e">
        <f>VLOOKUP(A292,Data_echipe!A:R,18,0)</f>
        <v>#N/A</v>
      </c>
      <c r="Y292" s="22" t="s">
        <v>280</v>
      </c>
      <c r="Z292" s="106">
        <f t="shared" si="57"/>
        <v>1</v>
      </c>
    </row>
    <row r="293" spans="1:26" x14ac:dyDescent="0.25">
      <c r="A293" s="61" t="s">
        <v>60</v>
      </c>
      <c r="B293" s="74" t="str">
        <f>VLOOKUP(A293,Participanti!A:B,2,0)</f>
        <v>M</v>
      </c>
      <c r="C293" s="98">
        <v>11</v>
      </c>
      <c r="D293" s="63">
        <v>13.53</v>
      </c>
      <c r="E293" s="64">
        <v>4.8402777777777774E-2</v>
      </c>
      <c r="F293" s="64">
        <v>4.9733796296296297E-2</v>
      </c>
      <c r="G293" s="90">
        <f t="shared" si="64"/>
        <v>4.9068287037037035E-2</v>
      </c>
      <c r="H293" s="65">
        <v>196</v>
      </c>
      <c r="I293" s="13">
        <f t="shared" si="65"/>
        <v>3.6266287536612738E-3</v>
      </c>
      <c r="J293" s="84">
        <f t="shared" si="66"/>
        <v>3.2214285714285711</v>
      </c>
      <c r="K293" s="84">
        <f>IF(J293=0,0,IF(B293="F",VLOOKUP(I293,Barem!$G$2:$H$11,2,1),VLOOKUP(I293,Barem!$G$12:$H$21,2,1)))</f>
        <v>2.5</v>
      </c>
      <c r="L293" s="63">
        <v>2.5</v>
      </c>
      <c r="M293" s="149" t="s">
        <v>108</v>
      </c>
      <c r="N293" s="10">
        <f t="shared" si="67"/>
        <v>0.5</v>
      </c>
      <c r="O293" s="10">
        <f t="shared" si="67"/>
        <v>0.25</v>
      </c>
      <c r="P293" s="10">
        <f t="shared" si="67"/>
        <v>0.25</v>
      </c>
      <c r="Q293" s="47">
        <f t="shared" si="68"/>
        <v>0.13066666666666665</v>
      </c>
      <c r="R293" s="25">
        <f>IF(D293&gt;21,VLOOKUP(D293,Barem!$T$1:$U$141,2,1),0)</f>
        <v>0</v>
      </c>
      <c r="S293" s="25">
        <f>IF(D293&lt;1.609,0,IF(B293="F",VLOOKUP(I293,Barem!$X$2:$Z$13,2,1),VLOOKUP(I293,Barem!$X$14:$Z$25,2,1)))</f>
        <v>0</v>
      </c>
      <c r="T293" s="25">
        <f>VLOOKUP(A293,Participanti!A:C,3,0)</f>
        <v>0</v>
      </c>
      <c r="U293" s="20">
        <f t="shared" si="69"/>
        <v>2.9913809523809523</v>
      </c>
      <c r="V293" s="76">
        <v>44645</v>
      </c>
      <c r="W293" s="101">
        <f>COUNTIFS(A:A,A293,C:C,C293)</f>
        <v>1</v>
      </c>
      <c r="X293" s="74" t="str">
        <f>VLOOKUP(A293,Data_echipe!A:R,18,0)</f>
        <v>Road</v>
      </c>
      <c r="Z293" s="106">
        <f t="shared" si="57"/>
        <v>1</v>
      </c>
    </row>
    <row r="294" spans="1:26" x14ac:dyDescent="0.25">
      <c r="A294" s="61" t="s">
        <v>138</v>
      </c>
      <c r="B294" s="74" t="str">
        <f>VLOOKUP(A294,Participanti!A:B,2,0)</f>
        <v>F</v>
      </c>
      <c r="C294" s="98">
        <v>11</v>
      </c>
      <c r="D294" s="63">
        <v>5.01</v>
      </c>
      <c r="E294" s="64">
        <v>2.1956018518518517E-2</v>
      </c>
      <c r="F294" s="64">
        <v>2.2118055555555557E-2</v>
      </c>
      <c r="G294" s="90">
        <f t="shared" si="64"/>
        <v>2.2037037037037036E-2</v>
      </c>
      <c r="H294" s="65">
        <v>59</v>
      </c>
      <c r="I294" s="13">
        <f t="shared" si="65"/>
        <v>4.3986101870333409E-3</v>
      </c>
      <c r="J294" s="84">
        <f t="shared" si="66"/>
        <v>1.2524999999999999</v>
      </c>
      <c r="K294" s="84">
        <f>IF(J294=0,0,IF(B294="F",VLOOKUP(I294,Barem!$G$2:$H$11,2,1),VLOOKUP(I294,Barem!$G$12:$H$21,2,1)))</f>
        <v>1.5</v>
      </c>
      <c r="L294" s="63">
        <v>2.5</v>
      </c>
      <c r="M294" s="62" t="str">
        <f>VLOOKUP(C294,Barem!L:R,7,0)</f>
        <v>P</v>
      </c>
      <c r="N294" s="10">
        <f t="shared" si="67"/>
        <v>0.25</v>
      </c>
      <c r="O294" s="10">
        <f t="shared" si="67"/>
        <v>0.25</v>
      </c>
      <c r="P294" s="10">
        <f t="shared" si="67"/>
        <v>0.5</v>
      </c>
      <c r="Q294" s="47">
        <f t="shared" si="68"/>
        <v>3.9333333333333331E-2</v>
      </c>
      <c r="R294" s="25">
        <f>IF(D294&gt;21,VLOOKUP(D294,Barem!$T$1:$U$141,2,1),0)</f>
        <v>0</v>
      </c>
      <c r="S294" s="25">
        <f>IF(D294&lt;1.609,0,IF(B294="F",VLOOKUP(I294,Barem!$X$2:$Z$13,2,1),VLOOKUP(I294,Barem!$X$14:$Z$25,2,1)))</f>
        <v>0</v>
      </c>
      <c r="T294" s="25">
        <f>VLOOKUP(A294,Participanti!A:C,3,0)</f>
        <v>0</v>
      </c>
      <c r="U294" s="20">
        <f t="shared" si="69"/>
        <v>1.9774583333333333</v>
      </c>
      <c r="V294" s="76">
        <v>44647</v>
      </c>
      <c r="W294" s="101">
        <f>COUNTIFS(A:A,A294,C:C,C294)</f>
        <v>1</v>
      </c>
      <c r="X294" s="74" t="str">
        <f>VLOOKUP(A294,Data_echipe!A:R,18,0)</f>
        <v>Road</v>
      </c>
      <c r="Z294" s="106">
        <f t="shared" si="57"/>
        <v>1</v>
      </c>
    </row>
    <row r="295" spans="1:26" x14ac:dyDescent="0.25">
      <c r="A295" s="61" t="s">
        <v>66</v>
      </c>
      <c r="B295" s="74" t="str">
        <f>VLOOKUP(A295,Participanti!A:B,2,0)</f>
        <v>M</v>
      </c>
      <c r="C295" s="98">
        <v>11</v>
      </c>
      <c r="D295" s="63">
        <v>11.56</v>
      </c>
      <c r="E295" s="64">
        <v>4.1666666666666664E-2</v>
      </c>
      <c r="F295" s="64">
        <v>4.5775462962962969E-2</v>
      </c>
      <c r="G295" s="90">
        <f t="shared" si="64"/>
        <v>4.3721064814814817E-2</v>
      </c>
      <c r="H295" s="65">
        <v>47</v>
      </c>
      <c r="I295" s="13">
        <f t="shared" si="65"/>
        <v>3.7820990324234269E-3</v>
      </c>
      <c r="J295" s="84">
        <f t="shared" si="66"/>
        <v>2.7523809523809524</v>
      </c>
      <c r="K295" s="84">
        <f>IF(J295=0,0,IF(B295="F",VLOOKUP(I295,Barem!$G$2:$H$11,2,1),VLOOKUP(I295,Barem!$G$12:$H$21,2,1)))</f>
        <v>2</v>
      </c>
      <c r="L295" s="63">
        <v>1.5</v>
      </c>
      <c r="M295" s="62" t="str">
        <f>VLOOKUP(C295,Barem!L:R,7,0)</f>
        <v>P</v>
      </c>
      <c r="N295" s="10">
        <f t="shared" si="67"/>
        <v>0.25</v>
      </c>
      <c r="O295" s="10">
        <f t="shared" si="67"/>
        <v>0.25</v>
      </c>
      <c r="P295" s="10">
        <f t="shared" si="67"/>
        <v>0.5</v>
      </c>
      <c r="Q295" s="47">
        <f t="shared" si="68"/>
        <v>0</v>
      </c>
      <c r="R295" s="25">
        <f>IF(D295&gt;21,VLOOKUP(D295,Barem!$T$1:$U$141,2,1),0)</f>
        <v>0</v>
      </c>
      <c r="S295" s="25">
        <f>IF(D295&lt;1.609,0,IF(B295="F",VLOOKUP(I295,Barem!$X$2:$Z$13,2,1),VLOOKUP(I295,Barem!$X$14:$Z$25,2,1)))</f>
        <v>0</v>
      </c>
      <c r="T295" s="25">
        <f>VLOOKUP(A295,Participanti!A:C,3,0)</f>
        <v>0</v>
      </c>
      <c r="U295" s="20">
        <f t="shared" si="69"/>
        <v>1.9380952380952381</v>
      </c>
      <c r="V295" s="76">
        <v>44645</v>
      </c>
      <c r="W295" s="101">
        <f>COUNTIFS(A:A,A295,C:C,C295)</f>
        <v>1</v>
      </c>
      <c r="X295" s="74" t="str">
        <f>VLOOKUP(A295,Data_echipe!A:R,18,0)</f>
        <v>Road</v>
      </c>
      <c r="Z295" s="106">
        <f t="shared" si="57"/>
        <v>1</v>
      </c>
    </row>
    <row r="296" spans="1:26" x14ac:dyDescent="0.25">
      <c r="A296" s="61" t="s">
        <v>116</v>
      </c>
      <c r="B296" s="74" t="str">
        <f>VLOOKUP(A296,Participanti!A:B,2,0)</f>
        <v>M</v>
      </c>
      <c r="C296" s="98">
        <v>11</v>
      </c>
      <c r="D296" s="63">
        <v>7.2</v>
      </c>
      <c r="E296" s="64">
        <v>2.989583333333333E-2</v>
      </c>
      <c r="F296" s="64">
        <v>3.1400462962962963E-2</v>
      </c>
      <c r="G296" s="90">
        <f t="shared" si="64"/>
        <v>3.0648148148148147E-2</v>
      </c>
      <c r="H296" s="65">
        <v>21</v>
      </c>
      <c r="I296" s="13">
        <f t="shared" si="65"/>
        <v>4.2566872427983538E-3</v>
      </c>
      <c r="J296" s="84">
        <f t="shared" si="66"/>
        <v>1.7142857142857142</v>
      </c>
      <c r="K296" s="84">
        <f>IF(J296=0,0,IF(B296="F",VLOOKUP(I296,Barem!$G$2:$H$11,2,1),VLOOKUP(I296,Barem!$G$12:$H$21,2,1)))</f>
        <v>1</v>
      </c>
      <c r="L296" s="63">
        <v>3.5</v>
      </c>
      <c r="M296" s="62" t="str">
        <f>VLOOKUP(C296,Barem!L:R,7,0)</f>
        <v>P</v>
      </c>
      <c r="N296" s="10">
        <f t="shared" si="67"/>
        <v>0.25</v>
      </c>
      <c r="O296" s="10">
        <f t="shared" si="67"/>
        <v>0.25</v>
      </c>
      <c r="P296" s="10">
        <f t="shared" si="67"/>
        <v>0.5</v>
      </c>
      <c r="Q296" s="47">
        <f t="shared" si="68"/>
        <v>0</v>
      </c>
      <c r="R296" s="25">
        <f>IF(D296&gt;21,VLOOKUP(D296,Barem!$T$1:$U$141,2,1),0)</f>
        <v>0</v>
      </c>
      <c r="S296" s="25">
        <f>IF(D296&lt;1.609,0,IF(B296="F",VLOOKUP(I296,Barem!$X$2:$Z$13,2,1),VLOOKUP(I296,Barem!$X$14:$Z$25,2,1)))</f>
        <v>0</v>
      </c>
      <c r="T296" s="25">
        <f>VLOOKUP(A296,Participanti!A:C,3,0)</f>
        <v>0</v>
      </c>
      <c r="U296" s="20">
        <f t="shared" si="69"/>
        <v>2.4285714285714288</v>
      </c>
      <c r="V296" s="76">
        <v>44646</v>
      </c>
      <c r="W296" s="101">
        <f>COUNTIFS(A:A,A296,C:C,C296)</f>
        <v>1</v>
      </c>
      <c r="X296" s="74" t="str">
        <f>VLOOKUP(A296,Data_echipe!A:R,18,0)</f>
        <v>Trail</v>
      </c>
      <c r="Z296" s="106">
        <f t="shared" si="57"/>
        <v>1</v>
      </c>
    </row>
    <row r="297" spans="1:26" x14ac:dyDescent="0.25">
      <c r="A297" s="61" t="s">
        <v>179</v>
      </c>
      <c r="B297" s="74" t="str">
        <f>VLOOKUP(A297,Participanti!A:B,2,0)</f>
        <v>F</v>
      </c>
      <c r="C297" s="98">
        <v>11</v>
      </c>
      <c r="D297" s="63">
        <v>43.52</v>
      </c>
      <c r="E297" s="64">
        <v>0.30479166666666668</v>
      </c>
      <c r="F297" s="64">
        <v>0.31059027777777776</v>
      </c>
      <c r="G297" s="90">
        <f t="shared" si="64"/>
        <v>0.30769097222222219</v>
      </c>
      <c r="H297" s="65">
        <v>112</v>
      </c>
      <c r="I297" s="13">
        <f t="shared" si="65"/>
        <v>7.0701050602532669E-3</v>
      </c>
      <c r="J297" s="84">
        <f t="shared" si="66"/>
        <v>5</v>
      </c>
      <c r="K297" s="84">
        <f>IF(J297=0,0,IF(B297="F",VLOOKUP(I297,Barem!$G$2:$H$11,2,1),VLOOKUP(I297,Barem!$G$12:$H$21,2,1)))</f>
        <v>0</v>
      </c>
      <c r="L297" s="63">
        <v>4</v>
      </c>
      <c r="M297" s="149" t="s">
        <v>108</v>
      </c>
      <c r="N297" s="10">
        <f t="shared" si="67"/>
        <v>0.5</v>
      </c>
      <c r="O297" s="10">
        <f t="shared" si="67"/>
        <v>0.25</v>
      </c>
      <c r="P297" s="10">
        <f t="shared" si="67"/>
        <v>0.25</v>
      </c>
      <c r="Q297" s="47">
        <f t="shared" si="68"/>
        <v>7.4666666666666673E-2</v>
      </c>
      <c r="R297" s="25">
        <f>IF(D297&gt;21,VLOOKUP(D297,Barem!$T$1:$U$141,2,1),0)</f>
        <v>1.1000000000000001</v>
      </c>
      <c r="S297" s="25">
        <f>IF(D297&lt;1.609,0,IF(B297="F",VLOOKUP(I297,Barem!$X$2:$Z$13,2,1),VLOOKUP(I297,Barem!$X$14:$Z$25,2,1)))</f>
        <v>0</v>
      </c>
      <c r="T297" s="25">
        <f>VLOOKUP(A297,Participanti!A:C,3,0)</f>
        <v>0</v>
      </c>
      <c r="U297" s="20">
        <f t="shared" si="69"/>
        <v>4.674666666666667</v>
      </c>
      <c r="V297" s="76">
        <v>44642</v>
      </c>
      <c r="W297" s="101">
        <f>COUNTIFS(A:A,A297,C:C,C297)</f>
        <v>1</v>
      </c>
      <c r="X297" s="74" t="str">
        <f>VLOOKUP(A297,Data_echipe!A:R,18,0)</f>
        <v>Trail</v>
      </c>
      <c r="Z297" s="106">
        <f t="shared" si="57"/>
        <v>0</v>
      </c>
    </row>
    <row r="298" spans="1:26" x14ac:dyDescent="0.25">
      <c r="A298" s="61" t="s">
        <v>217</v>
      </c>
      <c r="B298" s="74" t="str">
        <f>VLOOKUP(A298,Participanti!A:B,2,0)</f>
        <v>M</v>
      </c>
      <c r="C298" s="98">
        <v>11</v>
      </c>
      <c r="D298" s="63">
        <v>21.23</v>
      </c>
      <c r="E298" s="64">
        <v>8.1226851851851856E-2</v>
      </c>
      <c r="F298" s="64">
        <v>8.8946759259259267E-2</v>
      </c>
      <c r="G298" s="90">
        <f t="shared" si="64"/>
        <v>8.5086805555555561E-2</v>
      </c>
      <c r="H298" s="65">
        <v>16</v>
      </c>
      <c r="I298" s="13">
        <f t="shared" si="65"/>
        <v>4.0078570680902289E-3</v>
      </c>
      <c r="J298" s="84">
        <f t="shared" si="66"/>
        <v>5</v>
      </c>
      <c r="K298" s="84">
        <f>IF(J298=0,0,IF(B298="F",VLOOKUP(I298,Barem!$G$2:$H$11,2,1),VLOOKUP(I298,Barem!$G$12:$H$21,2,1)))</f>
        <v>1.5</v>
      </c>
      <c r="L298" s="63">
        <v>3.5</v>
      </c>
      <c r="M298" s="149" t="s">
        <v>108</v>
      </c>
      <c r="N298" s="10">
        <f t="shared" si="67"/>
        <v>0.5</v>
      </c>
      <c r="O298" s="10">
        <f t="shared" si="67"/>
        <v>0.25</v>
      </c>
      <c r="P298" s="10">
        <f t="shared" si="67"/>
        <v>0.25</v>
      </c>
      <c r="Q298" s="47">
        <f t="shared" si="68"/>
        <v>0</v>
      </c>
      <c r="R298" s="25">
        <f>IF(D298&gt;21,VLOOKUP(D298,Barem!$T$1:$U$141,2,1),0)</f>
        <v>0</v>
      </c>
      <c r="S298" s="25">
        <f>IF(D298&lt;1.609,0,IF(B298="F",VLOOKUP(I298,Barem!$X$2:$Z$13,2,1),VLOOKUP(I298,Barem!$X$14:$Z$25,2,1)))</f>
        <v>0</v>
      </c>
      <c r="T298" s="25">
        <f>VLOOKUP(A298,Participanti!A:C,3,0)</f>
        <v>0</v>
      </c>
      <c r="U298" s="20">
        <f t="shared" si="69"/>
        <v>3.75</v>
      </c>
      <c r="V298" s="76">
        <v>44644</v>
      </c>
      <c r="W298" s="101">
        <f>COUNTIFS(A:A,A298,C:C,C298)</f>
        <v>1</v>
      </c>
      <c r="X298" s="74" t="e">
        <f>VLOOKUP(A298,Data_echipe!A:R,18,0)</f>
        <v>#N/A</v>
      </c>
      <c r="Z298" s="106">
        <f t="shared" si="57"/>
        <v>1</v>
      </c>
    </row>
    <row r="299" spans="1:26" x14ac:dyDescent="0.25">
      <c r="A299" s="61" t="s">
        <v>257</v>
      </c>
      <c r="B299" s="74" t="str">
        <f>VLOOKUP(A299,Participanti!A:B,2,0)</f>
        <v>M</v>
      </c>
      <c r="C299" s="98">
        <v>11</v>
      </c>
      <c r="D299" s="63">
        <v>56.29</v>
      </c>
      <c r="E299" s="64">
        <v>0.33023148148148146</v>
      </c>
      <c r="F299" s="64">
        <v>0.33026620370370369</v>
      </c>
      <c r="G299" s="90">
        <f t="shared" si="64"/>
        <v>0.33024884259259257</v>
      </c>
      <c r="H299" s="65">
        <v>2491</v>
      </c>
      <c r="I299" s="13">
        <f t="shared" si="65"/>
        <v>5.8669185040432148E-3</v>
      </c>
      <c r="J299" s="84">
        <f t="shared" si="66"/>
        <v>5</v>
      </c>
      <c r="K299" s="84">
        <f>IF(J299=0,0,IF(B299="F",VLOOKUP(I299,Barem!$G$2:$H$11,2,1),VLOOKUP(I299,Barem!$G$12:$H$21,2,1)))</f>
        <v>0</v>
      </c>
      <c r="L299" s="63">
        <v>2.5</v>
      </c>
      <c r="M299" s="163" t="s">
        <v>220</v>
      </c>
      <c r="N299" s="10">
        <f t="shared" si="67"/>
        <v>0.25</v>
      </c>
      <c r="O299" s="10">
        <f t="shared" si="67"/>
        <v>0.25</v>
      </c>
      <c r="P299" s="10">
        <f t="shared" si="67"/>
        <v>0.5</v>
      </c>
      <c r="Q299" s="47">
        <f t="shared" si="68"/>
        <v>1.6606666666666667</v>
      </c>
      <c r="R299" s="25">
        <f>IF(D299&gt;21,VLOOKUP(D299,Barem!$T$1:$U$141,2,1),0)</f>
        <v>1.7</v>
      </c>
      <c r="S299" s="25">
        <f>IF(D299&lt;1.609,0,IF(B299="F",VLOOKUP(I299,Barem!$X$2:$Z$13,2,1),VLOOKUP(I299,Barem!$X$14:$Z$25,2,1)))</f>
        <v>0</v>
      </c>
      <c r="T299" s="25">
        <f>VLOOKUP(A299,Participanti!A:C,3,0)</f>
        <v>0</v>
      </c>
      <c r="U299" s="20">
        <f t="shared" si="69"/>
        <v>5.8606666666666669</v>
      </c>
      <c r="V299" s="76">
        <v>44646</v>
      </c>
      <c r="W299" s="101">
        <f>COUNTIFS(A:A,A299,C:C,C299)</f>
        <v>1</v>
      </c>
      <c r="X299" s="74" t="str">
        <f>VLOOKUP(A299,Data_echipe!A:R,18,0)</f>
        <v>Road</v>
      </c>
      <c r="Z299" s="106">
        <f t="shared" si="57"/>
        <v>0</v>
      </c>
    </row>
    <row r="300" spans="1:26" x14ac:dyDescent="0.25">
      <c r="A300" s="61" t="s">
        <v>65</v>
      </c>
      <c r="B300" s="74" t="str">
        <f>VLOOKUP(A300,Participanti!A:B,2,0)</f>
        <v>F</v>
      </c>
      <c r="C300" s="98">
        <v>11</v>
      </c>
      <c r="D300" s="63">
        <v>8</v>
      </c>
      <c r="E300" s="64">
        <v>4.1817129629629628E-2</v>
      </c>
      <c r="F300" s="64">
        <v>5.9224537037037041E-2</v>
      </c>
      <c r="G300" s="90">
        <f t="shared" si="64"/>
        <v>5.0520833333333334E-2</v>
      </c>
      <c r="H300" s="65">
        <v>0</v>
      </c>
      <c r="I300" s="13">
        <f t="shared" si="65"/>
        <v>6.3151041666666668E-3</v>
      </c>
      <c r="J300" s="84">
        <f t="shared" si="66"/>
        <v>2</v>
      </c>
      <c r="K300" s="84">
        <f>IF(J300=0,0,IF(B300="F",VLOOKUP(I300,Barem!$G$2:$H$11,2,1),VLOOKUP(I300,Barem!$G$12:$H$21,2,1)))</f>
        <v>0</v>
      </c>
      <c r="L300" s="63">
        <v>2.5</v>
      </c>
      <c r="M300" s="62" t="str">
        <f>VLOOKUP(C300,Barem!L:R,7,0)</f>
        <v>P</v>
      </c>
      <c r="N300" s="10">
        <f t="shared" si="67"/>
        <v>0.25</v>
      </c>
      <c r="O300" s="10">
        <f t="shared" si="67"/>
        <v>0.25</v>
      </c>
      <c r="P300" s="10">
        <f t="shared" si="67"/>
        <v>0.5</v>
      </c>
      <c r="Q300" s="47">
        <f t="shared" si="68"/>
        <v>0</v>
      </c>
      <c r="R300" s="25">
        <f>IF(D300&gt;21,VLOOKUP(D300,Barem!$T$1:$U$141,2,1),0)</f>
        <v>0</v>
      </c>
      <c r="S300" s="25">
        <f>IF(D300&lt;1.609,0,IF(B300="F",VLOOKUP(I300,Barem!$X$2:$Z$13,2,1),VLOOKUP(I300,Barem!$X$14:$Z$25,2,1)))</f>
        <v>0</v>
      </c>
      <c r="T300" s="25">
        <f>VLOOKUP(A300,Participanti!A:C,3,0)</f>
        <v>0.7</v>
      </c>
      <c r="U300" s="20">
        <f t="shared" si="69"/>
        <v>2.4500000000000002</v>
      </c>
      <c r="V300" s="76">
        <v>44641</v>
      </c>
      <c r="W300" s="101">
        <f>COUNTIFS(A:A,A300,C:C,C300)</f>
        <v>1</v>
      </c>
      <c r="X300" s="74" t="str">
        <f>VLOOKUP(A300,Data_echipe!A:R,18,0)</f>
        <v>Road</v>
      </c>
      <c r="Z300" s="106">
        <f t="shared" si="57"/>
        <v>0</v>
      </c>
    </row>
    <row r="301" spans="1:26" x14ac:dyDescent="0.25">
      <c r="A301" s="61" t="s">
        <v>102</v>
      </c>
      <c r="B301" s="74" t="str">
        <f>VLOOKUP(A301,Participanti!A:B,2,0)</f>
        <v>F</v>
      </c>
      <c r="C301" s="98">
        <v>11</v>
      </c>
      <c r="D301" s="63">
        <v>13.01</v>
      </c>
      <c r="E301" s="64">
        <v>5.1597222222222218E-2</v>
      </c>
      <c r="F301" s="64">
        <v>5.4907407407407405E-2</v>
      </c>
      <c r="G301" s="90">
        <f t="shared" si="64"/>
        <v>5.3252314814814808E-2</v>
      </c>
      <c r="H301" s="65">
        <v>122</v>
      </c>
      <c r="I301" s="13">
        <f t="shared" si="65"/>
        <v>4.0931833062886093E-3</v>
      </c>
      <c r="J301" s="84">
        <f t="shared" si="66"/>
        <v>3.2524999999999999</v>
      </c>
      <c r="K301" s="84">
        <f>IF(J301=0,0,IF(B301="F",VLOOKUP(I301,Barem!$G$2:$H$11,2,1),VLOOKUP(I301,Barem!$G$12:$H$21,2,1)))</f>
        <v>2</v>
      </c>
      <c r="L301" s="63">
        <v>2.5</v>
      </c>
      <c r="M301" s="149" t="s">
        <v>108</v>
      </c>
      <c r="N301" s="10">
        <f t="shared" si="67"/>
        <v>0.5</v>
      </c>
      <c r="O301" s="10">
        <f t="shared" si="67"/>
        <v>0.25</v>
      </c>
      <c r="P301" s="10">
        <f t="shared" si="67"/>
        <v>0.25</v>
      </c>
      <c r="Q301" s="47">
        <f t="shared" si="68"/>
        <v>8.1333333333333327E-2</v>
      </c>
      <c r="R301" s="25">
        <f>IF(D301&gt;21,VLOOKUP(D301,Barem!$T$1:$U$141,2,1),0)</f>
        <v>0</v>
      </c>
      <c r="S301" s="25">
        <f>IF(D301&lt;1.609,0,IF(B301="F",VLOOKUP(I301,Barem!$X$2:$Z$13,2,1),VLOOKUP(I301,Barem!$X$14:$Z$25,2,1)))</f>
        <v>0</v>
      </c>
      <c r="T301" s="25">
        <f>VLOOKUP(A301,Participanti!A:C,3,0)</f>
        <v>0</v>
      </c>
      <c r="U301" s="20">
        <f t="shared" si="69"/>
        <v>2.832583333333333</v>
      </c>
      <c r="V301" s="76">
        <v>44647</v>
      </c>
      <c r="W301" s="101">
        <f>COUNTIFS(A:A,A301,C:C,C301)</f>
        <v>1</v>
      </c>
      <c r="X301" s="74" t="str">
        <f>VLOOKUP(A301,Data_echipe!A:R,18,0)</f>
        <v>Trail</v>
      </c>
      <c r="Z301" s="106">
        <f t="shared" si="57"/>
        <v>1</v>
      </c>
    </row>
    <row r="302" spans="1:26" x14ac:dyDescent="0.25">
      <c r="A302" s="61" t="s">
        <v>215</v>
      </c>
      <c r="B302" s="74" t="str">
        <f>VLOOKUP(A302,Participanti!A:B,2,0)</f>
        <v>M</v>
      </c>
      <c r="C302" s="98">
        <v>11</v>
      </c>
      <c r="D302" s="63">
        <v>10.89</v>
      </c>
      <c r="E302" s="64">
        <v>4.0567129629629627E-2</v>
      </c>
      <c r="F302" s="64">
        <v>4.1527777777777775E-2</v>
      </c>
      <c r="G302" s="90">
        <f t="shared" si="64"/>
        <v>4.1047453703703704E-2</v>
      </c>
      <c r="H302" s="65">
        <v>32</v>
      </c>
      <c r="I302" s="13">
        <f t="shared" si="65"/>
        <v>3.7692794952895962E-3</v>
      </c>
      <c r="J302" s="84">
        <f t="shared" si="66"/>
        <v>2.592857142857143</v>
      </c>
      <c r="K302" s="84">
        <f>IF(J302=0,0,IF(B302="F",VLOOKUP(I302,Barem!$G$2:$H$11,2,1),VLOOKUP(I302,Barem!$G$12:$H$21,2,1)))</f>
        <v>2</v>
      </c>
      <c r="L302" s="63">
        <v>3</v>
      </c>
      <c r="M302" s="62" t="str">
        <f>VLOOKUP(C302,Barem!L:R,7,0)</f>
        <v>P</v>
      </c>
      <c r="N302" s="10">
        <f t="shared" si="67"/>
        <v>0.25</v>
      </c>
      <c r="O302" s="10">
        <f t="shared" si="67"/>
        <v>0.25</v>
      </c>
      <c r="P302" s="10">
        <f t="shared" si="67"/>
        <v>0.5</v>
      </c>
      <c r="Q302" s="47">
        <f t="shared" si="68"/>
        <v>0</v>
      </c>
      <c r="R302" s="25">
        <f>IF(D302&gt;21,VLOOKUP(D302,Barem!$T$1:$U$141,2,1),0)</f>
        <v>0</v>
      </c>
      <c r="S302" s="25">
        <f>IF(D302&lt;1.609,0,IF(B302="F",VLOOKUP(I302,Barem!$X$2:$Z$13,2,1),VLOOKUP(I302,Barem!$X$14:$Z$25,2,1)))</f>
        <v>0</v>
      </c>
      <c r="T302" s="25">
        <f>VLOOKUP(A302,Participanti!A:C,3,0)</f>
        <v>0</v>
      </c>
      <c r="U302" s="20">
        <f t="shared" si="69"/>
        <v>2.6482142857142859</v>
      </c>
      <c r="V302" s="76">
        <v>44646</v>
      </c>
      <c r="W302" s="101">
        <f>COUNTIFS(A:A,A302,C:C,C302)</f>
        <v>1</v>
      </c>
      <c r="X302" s="74" t="str">
        <f>VLOOKUP(A302,Data_echipe!A:R,18,0)</f>
        <v>Trail</v>
      </c>
      <c r="Z302" s="106">
        <f t="shared" si="57"/>
        <v>1</v>
      </c>
    </row>
    <row r="303" spans="1:26" x14ac:dyDescent="0.25">
      <c r="A303" s="61" t="s">
        <v>119</v>
      </c>
      <c r="B303" s="74" t="str">
        <f>VLOOKUP(A303,Participanti!A:B,2,0)</f>
        <v>F</v>
      </c>
      <c r="C303" s="98">
        <v>11</v>
      </c>
      <c r="D303" s="63">
        <v>5.0999999999999996</v>
      </c>
      <c r="E303" s="64">
        <v>2.074074074074074E-2</v>
      </c>
      <c r="F303" s="64">
        <v>2.2013888888888888E-2</v>
      </c>
      <c r="G303" s="90">
        <f t="shared" si="64"/>
        <v>2.1377314814814814E-2</v>
      </c>
      <c r="H303" s="65">
        <v>11</v>
      </c>
      <c r="I303" s="13">
        <f t="shared" si="65"/>
        <v>4.1916303558460419E-3</v>
      </c>
      <c r="J303" s="84">
        <f t="shared" si="66"/>
        <v>1.2749999999999999</v>
      </c>
      <c r="K303" s="84">
        <f>IF(J303=0,0,IF(B303="F",VLOOKUP(I303,Barem!$G$2:$H$11,2,1),VLOOKUP(I303,Barem!$G$12:$H$21,2,1)))</f>
        <v>1.5</v>
      </c>
      <c r="L303" s="63">
        <v>4</v>
      </c>
      <c r="M303" s="62" t="str">
        <f>VLOOKUP(C303,Barem!L:R,7,0)</f>
        <v>P</v>
      </c>
      <c r="N303" s="10">
        <f t="shared" si="67"/>
        <v>0.25</v>
      </c>
      <c r="O303" s="10">
        <f t="shared" si="67"/>
        <v>0.25</v>
      </c>
      <c r="P303" s="10">
        <f t="shared" si="67"/>
        <v>0.5</v>
      </c>
      <c r="Q303" s="47">
        <f t="shared" si="68"/>
        <v>0</v>
      </c>
      <c r="R303" s="25">
        <f>IF(D303&gt;21,VLOOKUP(D303,Barem!$T$1:$U$141,2,1),0)</f>
        <v>0</v>
      </c>
      <c r="S303" s="25">
        <f>IF(D303&lt;1.609,0,IF(B303="F",VLOOKUP(I303,Barem!$X$2:$Z$13,2,1),VLOOKUP(I303,Barem!$X$14:$Z$25,2,1)))</f>
        <v>0</v>
      </c>
      <c r="T303" s="25">
        <f>VLOOKUP(A303,Participanti!A:C,3,0)</f>
        <v>0</v>
      </c>
      <c r="U303" s="20">
        <f t="shared" si="69"/>
        <v>2.6937500000000001</v>
      </c>
      <c r="V303" s="76">
        <v>44644</v>
      </c>
      <c r="W303" s="101">
        <f>COUNTIFS(A:A,A303,C:C,C303)</f>
        <v>1</v>
      </c>
      <c r="X303" s="74" t="str">
        <f>VLOOKUP(A303,Data_echipe!A:R,18,0)</f>
        <v>Trail</v>
      </c>
      <c r="Z303" s="106">
        <f t="shared" si="57"/>
        <v>1</v>
      </c>
    </row>
    <row r="304" spans="1:26" x14ac:dyDescent="0.25">
      <c r="A304" s="61" t="s">
        <v>185</v>
      </c>
      <c r="B304" s="74" t="str">
        <f>VLOOKUP(A304,Participanti!A:B,2,0)</f>
        <v>F</v>
      </c>
      <c r="C304" s="98">
        <v>11</v>
      </c>
      <c r="D304" s="63">
        <v>10</v>
      </c>
      <c r="E304" s="64">
        <v>4.2696759259259261E-2</v>
      </c>
      <c r="F304" s="64">
        <v>4.7534722222222221E-2</v>
      </c>
      <c r="G304" s="90">
        <f t="shared" si="64"/>
        <v>4.5115740740740741E-2</v>
      </c>
      <c r="H304" s="65">
        <v>11</v>
      </c>
      <c r="I304" s="13">
        <f t="shared" si="65"/>
        <v>4.5115740740740741E-3</v>
      </c>
      <c r="J304" s="84">
        <f t="shared" si="66"/>
        <v>2.5</v>
      </c>
      <c r="K304" s="84">
        <f>IF(J304=0,0,IF(B304="F",VLOOKUP(I304,Barem!$G$2:$H$11,2,1),VLOOKUP(I304,Barem!$G$12:$H$21,2,1)))</f>
        <v>1.5</v>
      </c>
      <c r="L304" s="63">
        <v>3.75</v>
      </c>
      <c r="M304" s="62" t="str">
        <f>VLOOKUP(C304,Barem!L:R,7,0)</f>
        <v>P</v>
      </c>
      <c r="N304" s="10">
        <f t="shared" si="67"/>
        <v>0.25</v>
      </c>
      <c r="O304" s="10">
        <f t="shared" si="67"/>
        <v>0.25</v>
      </c>
      <c r="P304" s="10">
        <f t="shared" si="67"/>
        <v>0.5</v>
      </c>
      <c r="Q304" s="47">
        <f t="shared" si="68"/>
        <v>0</v>
      </c>
      <c r="R304" s="25">
        <f>IF(D304&gt;21,VLOOKUP(D304,Barem!$T$1:$U$141,2,1),0)</f>
        <v>0</v>
      </c>
      <c r="S304" s="25">
        <f>IF(D304&lt;1.609,0,IF(B304="F",VLOOKUP(I304,Barem!$X$2:$Z$13,2,1),VLOOKUP(I304,Barem!$X$14:$Z$25,2,1)))</f>
        <v>0</v>
      </c>
      <c r="T304" s="25">
        <f>VLOOKUP(A304,Participanti!A:C,3,0)</f>
        <v>0</v>
      </c>
      <c r="U304" s="20">
        <f t="shared" si="69"/>
        <v>2.875</v>
      </c>
      <c r="V304" s="76">
        <v>44647</v>
      </c>
      <c r="W304" s="101">
        <f>COUNTIFS(A:A,A304,C:C,C304)</f>
        <v>1</v>
      </c>
      <c r="X304" s="74" t="str">
        <f>VLOOKUP(A304,Data_echipe!A:R,18,0)</f>
        <v>Road</v>
      </c>
      <c r="Z304" s="106">
        <f t="shared" si="57"/>
        <v>1</v>
      </c>
    </row>
    <row r="305" spans="1:26" x14ac:dyDescent="0.25">
      <c r="A305" s="61" t="s">
        <v>143</v>
      </c>
      <c r="B305" s="74" t="str">
        <f>VLOOKUP(A305,Participanti!A:B,2,0)</f>
        <v>M</v>
      </c>
      <c r="C305" s="98">
        <v>11</v>
      </c>
      <c r="D305" s="63">
        <v>14.01</v>
      </c>
      <c r="E305" s="64">
        <v>4.6805555555555552E-2</v>
      </c>
      <c r="F305" s="64">
        <v>4.7349537037037037E-2</v>
      </c>
      <c r="G305" s="90">
        <f t="shared" si="64"/>
        <v>4.7077546296296291E-2</v>
      </c>
      <c r="H305" s="65">
        <v>56</v>
      </c>
      <c r="I305" s="13">
        <f t="shared" si="65"/>
        <v>3.3602816771089428E-3</v>
      </c>
      <c r="J305" s="84">
        <f t="shared" si="66"/>
        <v>3.3357142857142854</v>
      </c>
      <c r="K305" s="84">
        <f>IF(J305=0,0,IF(B305="F",VLOOKUP(I305,Barem!$G$2:$H$11,2,1),VLOOKUP(I305,Barem!$G$12:$H$21,2,1)))</f>
        <v>3</v>
      </c>
      <c r="L305" s="63">
        <v>1</v>
      </c>
      <c r="M305" s="149" t="s">
        <v>109</v>
      </c>
      <c r="N305" s="10">
        <f t="shared" si="67"/>
        <v>0.25</v>
      </c>
      <c r="O305" s="10">
        <f t="shared" si="67"/>
        <v>0.5</v>
      </c>
      <c r="P305" s="10">
        <f t="shared" si="67"/>
        <v>0.25</v>
      </c>
      <c r="Q305" s="47">
        <f t="shared" si="68"/>
        <v>3.7333333333333336E-2</v>
      </c>
      <c r="R305" s="25">
        <f>IF(D305&gt;21,VLOOKUP(D305,Barem!$T$1:$U$141,2,1),0)</f>
        <v>0</v>
      </c>
      <c r="S305" s="25">
        <f>IF(D305&lt;1.609,0,IF(B305="F",VLOOKUP(I305,Barem!$X$2:$Z$13,2,1),VLOOKUP(I305,Barem!$X$14:$Z$25,2,1)))</f>
        <v>0</v>
      </c>
      <c r="T305" s="25">
        <f>VLOOKUP(A305,Participanti!A:C,3,0)</f>
        <v>0</v>
      </c>
      <c r="U305" s="20">
        <f t="shared" si="69"/>
        <v>2.6212619047619046</v>
      </c>
      <c r="V305" s="76">
        <v>44643</v>
      </c>
      <c r="W305" s="101">
        <f>COUNTIFS(A:A,A305,C:C,C305)</f>
        <v>1</v>
      </c>
      <c r="X305" s="74" t="str">
        <f>VLOOKUP(A305,Data_echipe!A:R,18,0)</f>
        <v>Road</v>
      </c>
      <c r="Z305" s="106">
        <f t="shared" si="57"/>
        <v>1</v>
      </c>
    </row>
    <row r="306" spans="1:26" x14ac:dyDescent="0.25">
      <c r="A306" s="61" t="s">
        <v>256</v>
      </c>
      <c r="B306" s="74" t="str">
        <f>VLOOKUP(A306,Participanti!A:B,2,0)</f>
        <v>M</v>
      </c>
      <c r="C306" s="98">
        <v>11</v>
      </c>
      <c r="D306" s="63">
        <v>20</v>
      </c>
      <c r="E306" s="64">
        <v>8.4571759259259263E-2</v>
      </c>
      <c r="F306" s="64">
        <v>8.5578703703703699E-2</v>
      </c>
      <c r="G306" s="90">
        <f t="shared" si="64"/>
        <v>8.5075231481481481E-2</v>
      </c>
      <c r="H306" s="65">
        <v>19</v>
      </c>
      <c r="I306" s="13">
        <f t="shared" si="65"/>
        <v>4.2537615740740739E-3</v>
      </c>
      <c r="J306" s="84">
        <f t="shared" si="66"/>
        <v>4.7619047619047619</v>
      </c>
      <c r="K306" s="84">
        <f>IF(J306=0,0,IF(B306="F",VLOOKUP(I306,Barem!$G$2:$H$11,2,1),VLOOKUP(I306,Barem!$G$12:$H$21,2,1)))</f>
        <v>1</v>
      </c>
      <c r="L306" s="63">
        <v>1</v>
      </c>
      <c r="M306" s="62" t="str">
        <f>VLOOKUP(C306,Barem!L:R,7,0)</f>
        <v>P</v>
      </c>
      <c r="N306" s="10">
        <f t="shared" si="67"/>
        <v>0.25</v>
      </c>
      <c r="O306" s="10">
        <f t="shared" si="67"/>
        <v>0.25</v>
      </c>
      <c r="P306" s="10">
        <f t="shared" si="67"/>
        <v>0.5</v>
      </c>
      <c r="Q306" s="47">
        <f t="shared" si="68"/>
        <v>0</v>
      </c>
      <c r="R306" s="25">
        <f>IF(D306&gt;21,VLOOKUP(D306,Barem!$T$1:$U$141,2,1),0)</f>
        <v>0</v>
      </c>
      <c r="S306" s="25">
        <f>IF(D306&lt;1.609,0,IF(B306="F",VLOOKUP(I306,Barem!$X$2:$Z$13,2,1),VLOOKUP(I306,Barem!$X$14:$Z$25,2,1)))</f>
        <v>0</v>
      </c>
      <c r="T306" s="25">
        <f>VLOOKUP(A306,Participanti!A:C,3,0)</f>
        <v>0</v>
      </c>
      <c r="U306" s="20">
        <f t="shared" si="69"/>
        <v>1.9404761904761905</v>
      </c>
      <c r="V306" s="76">
        <v>44678</v>
      </c>
      <c r="W306" s="101">
        <f>COUNTIFS(A:A,A306,C:C,C306)</f>
        <v>1</v>
      </c>
      <c r="X306" s="74" t="str">
        <f>VLOOKUP(A306,Data_echipe!A:R,18,0)</f>
        <v>Road</v>
      </c>
      <c r="Z306" s="106">
        <f t="shared" si="57"/>
        <v>1</v>
      </c>
    </row>
    <row r="307" spans="1:26" x14ac:dyDescent="0.25">
      <c r="A307" s="61" t="s">
        <v>142</v>
      </c>
      <c r="B307" s="74" t="str">
        <f>VLOOKUP(A307,Participanti!A:B,2,0)</f>
        <v>F</v>
      </c>
      <c r="C307" s="98">
        <v>11</v>
      </c>
      <c r="D307" s="63">
        <v>10.029999999999999</v>
      </c>
      <c r="E307" s="64">
        <v>3.5694444444444445E-2</v>
      </c>
      <c r="F307" s="64">
        <v>3.5740740740740747E-2</v>
      </c>
      <c r="G307" s="90">
        <f t="shared" si="64"/>
        <v>3.5717592592592592E-2</v>
      </c>
      <c r="H307" s="65">
        <v>34</v>
      </c>
      <c r="I307" s="13">
        <f t="shared" si="65"/>
        <v>3.5610760311657621E-3</v>
      </c>
      <c r="J307" s="84">
        <f t="shared" si="66"/>
        <v>2.5074999999999998</v>
      </c>
      <c r="K307" s="84">
        <f>IF(J307=0,0,IF(B307="F",VLOOKUP(I307,Barem!$G$2:$H$11,2,1),VLOOKUP(I307,Barem!$G$12:$H$21,2,1)))</f>
        <v>3.5</v>
      </c>
      <c r="L307" s="63">
        <v>3</v>
      </c>
      <c r="M307" s="149" t="s">
        <v>109</v>
      </c>
      <c r="N307" s="10">
        <f t="shared" si="67"/>
        <v>0.25</v>
      </c>
      <c r="O307" s="10">
        <f t="shared" si="67"/>
        <v>0.5</v>
      </c>
      <c r="P307" s="10">
        <f t="shared" si="67"/>
        <v>0.25</v>
      </c>
      <c r="Q307" s="47">
        <f t="shared" si="68"/>
        <v>0</v>
      </c>
      <c r="R307" s="25">
        <f>IF(D307&gt;21,VLOOKUP(D307,Barem!$T$1:$U$141,2,1),0)</f>
        <v>0</v>
      </c>
      <c r="S307" s="25">
        <f>IF(D307&lt;1.609,0,IF(B307="F",VLOOKUP(I307,Barem!$X$2:$Z$13,2,1),VLOOKUP(I307,Barem!$X$14:$Z$25,2,1)))</f>
        <v>0</v>
      </c>
      <c r="T307" s="25">
        <f>VLOOKUP(A307,Participanti!A:C,3,0)</f>
        <v>0</v>
      </c>
      <c r="U307" s="20">
        <f t="shared" si="69"/>
        <v>3.1268750000000001</v>
      </c>
      <c r="V307" s="76">
        <v>44646</v>
      </c>
      <c r="W307" s="101">
        <f>COUNTIFS(A:A,A307,C:C,C307)</f>
        <v>1</v>
      </c>
      <c r="X307" s="74" t="str">
        <f>VLOOKUP(A307,Data_echipe!A:R,18,0)</f>
        <v>Trail</v>
      </c>
      <c r="Z307" s="106">
        <f t="shared" si="57"/>
        <v>1</v>
      </c>
    </row>
    <row r="308" spans="1:26" x14ac:dyDescent="0.25">
      <c r="A308" s="61" t="s">
        <v>57</v>
      </c>
      <c r="B308" s="74" t="str">
        <f>VLOOKUP(A308,Participanti!A:B,2,0)</f>
        <v>M</v>
      </c>
      <c r="C308" s="98">
        <v>11</v>
      </c>
      <c r="D308" s="63">
        <v>13.65</v>
      </c>
      <c r="E308" s="64">
        <v>7.8310185185185191E-2</v>
      </c>
      <c r="F308" s="64">
        <v>8.0243055555555554E-2</v>
      </c>
      <c r="G308" s="90">
        <f t="shared" si="64"/>
        <v>7.9276620370370365E-2</v>
      </c>
      <c r="H308" s="65">
        <v>427</v>
      </c>
      <c r="I308" s="13">
        <f t="shared" si="65"/>
        <v>5.8078110161443493E-3</v>
      </c>
      <c r="J308" s="84">
        <f t="shared" si="66"/>
        <v>3.25</v>
      </c>
      <c r="K308" s="84">
        <f>IF(J308=0,0,IF(B308="F",VLOOKUP(I308,Barem!$G$2:$H$11,2,1),VLOOKUP(I308,Barem!$G$12:$H$21,2,1)))</f>
        <v>0</v>
      </c>
      <c r="L308" s="63">
        <v>4</v>
      </c>
      <c r="M308" s="62" t="str">
        <f>VLOOKUP(C308,Barem!L:R,7,0)</f>
        <v>P</v>
      </c>
      <c r="N308" s="10">
        <f t="shared" si="67"/>
        <v>0.25</v>
      </c>
      <c r="O308" s="10">
        <f t="shared" si="67"/>
        <v>0.25</v>
      </c>
      <c r="P308" s="10">
        <f t="shared" si="67"/>
        <v>0.5</v>
      </c>
      <c r="Q308" s="47">
        <f t="shared" si="68"/>
        <v>0.28466666666666668</v>
      </c>
      <c r="R308" s="25">
        <f>IF(D308&gt;21,VLOOKUP(D308,Barem!$T$1:$U$141,2,1),0)</f>
        <v>0</v>
      </c>
      <c r="S308" s="25">
        <f>IF(D308&lt;1.609,0,IF(B308="F",VLOOKUP(I308,Barem!$X$2:$Z$13,2,1),VLOOKUP(I308,Barem!$X$14:$Z$25,2,1)))</f>
        <v>0</v>
      </c>
      <c r="T308" s="25">
        <f>VLOOKUP(A308,Participanti!A:C,3,0)</f>
        <v>0</v>
      </c>
      <c r="U308" s="20">
        <f t="shared" si="69"/>
        <v>3.0971666666666668</v>
      </c>
      <c r="V308" s="76">
        <v>44647</v>
      </c>
      <c r="W308" s="101">
        <f>COUNTIFS(A:A,A308,C:C,C308)</f>
        <v>1</v>
      </c>
      <c r="X308" s="74" t="str">
        <f>VLOOKUP(A308,Data_echipe!A:R,18,0)</f>
        <v>Trail</v>
      </c>
      <c r="Z308" s="106">
        <f t="shared" si="57"/>
        <v>0</v>
      </c>
    </row>
    <row r="309" spans="1:26" x14ac:dyDescent="0.25">
      <c r="A309" s="61" t="s">
        <v>49</v>
      </c>
      <c r="B309" s="74" t="str">
        <f>VLOOKUP(A309,Participanti!A:B,2,0)</f>
        <v>M</v>
      </c>
      <c r="C309" s="98">
        <v>11</v>
      </c>
      <c r="D309" s="63">
        <v>11.37</v>
      </c>
      <c r="E309" s="64">
        <v>4.5266203703703704E-2</v>
      </c>
      <c r="F309" s="64">
        <v>4.7002314814814816E-2</v>
      </c>
      <c r="G309" s="90">
        <f t="shared" si="64"/>
        <v>4.6134259259259264E-2</v>
      </c>
      <c r="H309" s="65">
        <v>154</v>
      </c>
      <c r="I309" s="13">
        <f t="shared" si="65"/>
        <v>4.0575425909638758E-3</v>
      </c>
      <c r="J309" s="84">
        <f t="shared" si="66"/>
        <v>2.7071428571428569</v>
      </c>
      <c r="K309" s="84">
        <f>IF(J309=0,0,IF(B309="F",VLOOKUP(I309,Barem!$G$2:$H$11,2,1),VLOOKUP(I309,Barem!$G$12:$H$21,2,1)))</f>
        <v>1.5</v>
      </c>
      <c r="L309" s="63">
        <v>2.5</v>
      </c>
      <c r="M309" s="62" t="str">
        <f>VLOOKUP(C309,Barem!L:R,7,0)</f>
        <v>P</v>
      </c>
      <c r="N309" s="10">
        <f t="shared" si="67"/>
        <v>0.25</v>
      </c>
      <c r="O309" s="10">
        <f t="shared" si="67"/>
        <v>0.25</v>
      </c>
      <c r="P309" s="10">
        <f t="shared" si="67"/>
        <v>0.5</v>
      </c>
      <c r="Q309" s="47">
        <f t="shared" si="68"/>
        <v>0.10266666666666667</v>
      </c>
      <c r="R309" s="25">
        <f>IF(D309&gt;21,VLOOKUP(D309,Barem!$T$1:$U$141,2,1),0)</f>
        <v>0</v>
      </c>
      <c r="S309" s="25">
        <f>IF(D309&lt;1.609,0,IF(B309="F",VLOOKUP(I309,Barem!$X$2:$Z$13,2,1),VLOOKUP(I309,Barem!$X$14:$Z$25,2,1)))</f>
        <v>0</v>
      </c>
      <c r="T309" s="25">
        <f>VLOOKUP(A309,Participanti!A:C,3,0)</f>
        <v>0.4</v>
      </c>
      <c r="U309" s="20">
        <f t="shared" si="69"/>
        <v>2.8044523809523807</v>
      </c>
      <c r="V309" s="76">
        <v>44643</v>
      </c>
      <c r="W309" s="101">
        <f>COUNTIFS(A:A,A309,C:C,C309)</f>
        <v>1</v>
      </c>
      <c r="X309" s="74" t="str">
        <f>VLOOKUP(A309,Data_echipe!A:R,18,0)</f>
        <v>Road</v>
      </c>
      <c r="Z309" s="106">
        <f t="shared" si="57"/>
        <v>1</v>
      </c>
    </row>
    <row r="310" spans="1:26" ht="11.4" customHeight="1" x14ac:dyDescent="0.25">
      <c r="A310" s="61" t="s">
        <v>255</v>
      </c>
      <c r="B310" s="74" t="str">
        <f>VLOOKUP(A310,Participanti!A:B,2,0)</f>
        <v>F</v>
      </c>
      <c r="C310" s="98">
        <v>11</v>
      </c>
      <c r="D310" s="63">
        <v>20.010000000000002</v>
      </c>
      <c r="E310" s="64">
        <v>9.6516203703703715E-2</v>
      </c>
      <c r="F310" s="64">
        <v>0.12111111111111111</v>
      </c>
      <c r="G310" s="90">
        <f t="shared" si="64"/>
        <v>0.10881365740740742</v>
      </c>
      <c r="H310" s="65">
        <v>704</v>
      </c>
      <c r="I310" s="13">
        <f t="shared" si="65"/>
        <v>5.4379638884261578E-3</v>
      </c>
      <c r="J310" s="84">
        <f t="shared" si="66"/>
        <v>5</v>
      </c>
      <c r="K310" s="84">
        <f>IF(J310=0,0,IF(B310="F",VLOOKUP(I310,Barem!$G$2:$H$11,2,1),VLOOKUP(I310,Barem!$G$12:$H$21,2,1)))</f>
        <v>1</v>
      </c>
      <c r="L310" s="63">
        <v>3.75</v>
      </c>
      <c r="M310" s="62" t="str">
        <f>VLOOKUP(C310,Barem!L:R,7,0)</f>
        <v>P</v>
      </c>
      <c r="N310" s="10">
        <f t="shared" si="67"/>
        <v>0.25</v>
      </c>
      <c r="O310" s="10">
        <f t="shared" si="67"/>
        <v>0.25</v>
      </c>
      <c r="P310" s="10">
        <f t="shared" si="67"/>
        <v>0.5</v>
      </c>
      <c r="Q310" s="47">
        <f t="shared" si="68"/>
        <v>0.46933333333333332</v>
      </c>
      <c r="R310" s="25">
        <f>IF(D310&gt;21,VLOOKUP(D310,Barem!$T$1:$U$141,2,1),0)</f>
        <v>0</v>
      </c>
      <c r="S310" s="25">
        <f>IF(D310&lt;1.609,0,IF(B310="F",VLOOKUP(I310,Barem!$X$2:$Z$13,2,1),VLOOKUP(I310,Barem!$X$14:$Z$25,2,1)))</f>
        <v>0</v>
      </c>
      <c r="T310" s="25">
        <f>VLOOKUP(A310,Participanti!A:C,3,0)</f>
        <v>0</v>
      </c>
      <c r="U310" s="20">
        <f t="shared" si="69"/>
        <v>3.8443333333333332</v>
      </c>
      <c r="V310" s="76">
        <v>44647</v>
      </c>
      <c r="W310" s="101">
        <f>COUNTIFS(A:A,A310,C:C,C310)</f>
        <v>1</v>
      </c>
      <c r="X310" s="74" t="str">
        <f>VLOOKUP(A310,Data_echipe!A:R,18,0)</f>
        <v>Trail</v>
      </c>
      <c r="Z310" s="106">
        <f t="shared" si="57"/>
        <v>1</v>
      </c>
    </row>
    <row r="311" spans="1:26" x14ac:dyDescent="0.25">
      <c r="A311" s="61" t="s">
        <v>216</v>
      </c>
      <c r="B311" s="74" t="str">
        <f>VLOOKUP(A311,Participanti!A:B,2,0)</f>
        <v>M</v>
      </c>
      <c r="C311" s="98">
        <v>11</v>
      </c>
      <c r="D311" s="63">
        <v>3.01</v>
      </c>
      <c r="E311" s="64">
        <v>8.7384259259259255E-3</v>
      </c>
      <c r="F311" s="64">
        <v>8.7384259259259255E-3</v>
      </c>
      <c r="G311" s="90">
        <f t="shared" si="64"/>
        <v>8.7384259259259255E-3</v>
      </c>
      <c r="H311" s="65">
        <v>8</v>
      </c>
      <c r="I311" s="13">
        <f t="shared" si="65"/>
        <v>2.9031315368524672E-3</v>
      </c>
      <c r="J311" s="84">
        <f t="shared" si="66"/>
        <v>0.71666666666666656</v>
      </c>
      <c r="K311" s="84">
        <f>IF(J311=0,0,IF(B311="F",VLOOKUP(I311,Barem!$G$2:$H$11,2,1),VLOOKUP(I311,Barem!$G$12:$H$21,2,1)))</f>
        <v>4.5</v>
      </c>
      <c r="L311" s="63">
        <v>3.5</v>
      </c>
      <c r="M311" s="149" t="s">
        <v>109</v>
      </c>
      <c r="N311" s="10">
        <f t="shared" si="67"/>
        <v>0.25</v>
      </c>
      <c r="O311" s="10">
        <f t="shared" si="67"/>
        <v>0.5</v>
      </c>
      <c r="P311" s="10">
        <f t="shared" si="67"/>
        <v>0.25</v>
      </c>
      <c r="Q311" s="47">
        <f t="shared" si="68"/>
        <v>0</v>
      </c>
      <c r="R311" s="25">
        <f>IF(D311&gt;21,VLOOKUP(D311,Barem!$T$1:$U$141,2,1),0)</f>
        <v>0</v>
      </c>
      <c r="S311" s="25">
        <f>IF(D311&lt;1.609,0,IF(B311="F",VLOOKUP(I311,Barem!$X$2:$Z$13,2,1),VLOOKUP(I311,Barem!$X$14:$Z$25,2,1)))</f>
        <v>0</v>
      </c>
      <c r="T311" s="25">
        <f>VLOOKUP(A311,Participanti!A:C,3,0)</f>
        <v>0</v>
      </c>
      <c r="U311" s="20">
        <f t="shared" si="69"/>
        <v>3.3041666666666667</v>
      </c>
      <c r="V311" s="76">
        <v>44645</v>
      </c>
      <c r="W311" s="101">
        <f>COUNTIFS(A:A,A311,C:C,C311)</f>
        <v>1</v>
      </c>
      <c r="X311" s="74" t="str">
        <f>VLOOKUP(A311,Data_echipe!A:R,18,0)</f>
        <v>Road</v>
      </c>
      <c r="Z311" s="106">
        <f t="shared" si="57"/>
        <v>1</v>
      </c>
    </row>
    <row r="312" spans="1:26" x14ac:dyDescent="0.25">
      <c r="A312" s="61" t="s">
        <v>254</v>
      </c>
      <c r="B312" s="74" t="str">
        <f>VLOOKUP(A312,Participanti!A:B,2,0)</f>
        <v>M</v>
      </c>
      <c r="C312" s="98">
        <v>11</v>
      </c>
      <c r="D312" s="63">
        <v>25.31</v>
      </c>
      <c r="E312" s="64">
        <v>0.10964120370370371</v>
      </c>
      <c r="F312" s="64">
        <v>0.10964120370370371</v>
      </c>
      <c r="G312" s="90">
        <f t="shared" si="64"/>
        <v>0.10964120370370371</v>
      </c>
      <c r="H312" s="65">
        <v>370</v>
      </c>
      <c r="I312" s="13">
        <f t="shared" si="65"/>
        <v>4.3319321890044928E-3</v>
      </c>
      <c r="J312" s="84">
        <f t="shared" si="66"/>
        <v>5</v>
      </c>
      <c r="K312" s="84">
        <f>IF(J312=0,0,IF(B312="F",VLOOKUP(I312,Barem!$G$2:$H$11,2,1),VLOOKUP(I312,Barem!$G$12:$H$21,2,1)))</f>
        <v>1</v>
      </c>
      <c r="L312" s="63">
        <v>4</v>
      </c>
      <c r="M312" s="149" t="s">
        <v>108</v>
      </c>
      <c r="N312" s="10">
        <f t="shared" si="67"/>
        <v>0.5</v>
      </c>
      <c r="O312" s="10">
        <f t="shared" si="67"/>
        <v>0.25</v>
      </c>
      <c r="P312" s="10">
        <f t="shared" si="67"/>
        <v>0.25</v>
      </c>
      <c r="Q312" s="47">
        <f t="shared" si="68"/>
        <v>0.24666666666666667</v>
      </c>
      <c r="R312" s="25">
        <f>IF(D312&gt;21,VLOOKUP(D312,Barem!$T$1:$U$141,2,1),0)</f>
        <v>0.2</v>
      </c>
      <c r="S312" s="25">
        <f>IF(D312&lt;1.609,0,IF(B312="F",VLOOKUP(I312,Barem!$X$2:$Z$13,2,1),VLOOKUP(I312,Barem!$X$14:$Z$25,2,1)))</f>
        <v>0</v>
      </c>
      <c r="T312" s="25">
        <f>VLOOKUP(A312,Participanti!A:C,3,0)</f>
        <v>0</v>
      </c>
      <c r="U312" s="20">
        <f t="shared" si="69"/>
        <v>4.1966666666666663</v>
      </c>
      <c r="V312" s="76">
        <v>44641</v>
      </c>
      <c r="W312" s="101">
        <f>COUNTIFS(A:A,A312,C:C,C312)</f>
        <v>1</v>
      </c>
      <c r="X312" s="74" t="str">
        <f>VLOOKUP(A312,Data_echipe!A:R,18,0)</f>
        <v>Trail</v>
      </c>
      <c r="Z312" s="106">
        <f t="shared" si="57"/>
        <v>1</v>
      </c>
    </row>
    <row r="313" spans="1:26" x14ac:dyDescent="0.25">
      <c r="A313" s="61" t="s">
        <v>117</v>
      </c>
      <c r="B313" s="74" t="str">
        <f>VLOOKUP(A313,Participanti!A:B,2,0)</f>
        <v>M</v>
      </c>
      <c r="C313" s="98">
        <v>11</v>
      </c>
      <c r="D313" s="63">
        <v>21.43</v>
      </c>
      <c r="E313" s="64">
        <v>6.2083333333333331E-2</v>
      </c>
      <c r="F313" s="64">
        <v>6.2141203703703705E-2</v>
      </c>
      <c r="G313" s="90">
        <f t="shared" si="64"/>
        <v>6.2112268518518518E-2</v>
      </c>
      <c r="H313" s="65">
        <v>36</v>
      </c>
      <c r="I313" s="13">
        <f t="shared" si="65"/>
        <v>2.898379305577159E-3</v>
      </c>
      <c r="J313" s="84">
        <f t="shared" si="66"/>
        <v>5</v>
      </c>
      <c r="K313" s="84">
        <f>IF(J313=0,0,IF(B313="F",VLOOKUP(I313,Barem!$G$2:$H$11,2,1),VLOOKUP(I313,Barem!$G$12:$H$21,2,1)))</f>
        <v>4.5</v>
      </c>
      <c r="L313" s="63">
        <v>3.5</v>
      </c>
      <c r="M313" s="149" t="s">
        <v>109</v>
      </c>
      <c r="N313" s="10">
        <f t="shared" si="67"/>
        <v>0.25</v>
      </c>
      <c r="O313" s="10">
        <f t="shared" si="67"/>
        <v>0.5</v>
      </c>
      <c r="P313" s="10">
        <f t="shared" si="67"/>
        <v>0.25</v>
      </c>
      <c r="Q313" s="47">
        <f t="shared" si="68"/>
        <v>0</v>
      </c>
      <c r="R313" s="25">
        <f>IF(D313&gt;21,VLOOKUP(D313,Barem!$T$1:$U$141,2,1),0)</f>
        <v>0</v>
      </c>
      <c r="S313" s="25">
        <f>IF(D313&lt;1.609,0,IF(B313="F",VLOOKUP(I313,Barem!$X$2:$Z$13,2,1),VLOOKUP(I313,Barem!$X$14:$Z$25,2,1)))</f>
        <v>0</v>
      </c>
      <c r="T313" s="25">
        <f>VLOOKUP(A313,Participanti!A:C,3,0)</f>
        <v>0</v>
      </c>
      <c r="U313" s="20">
        <f t="shared" si="69"/>
        <v>4.375</v>
      </c>
      <c r="V313" s="76">
        <v>44647</v>
      </c>
      <c r="W313" s="101">
        <f>COUNTIFS(A:A,A313,C:C,C313)</f>
        <v>1</v>
      </c>
      <c r="X313" s="74" t="str">
        <f>VLOOKUP(A313,Data_echipe!A:R,18,0)</f>
        <v>Trail</v>
      </c>
      <c r="Z313" s="106">
        <f t="shared" si="57"/>
        <v>1</v>
      </c>
    </row>
    <row r="314" spans="1:26" x14ac:dyDescent="0.25">
      <c r="A314" s="61" t="s">
        <v>141</v>
      </c>
      <c r="B314" s="74" t="str">
        <f>VLOOKUP(A314,Participanti!A:B,2,0)</f>
        <v>F</v>
      </c>
      <c r="C314" s="98">
        <v>11</v>
      </c>
      <c r="D314" s="63">
        <v>11</v>
      </c>
      <c r="E314" s="64">
        <v>3.9293981481481485E-2</v>
      </c>
      <c r="F314" s="64">
        <v>3.9710648148148148E-2</v>
      </c>
      <c r="G314" s="90">
        <f t="shared" si="64"/>
        <v>3.9502314814814816E-2</v>
      </c>
      <c r="H314" s="65">
        <v>38</v>
      </c>
      <c r="I314" s="13">
        <f t="shared" si="65"/>
        <v>3.5911195286195286E-3</v>
      </c>
      <c r="J314" s="84">
        <f t="shared" si="66"/>
        <v>2.75</v>
      </c>
      <c r="K314" s="84">
        <f>IF(J314=0,0,IF(B314="F",VLOOKUP(I314,Barem!$G$2:$H$11,2,1),VLOOKUP(I314,Barem!$G$12:$H$21,2,1)))</f>
        <v>3.5</v>
      </c>
      <c r="L314" s="63">
        <v>3.5</v>
      </c>
      <c r="M314" s="62" t="str">
        <f>VLOOKUP(C314,Barem!L:R,7,0)</f>
        <v>P</v>
      </c>
      <c r="N314" s="10">
        <f t="shared" si="67"/>
        <v>0.25</v>
      </c>
      <c r="O314" s="10">
        <f t="shared" si="67"/>
        <v>0.25</v>
      </c>
      <c r="P314" s="10">
        <f t="shared" si="67"/>
        <v>0.5</v>
      </c>
      <c r="Q314" s="47">
        <f t="shared" si="68"/>
        <v>0</v>
      </c>
      <c r="R314" s="25">
        <f>IF(D314&gt;21,VLOOKUP(D314,Barem!$T$1:$U$141,2,1),0)</f>
        <v>0</v>
      </c>
      <c r="S314" s="25">
        <f>IF(D314&lt;1.609,0,IF(B314="F",VLOOKUP(I314,Barem!$X$2:$Z$13,2,1),VLOOKUP(I314,Barem!$X$14:$Z$25,2,1)))</f>
        <v>0</v>
      </c>
      <c r="T314" s="25">
        <f>VLOOKUP(A314,Participanti!A:C,3,0)</f>
        <v>0</v>
      </c>
      <c r="U314" s="20">
        <f t="shared" si="69"/>
        <v>3.3125</v>
      </c>
      <c r="V314" s="76">
        <v>44646</v>
      </c>
      <c r="W314" s="101">
        <f>COUNTIFS(A:A,A314,C:C,C314)</f>
        <v>1</v>
      </c>
      <c r="X314" s="74" t="str">
        <f>VLOOKUP(A314,Data_echipe!A:R,18,0)</f>
        <v>Trail</v>
      </c>
      <c r="Z314" s="106">
        <f t="shared" si="57"/>
        <v>1</v>
      </c>
    </row>
    <row r="315" spans="1:26" x14ac:dyDescent="0.25">
      <c r="A315" s="61" t="s">
        <v>64</v>
      </c>
      <c r="B315" s="74" t="str">
        <f>VLOOKUP(A315,Participanti!A:B,2,0)</f>
        <v>M</v>
      </c>
      <c r="C315" s="98">
        <v>11</v>
      </c>
      <c r="D315" s="63">
        <v>22.74</v>
      </c>
      <c r="E315" s="64">
        <v>9.3194444444444455E-2</v>
      </c>
      <c r="F315" s="64">
        <v>9.3321759259259271E-2</v>
      </c>
      <c r="G315" s="90">
        <f t="shared" si="64"/>
        <v>9.3258101851851863E-2</v>
      </c>
      <c r="H315" s="65">
        <v>29</v>
      </c>
      <c r="I315" s="13">
        <f t="shared" si="65"/>
        <v>4.1010598879442335E-3</v>
      </c>
      <c r="J315" s="84">
        <f t="shared" si="66"/>
        <v>5</v>
      </c>
      <c r="K315" s="84">
        <f>IF(J315=0,0,IF(B315="F",VLOOKUP(I315,Barem!$G$2:$H$11,2,1),VLOOKUP(I315,Barem!$G$12:$H$21,2,1)))</f>
        <v>1.5</v>
      </c>
      <c r="L315" s="63">
        <v>3.5</v>
      </c>
      <c r="M315" s="149" t="s">
        <v>109</v>
      </c>
      <c r="N315" s="10">
        <f t="shared" si="67"/>
        <v>0.25</v>
      </c>
      <c r="O315" s="10">
        <f t="shared" si="67"/>
        <v>0.5</v>
      </c>
      <c r="P315" s="10">
        <f t="shared" si="67"/>
        <v>0.25</v>
      </c>
      <c r="Q315" s="47">
        <f t="shared" si="68"/>
        <v>0</v>
      </c>
      <c r="R315" s="25">
        <f>IF(D315&gt;21,VLOOKUP(D315,Barem!$T$1:$U$141,2,1),0)</f>
        <v>0</v>
      </c>
      <c r="S315" s="25">
        <f>IF(D315&lt;1.609,0,IF(B315="F",VLOOKUP(I315,Barem!$X$2:$Z$13,2,1),VLOOKUP(I315,Barem!$X$14:$Z$25,2,1)))</f>
        <v>0</v>
      </c>
      <c r="T315" s="25">
        <f>VLOOKUP(A315,Participanti!A:C,3,0)</f>
        <v>0</v>
      </c>
      <c r="U315" s="20">
        <f t="shared" si="69"/>
        <v>2.875</v>
      </c>
      <c r="V315" s="76">
        <v>44647</v>
      </c>
      <c r="W315" s="101">
        <f>COUNTIFS(A:A,A315,C:C,C315)</f>
        <v>1</v>
      </c>
      <c r="X315" s="74" t="str">
        <f>VLOOKUP(A315,Data_echipe!A:R,18,0)</f>
        <v>Trail</v>
      </c>
      <c r="Z315" s="106">
        <f t="shared" si="57"/>
        <v>1</v>
      </c>
    </row>
    <row r="316" spans="1:26" x14ac:dyDescent="0.25">
      <c r="A316" s="61" t="s">
        <v>110</v>
      </c>
      <c r="B316" s="74" t="str">
        <f>VLOOKUP(A316,Participanti!A:B,2,0)</f>
        <v>M</v>
      </c>
      <c r="C316" s="98">
        <v>11</v>
      </c>
      <c r="D316" s="63">
        <v>32.22</v>
      </c>
      <c r="E316" s="64">
        <v>0.1423611111111111</v>
      </c>
      <c r="F316" s="64">
        <v>0.1736574074074074</v>
      </c>
      <c r="G316" s="90">
        <f t="shared" si="64"/>
        <v>0.15800925925925924</v>
      </c>
      <c r="H316" s="65">
        <v>812</v>
      </c>
      <c r="I316" s="13">
        <f t="shared" si="65"/>
        <v>4.9040738441731612E-3</v>
      </c>
      <c r="J316" s="84">
        <f t="shared" si="66"/>
        <v>5</v>
      </c>
      <c r="K316" s="84">
        <f>IF(J316=0,0,IF(B316="F",VLOOKUP(I316,Barem!$G$2:$H$11,2,1),VLOOKUP(I316,Barem!$G$12:$H$21,2,1)))</f>
        <v>1</v>
      </c>
      <c r="L316" s="63">
        <v>4.25</v>
      </c>
      <c r="M316" s="62" t="str">
        <f>VLOOKUP(C316,Barem!L:R,7,0)</f>
        <v>P</v>
      </c>
      <c r="N316" s="10">
        <f t="shared" si="67"/>
        <v>0.25</v>
      </c>
      <c r="O316" s="10">
        <f t="shared" si="67"/>
        <v>0.25</v>
      </c>
      <c r="P316" s="10">
        <f t="shared" si="67"/>
        <v>0.5</v>
      </c>
      <c r="Q316" s="47">
        <f t="shared" si="68"/>
        <v>0.54133333333333333</v>
      </c>
      <c r="R316" s="25">
        <f>IF(D316&gt;21,VLOOKUP(D316,Barem!$T$1:$U$141,2,1),0)</f>
        <v>0.5</v>
      </c>
      <c r="S316" s="25">
        <f>IF(D316&lt;1.609,0,IF(B316="F",VLOOKUP(I316,Barem!$X$2:$Z$13,2,1),VLOOKUP(I316,Barem!$X$14:$Z$25,2,1)))</f>
        <v>0</v>
      </c>
      <c r="T316" s="25">
        <f>VLOOKUP(A316,Participanti!A:C,3,0)</f>
        <v>0</v>
      </c>
      <c r="U316" s="20">
        <f t="shared" si="69"/>
        <v>4.6663333333333332</v>
      </c>
      <c r="V316" s="76">
        <v>44647</v>
      </c>
      <c r="W316" s="101">
        <f>COUNTIFS(A:A,A316,C:C,C316)</f>
        <v>1</v>
      </c>
      <c r="X316" s="74" t="str">
        <f>VLOOKUP(A316,Data_echipe!A:R,18,0)</f>
        <v>Road</v>
      </c>
      <c r="Z316" s="106">
        <f t="shared" si="57"/>
        <v>1</v>
      </c>
    </row>
    <row r="317" spans="1:26" x14ac:dyDescent="0.25">
      <c r="A317" s="61" t="s">
        <v>52</v>
      </c>
      <c r="B317" s="74" t="str">
        <f>VLOOKUP(A317,Participanti!A:B,2,0)</f>
        <v>M</v>
      </c>
      <c r="C317" s="98">
        <v>11</v>
      </c>
      <c r="D317" s="63">
        <v>16.72</v>
      </c>
      <c r="E317" s="64">
        <v>0.11930555555555555</v>
      </c>
      <c r="F317" s="64">
        <v>0.13358796296296296</v>
      </c>
      <c r="G317" s="90">
        <f t="shared" si="64"/>
        <v>0.12644675925925924</v>
      </c>
      <c r="H317" s="65">
        <v>980</v>
      </c>
      <c r="I317" s="13">
        <f t="shared" si="65"/>
        <v>7.5626052188552187E-3</v>
      </c>
      <c r="J317" s="84">
        <f t="shared" si="66"/>
        <v>3.9809523809523806</v>
      </c>
      <c r="K317" s="84">
        <f>IF(J317=0,0,IF(B317="F",VLOOKUP(I317,Barem!$G$2:$H$11,2,1),VLOOKUP(I317,Barem!$G$12:$H$21,2,1)))</f>
        <v>0</v>
      </c>
      <c r="L317" s="63">
        <v>3.75</v>
      </c>
      <c r="M317" s="62" t="str">
        <f>VLOOKUP(C317,Barem!L:R,7,0)</f>
        <v>P</v>
      </c>
      <c r="N317" s="10">
        <f t="shared" si="67"/>
        <v>0.25</v>
      </c>
      <c r="O317" s="10">
        <f t="shared" si="67"/>
        <v>0.25</v>
      </c>
      <c r="P317" s="10">
        <f t="shared" si="67"/>
        <v>0.5</v>
      </c>
      <c r="Q317" s="47">
        <f t="shared" si="68"/>
        <v>0.65333333333333332</v>
      </c>
      <c r="R317" s="25">
        <f>IF(D317&gt;21,VLOOKUP(D317,Barem!$T$1:$U$141,2,1),0)</f>
        <v>0</v>
      </c>
      <c r="S317" s="25">
        <f>IF(D317&lt;1.609,0,IF(B317="F",VLOOKUP(I317,Barem!$X$2:$Z$13,2,1),VLOOKUP(I317,Barem!$X$14:$Z$25,2,1)))</f>
        <v>0</v>
      </c>
      <c r="T317" s="25">
        <f>VLOOKUP(A317,Participanti!A:C,3,0)</f>
        <v>0</v>
      </c>
      <c r="U317" s="20">
        <f t="shared" si="69"/>
        <v>3.5235714285714286</v>
      </c>
      <c r="V317" s="76">
        <v>44646</v>
      </c>
      <c r="W317" s="101">
        <f>COUNTIFS(A:A,A317,C:C,C317)</f>
        <v>1</v>
      </c>
      <c r="X317" s="74" t="str">
        <f>VLOOKUP(A317,Data_echipe!A:R,18,0)</f>
        <v>Trail</v>
      </c>
      <c r="Z317" s="106">
        <f t="shared" si="57"/>
        <v>0</v>
      </c>
    </row>
    <row r="318" spans="1:26" x14ac:dyDescent="0.25">
      <c r="A318" s="61" t="s">
        <v>50</v>
      </c>
      <c r="B318" s="74" t="str">
        <f>VLOOKUP(A318,Participanti!A:B,2,0)</f>
        <v>M</v>
      </c>
      <c r="C318" s="98">
        <v>11</v>
      </c>
      <c r="D318" s="63">
        <v>37</v>
      </c>
      <c r="E318" s="64">
        <v>0.2071875</v>
      </c>
      <c r="F318" s="64">
        <v>0.21606481481481479</v>
      </c>
      <c r="G318" s="90">
        <f t="shared" si="64"/>
        <v>0.21162615740740739</v>
      </c>
      <c r="H318" s="65">
        <v>1564</v>
      </c>
      <c r="I318" s="13">
        <f t="shared" si="65"/>
        <v>5.7196258758758752E-3</v>
      </c>
      <c r="J318" s="84">
        <f t="shared" si="66"/>
        <v>5</v>
      </c>
      <c r="K318" s="84">
        <f>IF(J318=0,0,IF(B318="F",VLOOKUP(I318,Barem!$G$2:$H$11,2,1),VLOOKUP(I318,Barem!$G$12:$H$21,2,1)))</f>
        <v>0</v>
      </c>
      <c r="L318" s="63">
        <v>4</v>
      </c>
      <c r="M318" s="149" t="s">
        <v>108</v>
      </c>
      <c r="N318" s="10">
        <f t="shared" si="67"/>
        <v>0.5</v>
      </c>
      <c r="O318" s="10">
        <f t="shared" si="67"/>
        <v>0.25</v>
      </c>
      <c r="P318" s="10">
        <f t="shared" si="67"/>
        <v>0.25</v>
      </c>
      <c r="Q318" s="47">
        <f t="shared" si="68"/>
        <v>1.0426666666666666</v>
      </c>
      <c r="R318" s="25">
        <f>IF(D318&gt;21,VLOOKUP(D318,Barem!$T$1:$U$141,2,1),0)</f>
        <v>0.8</v>
      </c>
      <c r="S318" s="25">
        <f>IF(D318&lt;1.609,0,IF(B318="F",VLOOKUP(I318,Barem!$X$2:$Z$13,2,1),VLOOKUP(I318,Barem!$X$14:$Z$25,2,1)))</f>
        <v>0</v>
      </c>
      <c r="T318" s="25">
        <f>VLOOKUP(A318,Participanti!A:C,3,0)</f>
        <v>0</v>
      </c>
      <c r="U318" s="20">
        <f t="shared" si="69"/>
        <v>5.3426666666666662</v>
      </c>
      <c r="V318" s="76">
        <v>44647</v>
      </c>
      <c r="W318" s="101">
        <f>COUNTIFS(A:A,A318,C:C,C318)</f>
        <v>1</v>
      </c>
      <c r="X318" s="74" t="str">
        <f>VLOOKUP(A318,Data_echipe!A:R,18,0)</f>
        <v>Trail</v>
      </c>
      <c r="Z318" s="106">
        <f t="shared" si="57"/>
        <v>0</v>
      </c>
    </row>
    <row r="319" spans="1:26" s="146" customFormat="1" ht="12.6" thickBot="1" x14ac:dyDescent="0.3">
      <c r="A319" s="130" t="s">
        <v>218</v>
      </c>
      <c r="B319" s="131" t="str">
        <f>VLOOKUP(A319,Participanti!A:B,2,0)</f>
        <v>M</v>
      </c>
      <c r="C319" s="132">
        <v>11</v>
      </c>
      <c r="D319" s="133">
        <v>10.01</v>
      </c>
      <c r="E319" s="134">
        <v>2.3912037037037034E-2</v>
      </c>
      <c r="F319" s="134">
        <v>2.3912037037037034E-2</v>
      </c>
      <c r="G319" s="135">
        <f t="shared" si="64"/>
        <v>2.3912037037037034E-2</v>
      </c>
      <c r="H319" s="136">
        <v>49</v>
      </c>
      <c r="I319" s="137">
        <f t="shared" si="65"/>
        <v>2.3888148888148884E-3</v>
      </c>
      <c r="J319" s="138">
        <f t="shared" si="66"/>
        <v>2.3833333333333333</v>
      </c>
      <c r="K319" s="138">
        <f>IF(J319=0,0,IF(B319="F",VLOOKUP(I319,Barem!$G$2:$H$11,2,1),VLOOKUP(I319,Barem!$G$12:$H$21,2,1)))</f>
        <v>5</v>
      </c>
      <c r="L319" s="133">
        <v>3.75</v>
      </c>
      <c r="M319" s="164" t="s">
        <v>109</v>
      </c>
      <c r="N319" s="140">
        <f t="shared" si="67"/>
        <v>0.25</v>
      </c>
      <c r="O319" s="140">
        <f t="shared" si="67"/>
        <v>0.5</v>
      </c>
      <c r="P319" s="140">
        <f t="shared" si="67"/>
        <v>0.25</v>
      </c>
      <c r="Q319" s="141">
        <f t="shared" si="68"/>
        <v>0</v>
      </c>
      <c r="R319" s="142">
        <f>IF(D319&gt;21,VLOOKUP(D319,Barem!$T$1:$U$141,2,1),0)</f>
        <v>0</v>
      </c>
      <c r="S319" s="142">
        <f>IF(D319&lt;1.609,0,IF(B319="F",VLOOKUP(I319,Barem!$X$2:$Z$13,2,1),VLOOKUP(I319,Barem!$X$14:$Z$25,2,1)))</f>
        <v>4.1999999999999993</v>
      </c>
      <c r="T319" s="142">
        <f>VLOOKUP(A319,Participanti!A:C,3,0)</f>
        <v>0</v>
      </c>
      <c r="U319" s="143">
        <f t="shared" si="69"/>
        <v>8.2333333333333325</v>
      </c>
      <c r="V319" s="144">
        <v>44643</v>
      </c>
      <c r="W319" s="145">
        <f>COUNTIFS(A:A,A319,C:C,C319)</f>
        <v>1</v>
      </c>
      <c r="X319" s="131" t="str">
        <f>VLOOKUP(A319,Data_echipe!A:R,18,0)</f>
        <v>Road</v>
      </c>
      <c r="Z319" s="106">
        <f t="shared" si="57"/>
        <v>1</v>
      </c>
    </row>
    <row r="320" spans="1:26" x14ac:dyDescent="0.25">
      <c r="A320" s="61" t="s">
        <v>218</v>
      </c>
      <c r="B320" s="74" t="str">
        <f>VLOOKUP(A320,Participanti!A:B,2,0)</f>
        <v>M</v>
      </c>
      <c r="C320" s="98">
        <v>12</v>
      </c>
      <c r="D320" s="63">
        <v>15</v>
      </c>
      <c r="E320" s="64">
        <v>3.9583333333333331E-2</v>
      </c>
      <c r="F320" s="64">
        <v>3.9583333333333331E-2</v>
      </c>
      <c r="G320" s="90">
        <f t="shared" si="64"/>
        <v>3.9583333333333331E-2</v>
      </c>
      <c r="H320" s="65">
        <v>132</v>
      </c>
      <c r="I320" s="13">
        <f t="shared" ref="I320" si="70">G320/D320</f>
        <v>2.638888888888889E-3</v>
      </c>
      <c r="J320" s="84">
        <f t="shared" ref="J320" si="71">IF(B320="F",IF(D320&lt;2.5,0,IF(D320&gt;19.99,5,D320/4)),IF(D320&lt;3,0, IF(D320&gt;20.99,5,D320/4.2)))</f>
        <v>3.5714285714285712</v>
      </c>
      <c r="K320" s="84">
        <f>IF(J320=0,0,IF(B320="F",VLOOKUP(I320,Barem!$G$2:$H$11,2,1),VLOOKUP(I320,Barem!$G$12:$H$21,2,1)))</f>
        <v>5</v>
      </c>
      <c r="L320" s="63">
        <v>3.5</v>
      </c>
      <c r="M320" s="149" t="s">
        <v>220</v>
      </c>
      <c r="N320" s="10">
        <f t="shared" si="67"/>
        <v>0.25</v>
      </c>
      <c r="O320" s="10">
        <f t="shared" si="67"/>
        <v>0.25</v>
      </c>
      <c r="P320" s="10">
        <f t="shared" si="67"/>
        <v>0.5</v>
      </c>
      <c r="Q320" s="47">
        <f t="shared" ref="Q320" si="72">IF(H320&gt;49,H320/1500,0)</f>
        <v>8.7999999999999995E-2</v>
      </c>
      <c r="R320" s="25">
        <f>IF(D320&gt;21,VLOOKUP(D320,Barem!$T$1:$U$141,2,1),0)</f>
        <v>0</v>
      </c>
      <c r="S320" s="25">
        <f>IF(D320&lt;1.609,0,IF(B320="F",VLOOKUP(I320,Barem!$X$2:$Z$13,2,1),VLOOKUP(I320,Barem!$X$14:$Z$25,2,1)))</f>
        <v>0.89999999999999991</v>
      </c>
      <c r="T320" s="25">
        <f>VLOOKUP(A320,Participanti!A:C,3,0)</f>
        <v>0</v>
      </c>
      <c r="U320" s="20">
        <f t="shared" ref="U320" si="73">IF(H320&lt;0,0,J320*N320+K320*O320+L320*P320+Q320+R320+S320+T320)</f>
        <v>4.8808571428571428</v>
      </c>
      <c r="V320" s="76">
        <v>44649</v>
      </c>
      <c r="W320" s="101">
        <f>COUNTIFS(A:A,A320,C:C,C320)</f>
        <v>1</v>
      </c>
      <c r="X320" s="74" t="str">
        <f>VLOOKUP(A320,Data_echipe!A:R,18,0)</f>
        <v>Road</v>
      </c>
      <c r="Y320" s="22" t="s">
        <v>281</v>
      </c>
      <c r="Z320" s="106">
        <f t="shared" si="57"/>
        <v>1</v>
      </c>
    </row>
    <row r="321" spans="1:26" x14ac:dyDescent="0.25">
      <c r="A321" s="61" t="s">
        <v>50</v>
      </c>
      <c r="B321" s="74" t="str">
        <f>VLOOKUP(A321,Participanti!A:B,2,0)</f>
        <v>M</v>
      </c>
      <c r="C321" s="98">
        <v>12</v>
      </c>
      <c r="D321" s="63">
        <v>19.93</v>
      </c>
      <c r="E321" s="64">
        <v>7.5763888888888895E-2</v>
      </c>
      <c r="F321" s="64">
        <v>7.5763888888888895E-2</v>
      </c>
      <c r="G321" s="90">
        <f t="shared" si="64"/>
        <v>7.5763888888888895E-2</v>
      </c>
      <c r="H321" s="65">
        <v>668</v>
      </c>
      <c r="I321" s="13">
        <f t="shared" ref="I321:I345" si="74">G321/D321</f>
        <v>3.801499693371244E-3</v>
      </c>
      <c r="J321" s="84">
        <f t="shared" ref="J321:J345" si="75">IF(B321="F",IF(D321&lt;2.5,0,IF(D321&gt;19.99,5,D321/4)),IF(D321&lt;3,0, IF(D321&gt;20.99,5,D321/4.2)))</f>
        <v>4.7452380952380953</v>
      </c>
      <c r="K321" s="84">
        <f>IF(J321=0,0,IF(B321="F",VLOOKUP(I321,Barem!$G$2:$H$11,2,1),VLOOKUP(I321,Barem!$G$12:$H$21,2,1)))</f>
        <v>2</v>
      </c>
      <c r="L321" s="63">
        <v>4</v>
      </c>
      <c r="M321" s="149" t="s">
        <v>109</v>
      </c>
      <c r="N321" s="10">
        <f t="shared" si="67"/>
        <v>0.25</v>
      </c>
      <c r="O321" s="10">
        <f t="shared" si="67"/>
        <v>0.5</v>
      </c>
      <c r="P321" s="10">
        <f t="shared" si="67"/>
        <v>0.25</v>
      </c>
      <c r="Q321" s="47">
        <f t="shared" ref="Q321:Q345" si="76">IF(H321&gt;49,H321/1500,0)</f>
        <v>0.44533333333333336</v>
      </c>
      <c r="R321" s="25">
        <f>IF(D321&gt;21,VLOOKUP(D321,Barem!$T$1:$U$141,2,1),0)</f>
        <v>0</v>
      </c>
      <c r="S321" s="25">
        <f>IF(D321&lt;1.609,0,IF(B321="F",VLOOKUP(I321,Barem!$X$2:$Z$13,2,1),VLOOKUP(I321,Barem!$X$14:$Z$25,2,1)))</f>
        <v>0</v>
      </c>
      <c r="T321" s="25">
        <f>VLOOKUP(A321,Participanti!A:C,3,0)</f>
        <v>0</v>
      </c>
      <c r="U321" s="20">
        <f t="shared" ref="U321:U345" si="77">IF(H321&lt;0,0,J321*N321+K321*O321+L321*P321+Q321+R321+S321+T321)</f>
        <v>3.6316428571428574</v>
      </c>
      <c r="V321" s="76">
        <v>44653</v>
      </c>
      <c r="W321" s="101">
        <f>COUNTIFS(A:A,A321,C:C,C321)</f>
        <v>1</v>
      </c>
      <c r="X321" s="74" t="str">
        <f>VLOOKUP(A321,Data_echipe!A:R,18,0)</f>
        <v>Trail</v>
      </c>
      <c r="Z321" s="106">
        <f t="shared" si="57"/>
        <v>1</v>
      </c>
    </row>
    <row r="322" spans="1:26" x14ac:dyDescent="0.25">
      <c r="A322" s="61" t="s">
        <v>110</v>
      </c>
      <c r="B322" s="74" t="str">
        <f>VLOOKUP(A322,Participanti!A:B,2,0)</f>
        <v>M</v>
      </c>
      <c r="C322" s="98">
        <v>12</v>
      </c>
      <c r="D322" s="63">
        <v>12.5</v>
      </c>
      <c r="E322" s="64">
        <v>4.0381944444444443E-2</v>
      </c>
      <c r="F322" s="64">
        <v>4.1631944444444451E-2</v>
      </c>
      <c r="G322" s="90">
        <f t="shared" si="64"/>
        <v>4.1006944444444443E-2</v>
      </c>
      <c r="H322" s="65">
        <v>9</v>
      </c>
      <c r="I322" s="13">
        <f t="shared" si="74"/>
        <v>3.2805555555555557E-3</v>
      </c>
      <c r="J322" s="84">
        <f t="shared" si="75"/>
        <v>2.9761904761904763</v>
      </c>
      <c r="K322" s="84">
        <f>IF(J322=0,0,IF(B322="F",VLOOKUP(I322,Barem!$G$2:$H$11,2,1),VLOOKUP(I322,Barem!$G$12:$H$21,2,1)))</f>
        <v>3.5</v>
      </c>
      <c r="L322" s="63">
        <v>3.5</v>
      </c>
      <c r="M322" s="149" t="s">
        <v>109</v>
      </c>
      <c r="N322" s="10">
        <f t="shared" ref="N322:P347" si="78">IF($M322=N$1,50%,25%)</f>
        <v>0.25</v>
      </c>
      <c r="O322" s="10">
        <f t="shared" si="78"/>
        <v>0.5</v>
      </c>
      <c r="P322" s="10">
        <f t="shared" si="78"/>
        <v>0.25</v>
      </c>
      <c r="Q322" s="47">
        <f t="shared" si="76"/>
        <v>0</v>
      </c>
      <c r="R322" s="25">
        <f>IF(D322&gt;21,VLOOKUP(D322,Barem!$T$1:$U$141,2,1),0)</f>
        <v>0</v>
      </c>
      <c r="S322" s="25">
        <f>IF(D322&lt;1.609,0,IF(B322="F",VLOOKUP(I322,Barem!$X$2:$Z$13,2,1),VLOOKUP(I322,Barem!$X$14:$Z$25,2,1)))</f>
        <v>0</v>
      </c>
      <c r="T322" s="25">
        <f>VLOOKUP(A322,Participanti!A:C,3,0)</f>
        <v>0</v>
      </c>
      <c r="U322" s="20">
        <f t="shared" si="77"/>
        <v>3.3690476190476191</v>
      </c>
      <c r="V322" s="76">
        <v>44652</v>
      </c>
      <c r="W322" s="101">
        <f>COUNTIFS(A:A,A322,C:C,C322)</f>
        <v>1</v>
      </c>
      <c r="X322" s="74" t="str">
        <f>VLOOKUP(A322,Data_echipe!A:R,18,0)</f>
        <v>Road</v>
      </c>
      <c r="Z322" s="106">
        <f t="shared" si="57"/>
        <v>1</v>
      </c>
    </row>
    <row r="323" spans="1:26" x14ac:dyDescent="0.25">
      <c r="A323" s="61" t="s">
        <v>52</v>
      </c>
      <c r="B323" s="74" t="str">
        <f>VLOOKUP(A323,Participanti!A:B,2,0)</f>
        <v>M</v>
      </c>
      <c r="C323" s="98">
        <v>12</v>
      </c>
      <c r="D323" s="63"/>
      <c r="E323" s="64"/>
      <c r="F323" s="64"/>
      <c r="G323" s="90"/>
      <c r="H323" s="65"/>
      <c r="I323" s="13"/>
      <c r="J323" s="84">
        <f t="shared" ref="J323" si="79">IF(B323="F",IF(D323&lt;2.5,0,IF(D323&gt;19.99,5,D323/4)),IF(D323&lt;3,0, IF(D323&gt;20.99,5,D323/4.2)))</f>
        <v>0</v>
      </c>
      <c r="K323" s="84">
        <f>IF(J323=0,0,IF(B323="F",VLOOKUP(I323,Barem!$G$2:$H$11,2,1),VLOOKUP(I323,Barem!$G$12:$H$21,2,1)))</f>
        <v>0</v>
      </c>
      <c r="L323" s="63"/>
      <c r="M323" s="150" t="s">
        <v>260</v>
      </c>
      <c r="N323" s="10">
        <f t="shared" si="78"/>
        <v>0.25</v>
      </c>
      <c r="O323" s="10">
        <f t="shared" si="78"/>
        <v>0.25</v>
      </c>
      <c r="P323" s="10">
        <f t="shared" si="78"/>
        <v>0.25</v>
      </c>
      <c r="Q323" s="47">
        <f t="shared" ref="Q323" si="80">IF(H323&gt;49,H323/1500,0)</f>
        <v>0</v>
      </c>
      <c r="R323" s="25">
        <f>IF(D323&gt;21,VLOOKUP(D323,Barem!$T$1:$U$141,2,1),0)</f>
        <v>0</v>
      </c>
      <c r="S323" s="25">
        <f>IF(D323&lt;1.609,0,IF(B323="F",VLOOKUP(I323,Barem!$X$2:$Z$13,2,1),VLOOKUP(I323,Barem!$X$14:$Z$25,2,1)))</f>
        <v>0</v>
      </c>
      <c r="T323" s="25">
        <f>VLOOKUP(A323,Participanti!A:C,3,0)</f>
        <v>0</v>
      </c>
      <c r="U323" s="148">
        <v>1.5</v>
      </c>
      <c r="V323" s="76"/>
      <c r="W323" s="101">
        <f>COUNTIFS(A:A,A323,C:C,C323)</f>
        <v>1</v>
      </c>
      <c r="X323" s="74" t="str">
        <f>VLOOKUP(A323,Data_echipe!A:R,18,0)</f>
        <v>Trail</v>
      </c>
      <c r="Z323" s="106">
        <f t="shared" ref="Z323:Z386" si="81">IF(K323&gt;0,1,0)</f>
        <v>0</v>
      </c>
    </row>
    <row r="324" spans="1:26" x14ac:dyDescent="0.25">
      <c r="A324" s="61" t="s">
        <v>141</v>
      </c>
      <c r="B324" s="74" t="str">
        <f>VLOOKUP(A324,Participanti!A:B,2,0)</f>
        <v>F</v>
      </c>
      <c r="C324" s="98">
        <v>12</v>
      </c>
      <c r="D324" s="63">
        <v>14</v>
      </c>
      <c r="E324" s="64">
        <v>4.8321759259259266E-2</v>
      </c>
      <c r="F324" s="64">
        <v>4.868055555555556E-2</v>
      </c>
      <c r="G324" s="90">
        <f t="shared" si="64"/>
        <v>4.8501157407407416E-2</v>
      </c>
      <c r="H324" s="65">
        <v>22</v>
      </c>
      <c r="I324" s="13">
        <f t="shared" si="74"/>
        <v>3.4643683862433869E-3</v>
      </c>
      <c r="J324" s="84">
        <f t="shared" si="75"/>
        <v>3.5</v>
      </c>
      <c r="K324" s="84">
        <f>IF(J324=0,0,IF(B324="F",VLOOKUP(I324,Barem!$G$2:$H$11,2,1),VLOOKUP(I324,Barem!$G$12:$H$21,2,1)))</f>
        <v>4</v>
      </c>
      <c r="L324" s="63">
        <v>3</v>
      </c>
      <c r="M324" s="62" t="str">
        <f>VLOOKUP(C324,Barem!L:R,7,0)</f>
        <v>D</v>
      </c>
      <c r="N324" s="10">
        <f t="shared" si="78"/>
        <v>0.5</v>
      </c>
      <c r="O324" s="10">
        <f t="shared" si="78"/>
        <v>0.25</v>
      </c>
      <c r="P324" s="10">
        <f t="shared" si="78"/>
        <v>0.25</v>
      </c>
      <c r="Q324" s="47">
        <f t="shared" si="76"/>
        <v>0</v>
      </c>
      <c r="R324" s="25">
        <f>IF(D324&gt;21,VLOOKUP(D324,Barem!$T$1:$U$141,2,1),0)</f>
        <v>0</v>
      </c>
      <c r="S324" s="25">
        <f>IF(D324&lt;1.609,0,IF(B324="F",VLOOKUP(I324,Barem!$X$2:$Z$13,2,1),VLOOKUP(I324,Barem!$X$14:$Z$25,2,1)))</f>
        <v>0</v>
      </c>
      <c r="T324" s="25">
        <f>VLOOKUP(A324,Participanti!A:C,3,0)</f>
        <v>0</v>
      </c>
      <c r="U324" s="20">
        <f t="shared" si="77"/>
        <v>3.5</v>
      </c>
      <c r="V324" s="76">
        <v>44650</v>
      </c>
      <c r="W324" s="101">
        <f>COUNTIFS(A:A,A324,C:C,C324)</f>
        <v>1</v>
      </c>
      <c r="X324" s="74" t="str">
        <f>VLOOKUP(A324,Data_echipe!A:R,18,0)</f>
        <v>Trail</v>
      </c>
      <c r="Z324" s="106">
        <f t="shared" si="81"/>
        <v>1</v>
      </c>
    </row>
    <row r="325" spans="1:26" x14ac:dyDescent="0.25">
      <c r="A325" s="61" t="s">
        <v>117</v>
      </c>
      <c r="B325" s="74" t="str">
        <f>VLOOKUP(A325,Participanti!A:B,2,0)</f>
        <v>M</v>
      </c>
      <c r="C325" s="98">
        <v>12</v>
      </c>
      <c r="D325" s="63">
        <v>16.63</v>
      </c>
      <c r="E325" s="64">
        <v>5.5625000000000001E-2</v>
      </c>
      <c r="F325" s="64">
        <v>7.633101851851852E-2</v>
      </c>
      <c r="G325" s="90">
        <f t="shared" si="64"/>
        <v>6.5978009259259257E-2</v>
      </c>
      <c r="H325" s="65">
        <v>108</v>
      </c>
      <c r="I325" s="13">
        <f t="shared" si="74"/>
        <v>3.9674088550366365E-3</v>
      </c>
      <c r="J325" s="84">
        <f t="shared" si="75"/>
        <v>3.9595238095238092</v>
      </c>
      <c r="K325" s="84">
        <f>IF(J325=0,0,IF(B325="F",VLOOKUP(I325,Barem!$G$2:$H$11,2,1),VLOOKUP(I325,Barem!$G$12:$H$21,2,1)))</f>
        <v>1.5</v>
      </c>
      <c r="L325" s="63">
        <v>1</v>
      </c>
      <c r="M325" s="149" t="s">
        <v>220</v>
      </c>
      <c r="N325" s="10">
        <f t="shared" si="78"/>
        <v>0.25</v>
      </c>
      <c r="O325" s="10">
        <f t="shared" si="78"/>
        <v>0.25</v>
      </c>
      <c r="P325" s="10">
        <f t="shared" si="78"/>
        <v>0.5</v>
      </c>
      <c r="Q325" s="47">
        <f t="shared" si="76"/>
        <v>7.1999999999999995E-2</v>
      </c>
      <c r="R325" s="25">
        <f>IF(D325&gt;21,VLOOKUP(D325,Barem!$T$1:$U$141,2,1),0)</f>
        <v>0</v>
      </c>
      <c r="S325" s="25">
        <f>IF(D325&lt;1.609,0,IF(B325="F",VLOOKUP(I325,Barem!$X$2:$Z$13,2,1),VLOOKUP(I325,Barem!$X$14:$Z$25,2,1)))</f>
        <v>0</v>
      </c>
      <c r="T325" s="25">
        <f>VLOOKUP(A325,Participanti!A:C,3,0)</f>
        <v>0</v>
      </c>
      <c r="U325" s="20">
        <f t="shared" si="77"/>
        <v>1.9368809523809523</v>
      </c>
      <c r="V325" s="76">
        <v>44651</v>
      </c>
      <c r="W325" s="101">
        <f>COUNTIFS(A:A,A325,C:C,C325)</f>
        <v>1</v>
      </c>
      <c r="X325" s="74" t="str">
        <f>VLOOKUP(A325,Data_echipe!A:R,18,0)</f>
        <v>Trail</v>
      </c>
      <c r="Z325" s="106">
        <f t="shared" si="81"/>
        <v>1</v>
      </c>
    </row>
    <row r="326" spans="1:26" x14ac:dyDescent="0.25">
      <c r="A326" s="61" t="s">
        <v>254</v>
      </c>
      <c r="B326" s="74" t="str">
        <f>VLOOKUP(A326,Participanti!A:B,2,0)</f>
        <v>M</v>
      </c>
      <c r="C326" s="98">
        <v>12</v>
      </c>
      <c r="D326" s="63">
        <v>27.1</v>
      </c>
      <c r="E326" s="64">
        <v>0.10270833333333333</v>
      </c>
      <c r="F326" s="64">
        <v>0.10270833333333333</v>
      </c>
      <c r="G326" s="90">
        <f t="shared" si="64"/>
        <v>0.10270833333333333</v>
      </c>
      <c r="H326" s="65">
        <v>17</v>
      </c>
      <c r="I326" s="13">
        <f t="shared" si="74"/>
        <v>3.7899753997539974E-3</v>
      </c>
      <c r="J326" s="84">
        <f t="shared" si="75"/>
        <v>5</v>
      </c>
      <c r="K326" s="84">
        <f>IF(J326=0,0,IF(B326="F",VLOOKUP(I326,Barem!$G$2:$H$11,2,1),VLOOKUP(I326,Barem!$G$12:$H$21,2,1)))</f>
        <v>2</v>
      </c>
      <c r="L326" s="63">
        <v>3.5</v>
      </c>
      <c r="M326" s="149" t="s">
        <v>109</v>
      </c>
      <c r="N326" s="10">
        <f t="shared" si="78"/>
        <v>0.25</v>
      </c>
      <c r="O326" s="10">
        <f t="shared" si="78"/>
        <v>0.5</v>
      </c>
      <c r="P326" s="10">
        <f t="shared" si="78"/>
        <v>0.25</v>
      </c>
      <c r="Q326" s="47">
        <f t="shared" si="76"/>
        <v>0</v>
      </c>
      <c r="R326" s="25">
        <f>IF(D326&gt;21,VLOOKUP(D326,Barem!$T$1:$U$141,2,1),0)</f>
        <v>0.3</v>
      </c>
      <c r="S326" s="25">
        <f>IF(D326&lt;1.609,0,IF(B326="F",VLOOKUP(I326,Barem!$X$2:$Z$13,2,1),VLOOKUP(I326,Barem!$X$14:$Z$25,2,1)))</f>
        <v>0</v>
      </c>
      <c r="T326" s="25">
        <f>VLOOKUP(A326,Participanti!A:C,3,0)</f>
        <v>0</v>
      </c>
      <c r="U326" s="20">
        <f t="shared" si="77"/>
        <v>3.4249999999999998</v>
      </c>
      <c r="V326" s="76">
        <v>44651</v>
      </c>
      <c r="W326" s="101">
        <f>COUNTIFS(A:A,A326,C:C,C326)</f>
        <v>1</v>
      </c>
      <c r="X326" s="74" t="str">
        <f>VLOOKUP(A326,Data_echipe!A:R,18,0)</f>
        <v>Trail</v>
      </c>
      <c r="Z326" s="106">
        <f t="shared" si="81"/>
        <v>1</v>
      </c>
    </row>
    <row r="327" spans="1:26" x14ac:dyDescent="0.25">
      <c r="A327" s="61" t="s">
        <v>216</v>
      </c>
      <c r="B327" s="74" t="str">
        <f>VLOOKUP(A327,Participanti!A:B,2,0)</f>
        <v>M</v>
      </c>
      <c r="C327" s="98">
        <v>12</v>
      </c>
      <c r="D327" s="63">
        <v>19.690000000000001</v>
      </c>
      <c r="E327" s="64">
        <v>8.0150462962962965E-2</v>
      </c>
      <c r="F327" s="64">
        <v>8.1597222222222224E-2</v>
      </c>
      <c r="G327" s="90">
        <f t="shared" si="64"/>
        <v>8.0873842592592587E-2</v>
      </c>
      <c r="H327" s="65">
        <v>729</v>
      </c>
      <c r="I327" s="13">
        <f t="shared" si="74"/>
        <v>4.1073561499539151E-3</v>
      </c>
      <c r="J327" s="84">
        <f t="shared" si="75"/>
        <v>4.6880952380952383</v>
      </c>
      <c r="K327" s="84">
        <f>IF(J327=0,0,IF(B327="F",VLOOKUP(I327,Barem!$G$2:$H$11,2,1),VLOOKUP(I327,Barem!$G$12:$H$21,2,1)))</f>
        <v>1.5</v>
      </c>
      <c r="L327" s="63">
        <v>3.75</v>
      </c>
      <c r="M327" s="149" t="s">
        <v>220</v>
      </c>
      <c r="N327" s="10">
        <f t="shared" si="78"/>
        <v>0.25</v>
      </c>
      <c r="O327" s="10">
        <f t="shared" si="78"/>
        <v>0.25</v>
      </c>
      <c r="P327" s="10">
        <f t="shared" si="78"/>
        <v>0.5</v>
      </c>
      <c r="Q327" s="47">
        <f t="shared" si="76"/>
        <v>0.48599999999999999</v>
      </c>
      <c r="R327" s="25">
        <f>IF(D327&gt;21,VLOOKUP(D327,Barem!$T$1:$U$141,2,1),0)</f>
        <v>0</v>
      </c>
      <c r="S327" s="25">
        <f>IF(D327&lt;1.609,0,IF(B327="F",VLOOKUP(I327,Barem!$X$2:$Z$13,2,1),VLOOKUP(I327,Barem!$X$14:$Z$25,2,1)))</f>
        <v>0</v>
      </c>
      <c r="T327" s="25">
        <f>VLOOKUP(A327,Participanti!A:C,3,0)</f>
        <v>0</v>
      </c>
      <c r="U327" s="20">
        <f t="shared" si="77"/>
        <v>3.9080238095238098</v>
      </c>
      <c r="V327" s="76">
        <v>44653</v>
      </c>
      <c r="W327" s="101">
        <f>COUNTIFS(A:A,A327,C:C,C327)</f>
        <v>1</v>
      </c>
      <c r="X327" s="74" t="str">
        <f>VLOOKUP(A327,Data_echipe!A:R,18,0)</f>
        <v>Road</v>
      </c>
      <c r="Z327" s="106">
        <f t="shared" si="81"/>
        <v>1</v>
      </c>
    </row>
    <row r="328" spans="1:26" x14ac:dyDescent="0.25">
      <c r="A328" s="61" t="s">
        <v>255</v>
      </c>
      <c r="B328" s="74" t="str">
        <f>VLOOKUP(A328,Participanti!A:B,2,0)</f>
        <v>F</v>
      </c>
      <c r="C328" s="98">
        <v>12</v>
      </c>
      <c r="D328" s="63">
        <v>3.01</v>
      </c>
      <c r="E328" s="64">
        <v>1.5428240740740741E-2</v>
      </c>
      <c r="F328" s="64">
        <v>1.5902777777777776E-2</v>
      </c>
      <c r="G328" s="90">
        <f t="shared" si="64"/>
        <v>1.5665509259259257E-2</v>
      </c>
      <c r="H328" s="65">
        <v>6</v>
      </c>
      <c r="I328" s="13">
        <f t="shared" si="74"/>
        <v>5.2044881259997533E-3</v>
      </c>
      <c r="J328" s="84">
        <f t="shared" si="75"/>
        <v>0.75249999999999995</v>
      </c>
      <c r="K328" s="84">
        <f>IF(J328=0,0,IF(B328="F",VLOOKUP(I328,Barem!$G$2:$H$11,2,1),VLOOKUP(I328,Barem!$G$12:$H$21,2,1)))</f>
        <v>1</v>
      </c>
      <c r="L328" s="63">
        <v>4</v>
      </c>
      <c r="M328" s="149" t="s">
        <v>220</v>
      </c>
      <c r="N328" s="10">
        <f t="shared" si="78"/>
        <v>0.25</v>
      </c>
      <c r="O328" s="10">
        <f t="shared" si="78"/>
        <v>0.25</v>
      </c>
      <c r="P328" s="10">
        <f t="shared" si="78"/>
        <v>0.5</v>
      </c>
      <c r="Q328" s="47">
        <f t="shared" si="76"/>
        <v>0</v>
      </c>
      <c r="R328" s="25">
        <f>IF(D328&gt;21,VLOOKUP(D328,Barem!$T$1:$U$141,2,1),0)</f>
        <v>0</v>
      </c>
      <c r="S328" s="25">
        <f>IF(D328&lt;1.609,0,IF(B328="F",VLOOKUP(I328,Barem!$X$2:$Z$13,2,1),VLOOKUP(I328,Barem!$X$14:$Z$25,2,1)))</f>
        <v>0</v>
      </c>
      <c r="T328" s="25">
        <f>VLOOKUP(A328,Participanti!A:C,3,0)</f>
        <v>0</v>
      </c>
      <c r="U328" s="20">
        <f t="shared" si="77"/>
        <v>2.4381249999999999</v>
      </c>
      <c r="V328" s="76">
        <v>44653</v>
      </c>
      <c r="W328" s="101">
        <f>COUNTIFS(A:A,A328,C:C,C328)</f>
        <v>1</v>
      </c>
      <c r="X328" s="74" t="str">
        <f>VLOOKUP(A328,Data_echipe!A:R,18,0)</f>
        <v>Trail</v>
      </c>
      <c r="Z328" s="106">
        <f t="shared" si="81"/>
        <v>1</v>
      </c>
    </row>
    <row r="329" spans="1:26" x14ac:dyDescent="0.25">
      <c r="A329" s="61" t="s">
        <v>49</v>
      </c>
      <c r="B329" s="74" t="str">
        <f>VLOOKUP(A329,Participanti!A:B,2,0)</f>
        <v>M</v>
      </c>
      <c r="C329" s="98">
        <v>12</v>
      </c>
      <c r="D329" s="63">
        <v>11.18</v>
      </c>
      <c r="E329" s="64">
        <v>4.3171296296296298E-2</v>
      </c>
      <c r="F329" s="64">
        <v>4.5497685185185183E-2</v>
      </c>
      <c r="G329" s="90">
        <f t="shared" si="64"/>
        <v>4.4334490740740737E-2</v>
      </c>
      <c r="H329" s="65">
        <v>174</v>
      </c>
      <c r="I329" s="13">
        <f t="shared" si="74"/>
        <v>3.9655179553435369E-3</v>
      </c>
      <c r="J329" s="84">
        <f t="shared" si="75"/>
        <v>2.6619047619047618</v>
      </c>
      <c r="K329" s="84">
        <f>IF(J329=0,0,IF(B329="F",VLOOKUP(I329,Barem!$G$2:$H$11,2,1),VLOOKUP(I329,Barem!$G$12:$H$21,2,1)))</f>
        <v>1.5</v>
      </c>
      <c r="L329" s="63">
        <v>2.5</v>
      </c>
      <c r="M329" s="62" t="str">
        <f>VLOOKUP(C329,Barem!L:R,7,0)</f>
        <v>D</v>
      </c>
      <c r="N329" s="10">
        <f t="shared" si="78"/>
        <v>0.5</v>
      </c>
      <c r="O329" s="10">
        <f t="shared" si="78"/>
        <v>0.25</v>
      </c>
      <c r="P329" s="10">
        <f t="shared" si="78"/>
        <v>0.25</v>
      </c>
      <c r="Q329" s="47">
        <f t="shared" si="76"/>
        <v>0.11600000000000001</v>
      </c>
      <c r="R329" s="25">
        <f>IF(D329&gt;21,VLOOKUP(D329,Barem!$T$1:$U$141,2,1),0)</f>
        <v>0</v>
      </c>
      <c r="S329" s="25">
        <f>IF(D329&lt;1.609,0,IF(B329="F",VLOOKUP(I329,Barem!$X$2:$Z$13,2,1),VLOOKUP(I329,Barem!$X$14:$Z$25,2,1)))</f>
        <v>0</v>
      </c>
      <c r="T329" s="25">
        <f>VLOOKUP(A329,Participanti!A:C,3,0)</f>
        <v>0.4</v>
      </c>
      <c r="U329" s="20">
        <f t="shared" si="77"/>
        <v>2.8469523809523807</v>
      </c>
      <c r="V329" s="76">
        <v>44650</v>
      </c>
      <c r="W329" s="101">
        <f>COUNTIFS(A:A,A329,C:C,C329)</f>
        <v>1</v>
      </c>
      <c r="X329" s="74" t="str">
        <f>VLOOKUP(A329,Data_echipe!A:R,18,0)</f>
        <v>Road</v>
      </c>
      <c r="Z329" s="106">
        <f t="shared" si="81"/>
        <v>1</v>
      </c>
    </row>
    <row r="330" spans="1:26" x14ac:dyDescent="0.25">
      <c r="A330" s="61" t="s">
        <v>57</v>
      </c>
      <c r="B330" s="74" t="str">
        <f>VLOOKUP(A330,Participanti!A:B,2,0)</f>
        <v>M</v>
      </c>
      <c r="C330" s="98">
        <v>12</v>
      </c>
      <c r="D330" s="63">
        <v>19.37</v>
      </c>
      <c r="E330" s="64">
        <v>0.10961805555555555</v>
      </c>
      <c r="F330" s="64">
        <v>0.11621527777777778</v>
      </c>
      <c r="G330" s="90">
        <f t="shared" si="64"/>
        <v>0.11291666666666667</v>
      </c>
      <c r="H330" s="65">
        <v>673</v>
      </c>
      <c r="I330" s="13">
        <f t="shared" si="74"/>
        <v>5.8294613663741179E-3</v>
      </c>
      <c r="J330" s="84">
        <f t="shared" si="75"/>
        <v>4.6119047619047615</v>
      </c>
      <c r="K330" s="84">
        <f>IF(J330=0,0,IF(B330="F",VLOOKUP(I330,Barem!$G$2:$H$11,2,1),VLOOKUP(I330,Barem!$G$12:$H$21,2,1)))</f>
        <v>0</v>
      </c>
      <c r="L330" s="63">
        <v>4.25</v>
      </c>
      <c r="M330" s="62" t="str">
        <f>VLOOKUP(C330,Barem!L:R,7,0)</f>
        <v>D</v>
      </c>
      <c r="N330" s="10">
        <f t="shared" si="78"/>
        <v>0.5</v>
      </c>
      <c r="O330" s="10">
        <f t="shared" si="78"/>
        <v>0.25</v>
      </c>
      <c r="P330" s="10">
        <f t="shared" si="78"/>
        <v>0.25</v>
      </c>
      <c r="Q330" s="47">
        <f t="shared" si="76"/>
        <v>0.44866666666666666</v>
      </c>
      <c r="R330" s="25">
        <f>IF(D330&gt;21,VLOOKUP(D330,Barem!$T$1:$U$141,2,1),0)</f>
        <v>0</v>
      </c>
      <c r="S330" s="25">
        <f>IF(D330&lt;1.609,0,IF(B330="F",VLOOKUP(I330,Barem!$X$2:$Z$13,2,1),VLOOKUP(I330,Barem!$X$14:$Z$25,2,1)))</f>
        <v>0</v>
      </c>
      <c r="T330" s="25">
        <f>VLOOKUP(A330,Participanti!A:C,3,0)</f>
        <v>0</v>
      </c>
      <c r="U330" s="20">
        <f t="shared" si="77"/>
        <v>3.8171190476190473</v>
      </c>
      <c r="V330" s="76">
        <v>44653</v>
      </c>
      <c r="W330" s="101">
        <f>COUNTIFS(A:A,A330,C:C,C330)</f>
        <v>1</v>
      </c>
      <c r="X330" s="74" t="str">
        <f>VLOOKUP(A330,Data_echipe!A:R,18,0)</f>
        <v>Trail</v>
      </c>
      <c r="Z330" s="106">
        <f t="shared" si="81"/>
        <v>0</v>
      </c>
    </row>
    <row r="331" spans="1:26" x14ac:dyDescent="0.25">
      <c r="A331" s="61" t="s">
        <v>257</v>
      </c>
      <c r="B331" s="74" t="str">
        <f>VLOOKUP(A331,Participanti!A:B,2,0)</f>
        <v>M</v>
      </c>
      <c r="C331" s="98">
        <v>12</v>
      </c>
      <c r="D331" s="63">
        <v>30.3</v>
      </c>
      <c r="E331" s="64">
        <v>0.11512731481481481</v>
      </c>
      <c r="F331" s="64">
        <v>0.11555555555555556</v>
      </c>
      <c r="G331" s="90">
        <f t="shared" si="64"/>
        <v>0.11534143518518519</v>
      </c>
      <c r="H331" s="65">
        <v>65</v>
      </c>
      <c r="I331" s="13">
        <f t="shared" si="74"/>
        <v>3.8066480259137028E-3</v>
      </c>
      <c r="J331" s="84">
        <f t="shared" si="75"/>
        <v>5</v>
      </c>
      <c r="K331" s="84">
        <f>IF(J331=0,0,IF(B331="F",VLOOKUP(I331,Barem!$G$2:$H$11,2,1),VLOOKUP(I331,Barem!$G$12:$H$21,2,1)))</f>
        <v>2</v>
      </c>
      <c r="L331" s="63">
        <v>2</v>
      </c>
      <c r="M331" s="149" t="s">
        <v>220</v>
      </c>
      <c r="N331" s="10">
        <f t="shared" si="78"/>
        <v>0.25</v>
      </c>
      <c r="O331" s="10">
        <f t="shared" si="78"/>
        <v>0.25</v>
      </c>
      <c r="P331" s="10">
        <f t="shared" si="78"/>
        <v>0.5</v>
      </c>
      <c r="Q331" s="47">
        <f t="shared" si="76"/>
        <v>4.3333333333333335E-2</v>
      </c>
      <c r="R331" s="25">
        <f>IF(D331&gt;21,VLOOKUP(D331,Barem!$T$1:$U$141,2,1),0)</f>
        <v>0.4</v>
      </c>
      <c r="S331" s="25">
        <f>IF(D331&lt;1.609,0,IF(B331="F",VLOOKUP(I331,Barem!$X$2:$Z$13,2,1),VLOOKUP(I331,Barem!$X$14:$Z$25,2,1)))</f>
        <v>0</v>
      </c>
      <c r="T331" s="25">
        <f>VLOOKUP(A331,Participanti!A:C,3,0)</f>
        <v>0</v>
      </c>
      <c r="U331" s="20">
        <f t="shared" si="77"/>
        <v>3.1933333333333334</v>
      </c>
      <c r="V331" s="76">
        <v>44654</v>
      </c>
      <c r="W331" s="101">
        <f>COUNTIFS(A:A,A331,C:C,C331)</f>
        <v>1</v>
      </c>
      <c r="X331" s="74" t="str">
        <f>VLOOKUP(A331,Data_echipe!A:R,18,0)</f>
        <v>Road</v>
      </c>
      <c r="Z331" s="106">
        <f t="shared" si="81"/>
        <v>1</v>
      </c>
    </row>
    <row r="332" spans="1:26" x14ac:dyDescent="0.25">
      <c r="A332" s="61" t="s">
        <v>256</v>
      </c>
      <c r="B332" s="74" t="str">
        <f>VLOOKUP(A332,Participanti!A:B,2,0)</f>
        <v>M</v>
      </c>
      <c r="C332" s="98">
        <v>12</v>
      </c>
      <c r="D332" s="63">
        <v>16.71</v>
      </c>
      <c r="E332" s="64">
        <v>6.6516203703703702E-2</v>
      </c>
      <c r="F332" s="64">
        <v>6.6851851851851843E-2</v>
      </c>
      <c r="G332" s="90">
        <f t="shared" si="64"/>
        <v>6.6684027777777766E-2</v>
      </c>
      <c r="H332" s="65">
        <v>24</v>
      </c>
      <c r="I332" s="13">
        <f t="shared" si="74"/>
        <v>3.9906659352350543E-3</v>
      </c>
      <c r="J332" s="84">
        <f t="shared" si="75"/>
        <v>3.9785714285714286</v>
      </c>
      <c r="K332" s="84">
        <f>IF(J332=0,0,IF(B332="F",VLOOKUP(I332,Barem!$G$2:$H$11,2,1),VLOOKUP(I332,Barem!$G$12:$H$21,2,1)))</f>
        <v>1.5</v>
      </c>
      <c r="L332" s="63">
        <v>2.5</v>
      </c>
      <c r="M332" s="62" t="str">
        <f>VLOOKUP(C332,Barem!L:R,7,0)</f>
        <v>D</v>
      </c>
      <c r="N332" s="10">
        <f t="shared" si="78"/>
        <v>0.5</v>
      </c>
      <c r="O332" s="10">
        <f t="shared" si="78"/>
        <v>0.25</v>
      </c>
      <c r="P332" s="10">
        <f t="shared" si="78"/>
        <v>0.25</v>
      </c>
      <c r="Q332" s="47">
        <f t="shared" si="76"/>
        <v>0</v>
      </c>
      <c r="R332" s="25">
        <f>IF(D332&gt;21,VLOOKUP(D332,Barem!$T$1:$U$141,2,1),0)</f>
        <v>0</v>
      </c>
      <c r="S332" s="25">
        <f>IF(D332&lt;1.609,0,IF(B332="F",VLOOKUP(I332,Barem!$X$2:$Z$13,2,1),VLOOKUP(I332,Barem!$X$14:$Z$25,2,1)))</f>
        <v>0</v>
      </c>
      <c r="T332" s="25">
        <f>VLOOKUP(A332,Participanti!A:C,3,0)</f>
        <v>0</v>
      </c>
      <c r="U332" s="20">
        <f t="shared" si="77"/>
        <v>2.9892857142857143</v>
      </c>
      <c r="V332" s="76">
        <v>44653</v>
      </c>
      <c r="W332" s="101">
        <f>COUNTIFS(A:A,A332,C:C,C332)</f>
        <v>1</v>
      </c>
      <c r="X332" s="74" t="str">
        <f>VLOOKUP(A332,Data_echipe!A:R,18,0)</f>
        <v>Road</v>
      </c>
      <c r="Z332" s="106">
        <f t="shared" si="81"/>
        <v>1</v>
      </c>
    </row>
    <row r="333" spans="1:26" x14ac:dyDescent="0.25">
      <c r="A333" s="61" t="s">
        <v>185</v>
      </c>
      <c r="B333" s="74" t="str">
        <f>VLOOKUP(A333,Participanti!A:B,2,0)</f>
        <v>F</v>
      </c>
      <c r="C333" s="98">
        <v>12</v>
      </c>
      <c r="D333" s="63">
        <v>5.01</v>
      </c>
      <c r="E333" s="64">
        <v>2.1412037037037035E-2</v>
      </c>
      <c r="F333" s="64">
        <v>2.1608796296296296E-2</v>
      </c>
      <c r="G333" s="90">
        <f t="shared" si="64"/>
        <v>2.1510416666666664E-2</v>
      </c>
      <c r="H333" s="65">
        <v>4</v>
      </c>
      <c r="I333" s="13">
        <f t="shared" si="74"/>
        <v>4.2934963406520291E-3</v>
      </c>
      <c r="J333" s="84">
        <f t="shared" si="75"/>
        <v>1.2524999999999999</v>
      </c>
      <c r="K333" s="84">
        <f>IF(J333=0,0,IF(B333="F",VLOOKUP(I333,Barem!$G$2:$H$11,2,1),VLOOKUP(I333,Barem!$G$12:$H$21,2,1)))</f>
        <v>1.5</v>
      </c>
      <c r="L333" s="63">
        <v>3.75</v>
      </c>
      <c r="M333" s="62" t="str">
        <f>VLOOKUP(C333,Barem!L:R,7,0)</f>
        <v>D</v>
      </c>
      <c r="N333" s="10">
        <f t="shared" si="78"/>
        <v>0.5</v>
      </c>
      <c r="O333" s="10">
        <f t="shared" si="78"/>
        <v>0.25</v>
      </c>
      <c r="P333" s="10">
        <f t="shared" si="78"/>
        <v>0.25</v>
      </c>
      <c r="Q333" s="47">
        <f t="shared" si="76"/>
        <v>0</v>
      </c>
      <c r="R333" s="25">
        <f>IF(D333&gt;21,VLOOKUP(D333,Barem!$T$1:$U$141,2,1),0)</f>
        <v>0</v>
      </c>
      <c r="S333" s="25">
        <f>IF(D333&lt;1.609,0,IF(B333="F",VLOOKUP(I333,Barem!$X$2:$Z$13,2,1),VLOOKUP(I333,Barem!$X$14:$Z$25,2,1)))</f>
        <v>0</v>
      </c>
      <c r="T333" s="25">
        <f>VLOOKUP(A333,Participanti!A:C,3,0)</f>
        <v>0</v>
      </c>
      <c r="U333" s="20">
        <f t="shared" si="77"/>
        <v>1.93875</v>
      </c>
      <c r="V333" s="76">
        <v>44654</v>
      </c>
      <c r="W333" s="101">
        <f>COUNTIFS(A:A,A333,C:C,C333)</f>
        <v>1</v>
      </c>
      <c r="X333" s="74" t="str">
        <f>VLOOKUP(A333,Data_echipe!A:R,18,0)</f>
        <v>Road</v>
      </c>
      <c r="Z333" s="106">
        <f t="shared" si="81"/>
        <v>1</v>
      </c>
    </row>
    <row r="334" spans="1:26" x14ac:dyDescent="0.25">
      <c r="A334" s="61" t="s">
        <v>143</v>
      </c>
      <c r="B334" s="74" t="str">
        <f>VLOOKUP(A334,Participanti!A:B,2,0)</f>
        <v>M</v>
      </c>
      <c r="C334" s="98">
        <v>12</v>
      </c>
      <c r="D334" s="63">
        <v>10.039999999999999</v>
      </c>
      <c r="E334" s="64">
        <v>3.4664351851851849E-2</v>
      </c>
      <c r="F334" s="64">
        <v>3.8460648148148147E-2</v>
      </c>
      <c r="G334" s="90">
        <f t="shared" si="64"/>
        <v>3.6562499999999998E-2</v>
      </c>
      <c r="H334" s="65">
        <v>28</v>
      </c>
      <c r="I334" s="13">
        <f t="shared" si="74"/>
        <v>3.6416832669322712E-3</v>
      </c>
      <c r="J334" s="84">
        <f t="shared" si="75"/>
        <v>2.39047619047619</v>
      </c>
      <c r="K334" s="84">
        <f>IF(J334=0,0,IF(B334="F",VLOOKUP(I334,Barem!$G$2:$H$11,2,1),VLOOKUP(I334,Barem!$G$12:$H$21,2,1)))</f>
        <v>2.5</v>
      </c>
      <c r="L334" s="63">
        <v>1.5</v>
      </c>
      <c r="M334" s="149" t="s">
        <v>220</v>
      </c>
      <c r="N334" s="10">
        <f t="shared" si="78"/>
        <v>0.25</v>
      </c>
      <c r="O334" s="10">
        <f t="shared" si="78"/>
        <v>0.25</v>
      </c>
      <c r="P334" s="10">
        <f t="shared" si="78"/>
        <v>0.5</v>
      </c>
      <c r="Q334" s="47">
        <f t="shared" si="76"/>
        <v>0</v>
      </c>
      <c r="R334" s="25">
        <f>IF(D334&gt;21,VLOOKUP(D334,Barem!$T$1:$U$141,2,1),0)</f>
        <v>0</v>
      </c>
      <c r="S334" s="25">
        <f>IF(D334&lt;1.609,0,IF(B334="F",VLOOKUP(I334,Barem!$X$2:$Z$13,2,1),VLOOKUP(I334,Barem!$X$14:$Z$25,2,1)))</f>
        <v>0</v>
      </c>
      <c r="T334" s="25">
        <f>VLOOKUP(A334,Participanti!A:C,3,0)</f>
        <v>0</v>
      </c>
      <c r="U334" s="20">
        <f t="shared" si="77"/>
        <v>1.9726190476190475</v>
      </c>
      <c r="V334" s="76">
        <v>44652</v>
      </c>
      <c r="W334" s="101">
        <f>COUNTIFS(A:A,A334,C:C,C334)</f>
        <v>1</v>
      </c>
      <c r="X334" s="74" t="str">
        <f>VLOOKUP(A334,Data_echipe!A:R,18,0)</f>
        <v>Road</v>
      </c>
      <c r="Z334" s="106">
        <f t="shared" si="81"/>
        <v>1</v>
      </c>
    </row>
    <row r="335" spans="1:26" x14ac:dyDescent="0.25">
      <c r="A335" s="61" t="s">
        <v>119</v>
      </c>
      <c r="B335" s="74" t="str">
        <f>VLOOKUP(A335,Participanti!A:B,2,0)</f>
        <v>F</v>
      </c>
      <c r="C335" s="98">
        <v>12</v>
      </c>
      <c r="D335" s="63"/>
      <c r="E335" s="64"/>
      <c r="F335" s="64"/>
      <c r="G335" s="90"/>
      <c r="H335" s="65"/>
      <c r="I335" s="13"/>
      <c r="J335" s="84">
        <f t="shared" si="75"/>
        <v>0</v>
      </c>
      <c r="K335" s="84">
        <f>IF(J335=0,0,IF(B335="F",VLOOKUP(I335,Barem!$G$2:$H$11,2,1),VLOOKUP(I335,Barem!$G$12:$H$21,2,1)))</f>
        <v>0</v>
      </c>
      <c r="L335" s="63"/>
      <c r="M335" s="150" t="s">
        <v>260</v>
      </c>
      <c r="N335" s="10">
        <f t="shared" si="78"/>
        <v>0.25</v>
      </c>
      <c r="O335" s="10">
        <f t="shared" si="78"/>
        <v>0.25</v>
      </c>
      <c r="P335" s="10">
        <f t="shared" si="78"/>
        <v>0.25</v>
      </c>
      <c r="Q335" s="47">
        <f t="shared" si="76"/>
        <v>0</v>
      </c>
      <c r="R335" s="25">
        <f>IF(D335&gt;21,VLOOKUP(D335,Barem!$T$1:$U$141,2,1),0)</f>
        <v>0</v>
      </c>
      <c r="S335" s="25">
        <f>IF(D335&lt;1.609,0,IF(B335="F",VLOOKUP(I335,Barem!$X$2:$Z$13,2,1),VLOOKUP(I335,Barem!$X$14:$Z$25,2,1)))</f>
        <v>0</v>
      </c>
      <c r="T335" s="25">
        <f>VLOOKUP(A335,Participanti!A:C,3,0)</f>
        <v>0</v>
      </c>
      <c r="U335" s="148">
        <v>1.5</v>
      </c>
      <c r="V335" s="76"/>
      <c r="W335" s="101">
        <f>COUNTIFS(A:A,A335,C:C,C335)</f>
        <v>1</v>
      </c>
      <c r="X335" s="74" t="str">
        <f>VLOOKUP(A335,Data_echipe!A:R,18,0)</f>
        <v>Trail</v>
      </c>
      <c r="Z335" s="106">
        <f t="shared" si="81"/>
        <v>0</v>
      </c>
    </row>
    <row r="336" spans="1:26" x14ac:dyDescent="0.25">
      <c r="A336" s="61" t="s">
        <v>215</v>
      </c>
      <c r="B336" s="74" t="str">
        <f>VLOOKUP(A336,Participanti!A:B,2,0)</f>
        <v>M</v>
      </c>
      <c r="C336" s="98">
        <v>12</v>
      </c>
      <c r="D336" s="63">
        <v>22.21</v>
      </c>
      <c r="E336" s="64">
        <v>8.2800925925925931E-2</v>
      </c>
      <c r="F336" s="64">
        <v>8.3738425925925938E-2</v>
      </c>
      <c r="G336" s="90">
        <f t="shared" si="64"/>
        <v>8.3269675925925934E-2</v>
      </c>
      <c r="H336" s="65">
        <v>104</v>
      </c>
      <c r="I336" s="13">
        <f t="shared" si="74"/>
        <v>3.7491974752780701E-3</v>
      </c>
      <c r="J336" s="84">
        <f t="shared" si="75"/>
        <v>5</v>
      </c>
      <c r="K336" s="84">
        <f>IF(J336=0,0,IF(B336="F",VLOOKUP(I336,Barem!$G$2:$H$11,2,1),VLOOKUP(I336,Barem!$G$12:$H$21,2,1)))</f>
        <v>2</v>
      </c>
      <c r="L336" s="63">
        <v>1.5</v>
      </c>
      <c r="M336" s="62" t="str">
        <f>VLOOKUP(C336,Barem!L:R,7,0)</f>
        <v>D</v>
      </c>
      <c r="N336" s="10">
        <f t="shared" si="78"/>
        <v>0.5</v>
      </c>
      <c r="O336" s="10">
        <f t="shared" si="78"/>
        <v>0.25</v>
      </c>
      <c r="P336" s="10">
        <f t="shared" si="78"/>
        <v>0.25</v>
      </c>
      <c r="Q336" s="47">
        <f t="shared" si="76"/>
        <v>6.933333333333333E-2</v>
      </c>
      <c r="R336" s="25">
        <f>IF(D336&gt;21,VLOOKUP(D336,Barem!$T$1:$U$141,2,1),0)</f>
        <v>0</v>
      </c>
      <c r="S336" s="25">
        <f>IF(D336&lt;1.609,0,IF(B336="F",VLOOKUP(I336,Barem!$X$2:$Z$13,2,1),VLOOKUP(I336,Barem!$X$14:$Z$25,2,1)))</f>
        <v>0</v>
      </c>
      <c r="T336" s="25">
        <f>VLOOKUP(A336,Participanti!A:C,3,0)</f>
        <v>0</v>
      </c>
      <c r="U336" s="20">
        <f t="shared" si="77"/>
        <v>3.4443333333333332</v>
      </c>
      <c r="V336" s="76">
        <v>44654</v>
      </c>
      <c r="W336" s="101">
        <f>COUNTIFS(A:A,A336,C:C,C336)</f>
        <v>1</v>
      </c>
      <c r="X336" s="74" t="str">
        <f>VLOOKUP(A336,Data_echipe!A:R,18,0)</f>
        <v>Trail</v>
      </c>
      <c r="Z336" s="106">
        <f t="shared" si="81"/>
        <v>1</v>
      </c>
    </row>
    <row r="337" spans="1:26" x14ac:dyDescent="0.25">
      <c r="A337" s="61" t="s">
        <v>179</v>
      </c>
      <c r="B337" s="74" t="str">
        <f>VLOOKUP(A337,Participanti!A:B,2,0)</f>
        <v>F</v>
      </c>
      <c r="C337" s="98">
        <v>12</v>
      </c>
      <c r="D337" s="63">
        <v>10.07</v>
      </c>
      <c r="E337" s="64">
        <v>3.8969907407407404E-2</v>
      </c>
      <c r="F337" s="64">
        <v>3.8969907407407404E-2</v>
      </c>
      <c r="G337" s="90">
        <f t="shared" si="64"/>
        <v>3.8969907407407404E-2</v>
      </c>
      <c r="H337" s="65">
        <v>9</v>
      </c>
      <c r="I337" s="13">
        <f t="shared" si="74"/>
        <v>3.8699014307256607E-3</v>
      </c>
      <c r="J337" s="84">
        <f t="shared" si="75"/>
        <v>2.5175000000000001</v>
      </c>
      <c r="K337" s="84">
        <f>IF(J337=0,0,IF(B337="F",VLOOKUP(I337,Barem!$G$2:$H$11,2,1),VLOOKUP(I337,Barem!$G$12:$H$21,2,1)))</f>
        <v>2.5</v>
      </c>
      <c r="L337" s="63">
        <v>3</v>
      </c>
      <c r="M337" s="149" t="s">
        <v>109</v>
      </c>
      <c r="N337" s="10">
        <f t="shared" si="78"/>
        <v>0.25</v>
      </c>
      <c r="O337" s="10">
        <f t="shared" si="78"/>
        <v>0.5</v>
      </c>
      <c r="P337" s="10">
        <f t="shared" si="78"/>
        <v>0.25</v>
      </c>
      <c r="Q337" s="47">
        <f t="shared" si="76"/>
        <v>0</v>
      </c>
      <c r="R337" s="25">
        <f>IF(D337&gt;21,VLOOKUP(D337,Barem!$T$1:$U$141,2,1),0)</f>
        <v>0</v>
      </c>
      <c r="S337" s="25">
        <f>IF(D337&lt;1.609,0,IF(B337="F",VLOOKUP(I337,Barem!$X$2:$Z$13,2,1),VLOOKUP(I337,Barem!$X$14:$Z$25,2,1)))</f>
        <v>0</v>
      </c>
      <c r="T337" s="25">
        <f>VLOOKUP(A337,Participanti!A:C,3,0)</f>
        <v>0</v>
      </c>
      <c r="U337" s="20">
        <f t="shared" si="77"/>
        <v>2.629375</v>
      </c>
      <c r="V337" s="76">
        <v>44653</v>
      </c>
      <c r="W337" s="101">
        <f>COUNTIFS(A:A,A337,C:C,C337)</f>
        <v>1</v>
      </c>
      <c r="X337" s="74" t="str">
        <f>VLOOKUP(A337,Data_echipe!A:R,18,0)</f>
        <v>Trail</v>
      </c>
      <c r="Z337" s="106">
        <f t="shared" si="81"/>
        <v>1</v>
      </c>
    </row>
    <row r="338" spans="1:26" x14ac:dyDescent="0.25">
      <c r="A338" s="61" t="s">
        <v>102</v>
      </c>
      <c r="B338" s="74" t="str">
        <f>VLOOKUP(A338,Participanti!A:B,2,0)</f>
        <v>F</v>
      </c>
      <c r="C338" s="98">
        <v>12</v>
      </c>
      <c r="D338" s="63">
        <v>3.02</v>
      </c>
      <c r="E338" s="64">
        <v>1.0613425925925927E-2</v>
      </c>
      <c r="F338" s="64">
        <v>1.087962962962963E-2</v>
      </c>
      <c r="G338" s="90">
        <f t="shared" si="64"/>
        <v>1.0746527777777778E-2</v>
      </c>
      <c r="H338" s="65">
        <v>0</v>
      </c>
      <c r="I338" s="13">
        <f t="shared" si="74"/>
        <v>3.5584529065489333E-3</v>
      </c>
      <c r="J338" s="84">
        <f t="shared" si="75"/>
        <v>0.755</v>
      </c>
      <c r="K338" s="84">
        <f>IF(J338=0,0,IF(B338="F",VLOOKUP(I338,Barem!$G$2:$H$11,2,1),VLOOKUP(I338,Barem!$G$12:$H$21,2,1)))</f>
        <v>3.5</v>
      </c>
      <c r="L338" s="63">
        <v>2.25</v>
      </c>
      <c r="M338" s="62" t="str">
        <f>VLOOKUP(C338,Barem!L:R,7,0)</f>
        <v>D</v>
      </c>
      <c r="N338" s="10">
        <f t="shared" si="78"/>
        <v>0.5</v>
      </c>
      <c r="O338" s="10">
        <f t="shared" si="78"/>
        <v>0.25</v>
      </c>
      <c r="P338" s="10">
        <f t="shared" si="78"/>
        <v>0.25</v>
      </c>
      <c r="Q338" s="47">
        <f t="shared" si="76"/>
        <v>0</v>
      </c>
      <c r="R338" s="25">
        <f>IF(D338&gt;21,VLOOKUP(D338,Barem!$T$1:$U$141,2,1),0)</f>
        <v>0</v>
      </c>
      <c r="S338" s="25">
        <f>IF(D338&lt;1.609,0,IF(B338="F",VLOOKUP(I338,Barem!$X$2:$Z$13,2,1),VLOOKUP(I338,Barem!$X$14:$Z$25,2,1)))</f>
        <v>0</v>
      </c>
      <c r="T338" s="25">
        <f>VLOOKUP(A338,Participanti!A:C,3,0)</f>
        <v>0</v>
      </c>
      <c r="U338" s="20">
        <f t="shared" si="77"/>
        <v>1.8149999999999999</v>
      </c>
      <c r="V338" s="76">
        <v>44654</v>
      </c>
      <c r="W338" s="101">
        <f>COUNTIFS(A:A,A338,C:C,C338)</f>
        <v>1</v>
      </c>
      <c r="X338" s="74" t="str">
        <f>VLOOKUP(A338,Data_echipe!A:R,18,0)</f>
        <v>Trail</v>
      </c>
      <c r="Z338" s="106">
        <f t="shared" si="81"/>
        <v>1</v>
      </c>
    </row>
    <row r="339" spans="1:26" x14ac:dyDescent="0.25">
      <c r="A339" s="61" t="s">
        <v>217</v>
      </c>
      <c r="B339" s="74" t="str">
        <f>VLOOKUP(A339,Participanti!A:B,2,0)</f>
        <v>M</v>
      </c>
      <c r="C339" s="98">
        <v>12</v>
      </c>
      <c r="D339" s="63">
        <v>5.25</v>
      </c>
      <c r="E339" s="64">
        <v>1.9733796296296298E-2</v>
      </c>
      <c r="F339" s="64">
        <v>2.1689814814814815E-2</v>
      </c>
      <c r="G339" s="90">
        <f t="shared" si="64"/>
        <v>2.0711805555555556E-2</v>
      </c>
      <c r="H339" s="65">
        <v>13</v>
      </c>
      <c r="I339" s="13">
        <f t="shared" si="74"/>
        <v>3.94510582010582E-3</v>
      </c>
      <c r="J339" s="84">
        <f t="shared" si="75"/>
        <v>1.25</v>
      </c>
      <c r="K339" s="84">
        <f>IF(J339=0,0,IF(B339="F",VLOOKUP(I339,Barem!$G$2:$H$11,2,1),VLOOKUP(I339,Barem!$G$12:$H$21,2,1)))</f>
        <v>1.5</v>
      </c>
      <c r="L339" s="63">
        <v>2.5</v>
      </c>
      <c r="M339" s="62" t="str">
        <f>VLOOKUP(C339,Barem!L:R,7,0)</f>
        <v>D</v>
      </c>
      <c r="N339" s="10">
        <f t="shared" si="78"/>
        <v>0.5</v>
      </c>
      <c r="O339" s="10">
        <f t="shared" si="78"/>
        <v>0.25</v>
      </c>
      <c r="P339" s="10">
        <f t="shared" si="78"/>
        <v>0.25</v>
      </c>
      <c r="Q339" s="47">
        <f t="shared" si="76"/>
        <v>0</v>
      </c>
      <c r="R339" s="25">
        <f>IF(D339&gt;21,VLOOKUP(D339,Barem!$T$1:$U$141,2,1),0)</f>
        <v>0</v>
      </c>
      <c r="S339" s="25">
        <f>IF(D339&lt;1.609,0,IF(B339="F",VLOOKUP(I339,Barem!$X$2:$Z$13,2,1),VLOOKUP(I339,Barem!$X$14:$Z$25,2,1)))</f>
        <v>0</v>
      </c>
      <c r="T339" s="25">
        <f>VLOOKUP(A339,Participanti!A:C,3,0)</f>
        <v>0</v>
      </c>
      <c r="U339" s="20">
        <f t="shared" si="77"/>
        <v>1.625</v>
      </c>
      <c r="V339" s="76">
        <v>44653</v>
      </c>
      <c r="W339" s="101">
        <f>COUNTIFS(A:A,A339,C:C,C339)</f>
        <v>1</v>
      </c>
      <c r="X339" s="74" t="e">
        <f>VLOOKUP(A339,Data_echipe!A:R,18,0)</f>
        <v>#N/A</v>
      </c>
      <c r="Z339" s="106">
        <f t="shared" si="81"/>
        <v>1</v>
      </c>
    </row>
    <row r="340" spans="1:26" x14ac:dyDescent="0.25">
      <c r="A340" s="61" t="s">
        <v>48</v>
      </c>
      <c r="B340" s="74" t="str">
        <f>VLOOKUP(A340,Participanti!A:B,2,0)</f>
        <v>M</v>
      </c>
      <c r="C340" s="98">
        <v>12</v>
      </c>
      <c r="D340" s="63">
        <v>12.41</v>
      </c>
      <c r="E340" s="64">
        <v>4.912037037037037E-2</v>
      </c>
      <c r="F340" s="64">
        <v>4.929398148148148E-2</v>
      </c>
      <c r="G340" s="90">
        <f t="shared" si="64"/>
        <v>4.9207175925925925E-2</v>
      </c>
      <c r="H340" s="65">
        <v>209</v>
      </c>
      <c r="I340" s="13">
        <f t="shared" si="74"/>
        <v>3.9651229593816216E-3</v>
      </c>
      <c r="J340" s="84">
        <f t="shared" si="75"/>
        <v>2.9547619047619045</v>
      </c>
      <c r="K340" s="84">
        <f>IF(J340=0,0,IF(B340="F",VLOOKUP(I340,Barem!$G$2:$H$11,2,1),VLOOKUP(I340,Barem!$G$12:$H$21,2,1)))</f>
        <v>1.5</v>
      </c>
      <c r="L340" s="63">
        <v>4</v>
      </c>
      <c r="M340" s="149" t="s">
        <v>220</v>
      </c>
      <c r="N340" s="10">
        <f t="shared" si="78"/>
        <v>0.25</v>
      </c>
      <c r="O340" s="10">
        <f t="shared" si="78"/>
        <v>0.25</v>
      </c>
      <c r="P340" s="10">
        <f t="shared" si="78"/>
        <v>0.5</v>
      </c>
      <c r="Q340" s="47">
        <f t="shared" si="76"/>
        <v>0.13933333333333334</v>
      </c>
      <c r="R340" s="25">
        <f>IF(D340&gt;21,VLOOKUP(D340,Barem!$T$1:$U$141,2,1),0)</f>
        <v>0</v>
      </c>
      <c r="S340" s="25">
        <f>IF(D340&lt;1.609,0,IF(B340="F",VLOOKUP(I340,Barem!$X$2:$Z$13,2,1),VLOOKUP(I340,Barem!$X$14:$Z$25,2,1)))</f>
        <v>0</v>
      </c>
      <c r="T340" s="25">
        <f>VLOOKUP(A340,Participanti!A:C,3,0)</f>
        <v>0</v>
      </c>
      <c r="U340" s="20">
        <f t="shared" si="77"/>
        <v>3.2530238095238095</v>
      </c>
      <c r="V340" s="76">
        <v>44652</v>
      </c>
      <c r="W340" s="101">
        <f>COUNTIFS(A:A,A340,C:C,C340)</f>
        <v>1</v>
      </c>
      <c r="X340" s="74" t="str">
        <f>VLOOKUP(A340,Data_echipe!A:R,18,0)</f>
        <v>Road</v>
      </c>
      <c r="Z340" s="106">
        <f t="shared" si="81"/>
        <v>1</v>
      </c>
    </row>
    <row r="341" spans="1:26" x14ac:dyDescent="0.25">
      <c r="A341" s="61" t="s">
        <v>60</v>
      </c>
      <c r="B341" s="74" t="str">
        <f>VLOOKUP(A341,Participanti!A:B,2,0)</f>
        <v>M</v>
      </c>
      <c r="C341" s="98">
        <v>12</v>
      </c>
      <c r="D341" s="63">
        <v>10.02</v>
      </c>
      <c r="E341" s="64">
        <v>3.3414351851851855E-2</v>
      </c>
      <c r="F341" s="64">
        <v>3.3564814814814818E-2</v>
      </c>
      <c r="G341" s="90">
        <f t="shared" si="64"/>
        <v>3.3489583333333336E-2</v>
      </c>
      <c r="H341" s="65">
        <v>90</v>
      </c>
      <c r="I341" s="13">
        <f t="shared" si="74"/>
        <v>3.34227378576181E-3</v>
      </c>
      <c r="J341" s="84">
        <f t="shared" si="75"/>
        <v>2.3857142857142857</v>
      </c>
      <c r="K341" s="84">
        <f>IF(J341=0,0,IF(B341="F",VLOOKUP(I341,Barem!$G$2:$H$11,2,1),VLOOKUP(I341,Barem!$G$12:$H$21,2,1)))</f>
        <v>3</v>
      </c>
      <c r="L341" s="63">
        <v>1</v>
      </c>
      <c r="M341" s="149" t="s">
        <v>109</v>
      </c>
      <c r="N341" s="10">
        <f t="shared" si="78"/>
        <v>0.25</v>
      </c>
      <c r="O341" s="10">
        <f t="shared" si="78"/>
        <v>0.5</v>
      </c>
      <c r="P341" s="10">
        <f t="shared" si="78"/>
        <v>0.25</v>
      </c>
      <c r="Q341" s="47">
        <f t="shared" si="76"/>
        <v>0.06</v>
      </c>
      <c r="R341" s="25">
        <f>IF(D341&gt;21,VLOOKUP(D341,Barem!$T$1:$U$141,2,1),0)</f>
        <v>0</v>
      </c>
      <c r="S341" s="25">
        <f>IF(D341&lt;1.609,0,IF(B341="F",VLOOKUP(I341,Barem!$X$2:$Z$13,2,1),VLOOKUP(I341,Barem!$X$14:$Z$25,2,1)))</f>
        <v>0</v>
      </c>
      <c r="T341" s="25">
        <f>VLOOKUP(A341,Participanti!A:C,3,0)</f>
        <v>0</v>
      </c>
      <c r="U341" s="20">
        <f t="shared" si="77"/>
        <v>2.4064285714285716</v>
      </c>
      <c r="V341" s="76">
        <v>44648</v>
      </c>
      <c r="W341" s="101">
        <f>COUNTIFS(A:A,A341,C:C,C341)</f>
        <v>1</v>
      </c>
      <c r="X341" s="74" t="str">
        <f>VLOOKUP(A341,Data_echipe!A:R,18,0)</f>
        <v>Road</v>
      </c>
      <c r="Z341" s="106">
        <f t="shared" si="81"/>
        <v>1</v>
      </c>
    </row>
    <row r="342" spans="1:26" x14ac:dyDescent="0.25">
      <c r="A342" s="61" t="s">
        <v>66</v>
      </c>
      <c r="B342" s="74" t="str">
        <f>VLOOKUP(A342,Participanti!A:B,2,0)</f>
        <v>M</v>
      </c>
      <c r="C342" s="98">
        <v>12</v>
      </c>
      <c r="D342" s="63">
        <v>21.2</v>
      </c>
      <c r="E342" s="64">
        <v>7.9965277777777774E-2</v>
      </c>
      <c r="F342" s="64">
        <v>9.0335648148148151E-2</v>
      </c>
      <c r="G342" s="90">
        <f t="shared" si="64"/>
        <v>8.5150462962962969E-2</v>
      </c>
      <c r="H342" s="65">
        <v>31</v>
      </c>
      <c r="I342" s="13">
        <f t="shared" si="74"/>
        <v>4.0165312718378763E-3</v>
      </c>
      <c r="J342" s="84">
        <f t="shared" si="75"/>
        <v>5</v>
      </c>
      <c r="K342" s="84">
        <f>IF(J342=0,0,IF(B342="F",VLOOKUP(I342,Barem!$G$2:$H$11,2,1),VLOOKUP(I342,Barem!$G$12:$H$21,2,1)))</f>
        <v>1.5</v>
      </c>
      <c r="L342" s="63">
        <v>3</v>
      </c>
      <c r="M342" s="62" t="str">
        <f>VLOOKUP(C342,Barem!L:R,7,0)</f>
        <v>D</v>
      </c>
      <c r="N342" s="10">
        <f t="shared" si="78"/>
        <v>0.5</v>
      </c>
      <c r="O342" s="10">
        <f t="shared" si="78"/>
        <v>0.25</v>
      </c>
      <c r="P342" s="10">
        <f t="shared" si="78"/>
        <v>0.25</v>
      </c>
      <c r="Q342" s="47">
        <f t="shared" si="76"/>
        <v>0</v>
      </c>
      <c r="R342" s="25">
        <f>IF(D342&gt;21,VLOOKUP(D342,Barem!$T$1:$U$141,2,1),0)</f>
        <v>0</v>
      </c>
      <c r="S342" s="25">
        <f>IF(D342&lt;1.609,0,IF(B342="F",VLOOKUP(I342,Barem!$X$2:$Z$13,2,1),VLOOKUP(I342,Barem!$X$14:$Z$25,2,1)))</f>
        <v>0</v>
      </c>
      <c r="T342" s="25">
        <f>VLOOKUP(A342,Participanti!A:C,3,0)</f>
        <v>0</v>
      </c>
      <c r="U342" s="20">
        <f t="shared" si="77"/>
        <v>3.625</v>
      </c>
      <c r="V342" s="76">
        <v>44650</v>
      </c>
      <c r="W342" s="101">
        <f>COUNTIFS(A:A,A342,C:C,C342)</f>
        <v>1</v>
      </c>
      <c r="X342" s="74" t="str">
        <f>VLOOKUP(A342,Data_echipe!A:R,18,0)</f>
        <v>Road</v>
      </c>
      <c r="Z342" s="106">
        <f t="shared" si="81"/>
        <v>1</v>
      </c>
    </row>
    <row r="343" spans="1:26" x14ac:dyDescent="0.25">
      <c r="A343" s="61" t="s">
        <v>138</v>
      </c>
      <c r="B343" s="74" t="str">
        <f>VLOOKUP(A343,Participanti!A:B,2,0)</f>
        <v>F</v>
      </c>
      <c r="C343" s="98">
        <v>12</v>
      </c>
      <c r="D343" s="63">
        <v>10.02</v>
      </c>
      <c r="E343" s="64">
        <v>4.3379629629629629E-2</v>
      </c>
      <c r="F343" s="64">
        <v>4.3379629629629629E-2</v>
      </c>
      <c r="G343" s="90">
        <f t="shared" si="64"/>
        <v>4.3379629629629629E-2</v>
      </c>
      <c r="H343" s="65">
        <v>0</v>
      </c>
      <c r="I343" s="13">
        <f t="shared" si="74"/>
        <v>4.3293043542544539E-3</v>
      </c>
      <c r="J343" s="84">
        <f t="shared" si="75"/>
        <v>2.5049999999999999</v>
      </c>
      <c r="K343" s="84">
        <f>IF(J343=0,0,IF(B343="F",VLOOKUP(I343,Barem!$G$2:$H$11,2,1),VLOOKUP(I343,Barem!$G$12:$H$21,2,1)))</f>
        <v>1.5</v>
      </c>
      <c r="L343" s="63">
        <v>1.5</v>
      </c>
      <c r="M343" s="62" t="str">
        <f>VLOOKUP(C343,Barem!L:R,7,0)</f>
        <v>D</v>
      </c>
      <c r="N343" s="10">
        <f t="shared" si="78"/>
        <v>0.5</v>
      </c>
      <c r="O343" s="10">
        <f t="shared" si="78"/>
        <v>0.25</v>
      </c>
      <c r="P343" s="10">
        <f t="shared" si="78"/>
        <v>0.25</v>
      </c>
      <c r="Q343" s="47">
        <f t="shared" si="76"/>
        <v>0</v>
      </c>
      <c r="R343" s="25">
        <f>IF(D343&gt;21,VLOOKUP(D343,Barem!$T$1:$U$141,2,1),0)</f>
        <v>0</v>
      </c>
      <c r="S343" s="25">
        <f>IF(D343&lt;1.609,0,IF(B343="F",VLOOKUP(I343,Barem!$X$2:$Z$13,2,1),VLOOKUP(I343,Barem!$X$14:$Z$25,2,1)))</f>
        <v>0</v>
      </c>
      <c r="T343" s="25">
        <f>VLOOKUP(A343,Participanti!A:C,3,0)</f>
        <v>0</v>
      </c>
      <c r="U343" s="20">
        <f t="shared" si="77"/>
        <v>2.0024999999999999</v>
      </c>
      <c r="V343" s="76">
        <v>44651</v>
      </c>
      <c r="W343" s="101">
        <f>COUNTIFS(A:A,A343,C:C,C343)</f>
        <v>1</v>
      </c>
      <c r="X343" s="74" t="str">
        <f>VLOOKUP(A343,Data_echipe!A:R,18,0)</f>
        <v>Road</v>
      </c>
      <c r="Z343" s="106">
        <f t="shared" si="81"/>
        <v>1</v>
      </c>
    </row>
    <row r="344" spans="1:26" x14ac:dyDescent="0.25">
      <c r="A344" s="61" t="s">
        <v>54</v>
      </c>
      <c r="B344" s="74" t="str">
        <f>VLOOKUP(A344,Participanti!A:B,2,0)</f>
        <v>M</v>
      </c>
      <c r="C344" s="98">
        <v>12</v>
      </c>
      <c r="D344" s="63">
        <v>21.33</v>
      </c>
      <c r="E344" s="64">
        <v>9.1620370370370366E-2</v>
      </c>
      <c r="F344" s="64">
        <v>0.11564814814814815</v>
      </c>
      <c r="G344" s="90">
        <f t="shared" si="64"/>
        <v>0.10363425925925926</v>
      </c>
      <c r="H344" s="65">
        <v>25</v>
      </c>
      <c r="I344" s="13">
        <f t="shared" si="74"/>
        <v>4.8586150613811191E-3</v>
      </c>
      <c r="J344" s="84">
        <f t="shared" si="75"/>
        <v>5</v>
      </c>
      <c r="K344" s="84">
        <f>IF(J344=0,0,IF(B344="F",VLOOKUP(I344,Barem!$G$2:$H$11,2,1),VLOOKUP(I344,Barem!$G$12:$H$21,2,1)))</f>
        <v>1</v>
      </c>
      <c r="L344" s="63">
        <v>1.5</v>
      </c>
      <c r="M344" s="62" t="str">
        <f>VLOOKUP(C344,Barem!L:R,7,0)</f>
        <v>D</v>
      </c>
      <c r="N344" s="10">
        <f t="shared" si="78"/>
        <v>0.5</v>
      </c>
      <c r="O344" s="10">
        <f t="shared" si="78"/>
        <v>0.25</v>
      </c>
      <c r="P344" s="10">
        <f t="shared" si="78"/>
        <v>0.25</v>
      </c>
      <c r="Q344" s="47">
        <f t="shared" si="76"/>
        <v>0</v>
      </c>
      <c r="R344" s="25">
        <f>IF(D344&gt;21,VLOOKUP(D344,Barem!$T$1:$U$141,2,1),0)</f>
        <v>0</v>
      </c>
      <c r="S344" s="25">
        <f>IF(D344&lt;1.609,0,IF(B344="F",VLOOKUP(I344,Barem!$X$2:$Z$13,2,1),VLOOKUP(I344,Barem!$X$14:$Z$25,2,1)))</f>
        <v>0</v>
      </c>
      <c r="T344" s="25">
        <f>VLOOKUP(A344,Participanti!A:C,3,0)</f>
        <v>0</v>
      </c>
      <c r="U344" s="20">
        <f t="shared" si="77"/>
        <v>3.125</v>
      </c>
      <c r="V344" s="76">
        <v>44654</v>
      </c>
      <c r="W344" s="101">
        <f>COUNTIFS(A:A,A344,C:C,C344)</f>
        <v>1</v>
      </c>
      <c r="X344" s="74" t="e">
        <f>VLOOKUP(A344,Data_echipe!A:R,18,0)</f>
        <v>#N/A</v>
      </c>
      <c r="Z344" s="106">
        <f t="shared" si="81"/>
        <v>1</v>
      </c>
    </row>
    <row r="345" spans="1:26" s="146" customFormat="1" ht="12.6" thickBot="1" x14ac:dyDescent="0.3">
      <c r="A345" s="130" t="s">
        <v>219</v>
      </c>
      <c r="B345" s="131" t="str">
        <f>VLOOKUP(A345,Participanti!A:B,2,0)</f>
        <v>M</v>
      </c>
      <c r="C345" s="132">
        <v>12</v>
      </c>
      <c r="D345" s="133">
        <v>19.84</v>
      </c>
      <c r="E345" s="134">
        <v>7.8229166666666669E-2</v>
      </c>
      <c r="F345" s="134">
        <v>7.8506944444444449E-2</v>
      </c>
      <c r="G345" s="135">
        <f t="shared" si="64"/>
        <v>7.8368055555555566E-2</v>
      </c>
      <c r="H345" s="136">
        <v>743</v>
      </c>
      <c r="I345" s="137">
        <f t="shared" si="74"/>
        <v>3.9500028001792122E-3</v>
      </c>
      <c r="J345" s="138">
        <f t="shared" si="75"/>
        <v>4.7238095238095239</v>
      </c>
      <c r="K345" s="138">
        <f>IF(J345=0,0,IF(B345="F",VLOOKUP(I345,Barem!$G$2:$H$11,2,1),VLOOKUP(I345,Barem!$G$12:$H$21,2,1)))</f>
        <v>1.5</v>
      </c>
      <c r="L345" s="133">
        <v>3.5</v>
      </c>
      <c r="M345" s="139" t="str">
        <f>VLOOKUP(C345,Barem!L:R,7,0)</f>
        <v>D</v>
      </c>
      <c r="N345" s="140">
        <f t="shared" si="78"/>
        <v>0.5</v>
      </c>
      <c r="O345" s="140">
        <f t="shared" si="78"/>
        <v>0.25</v>
      </c>
      <c r="P345" s="140">
        <f t="shared" si="78"/>
        <v>0.25</v>
      </c>
      <c r="Q345" s="141">
        <f t="shared" si="76"/>
        <v>0.49533333333333335</v>
      </c>
      <c r="R345" s="142">
        <f>IF(D345&gt;21,VLOOKUP(D345,Barem!$T$1:$U$141,2,1),0)</f>
        <v>0</v>
      </c>
      <c r="S345" s="142">
        <f>IF(D345&lt;1.609,0,IF(B345="F",VLOOKUP(I345,Barem!$X$2:$Z$13,2,1),VLOOKUP(I345,Barem!$X$14:$Z$25,2,1)))</f>
        <v>0</v>
      </c>
      <c r="T345" s="142">
        <f>VLOOKUP(A345,Participanti!A:C,3,0)</f>
        <v>0</v>
      </c>
      <c r="U345" s="143">
        <f t="shared" si="77"/>
        <v>4.1072380952380954</v>
      </c>
      <c r="V345" s="144">
        <v>44653</v>
      </c>
      <c r="W345" s="145">
        <f>COUNTIFS(A:A,A345,C:C,C345)</f>
        <v>1</v>
      </c>
      <c r="X345" s="131" t="str">
        <f>VLOOKUP(A345,Data_echipe!A:R,18,0)</f>
        <v>Road</v>
      </c>
      <c r="Z345" s="106">
        <f t="shared" si="81"/>
        <v>1</v>
      </c>
    </row>
    <row r="346" spans="1:26" x14ac:dyDescent="0.25">
      <c r="A346" s="61" t="s">
        <v>218</v>
      </c>
      <c r="B346" s="74" t="str">
        <f>VLOOKUP(A346,Participanti!A:B,2,0)</f>
        <v>M</v>
      </c>
      <c r="C346" s="98">
        <v>13</v>
      </c>
      <c r="D346" s="63">
        <v>27</v>
      </c>
      <c r="E346" s="64">
        <v>7.408564814814815E-2</v>
      </c>
      <c r="F346" s="64">
        <v>7.4444444444444438E-2</v>
      </c>
      <c r="G346" s="90">
        <f t="shared" si="64"/>
        <v>7.4265046296296294E-2</v>
      </c>
      <c r="H346" s="65">
        <v>266</v>
      </c>
      <c r="I346" s="13">
        <f t="shared" ref="I346" si="82">G346/D346</f>
        <v>2.7505572702331959E-3</v>
      </c>
      <c r="J346" s="84">
        <f t="shared" ref="J346" si="83">IF(B346="F",IF(D346&lt;2.5,0,IF(D346&gt;19.99,5,D346/4)),IF(D346&lt;3,0, IF(D346&gt;20.99,5,D346/4.2)))</f>
        <v>5</v>
      </c>
      <c r="K346" s="84">
        <f>IF(J346=0,0,IF(B346="F",VLOOKUP(I346,Barem!$G$2:$H$11,2,1),VLOOKUP(I346,Barem!$G$12:$H$21,2,1)))</f>
        <v>5</v>
      </c>
      <c r="L346" s="63">
        <v>3.5</v>
      </c>
      <c r="M346" s="149" t="s">
        <v>220</v>
      </c>
      <c r="N346" s="10">
        <f t="shared" si="78"/>
        <v>0.25</v>
      </c>
      <c r="O346" s="10">
        <f t="shared" si="78"/>
        <v>0.25</v>
      </c>
      <c r="P346" s="10">
        <f t="shared" si="78"/>
        <v>0.5</v>
      </c>
      <c r="Q346" s="47">
        <f t="shared" ref="Q346" si="84">IF(H346&gt;49,H346/1500,0)</f>
        <v>0.17733333333333334</v>
      </c>
      <c r="R346" s="25">
        <f>IF(D346&gt;21,VLOOKUP(D346,Barem!$T$1:$U$141,2,1),0)</f>
        <v>0.3</v>
      </c>
      <c r="S346" s="25">
        <f>IF(D346&lt;1.609,0,IF(B346="F",VLOOKUP(I346,Barem!$X$2:$Z$13,2,1),VLOOKUP(I346,Barem!$X$14:$Z$25,2,1)))</f>
        <v>0.15000000000000002</v>
      </c>
      <c r="T346" s="25">
        <f>VLOOKUP(A346,Participanti!A:C,3,0)</f>
        <v>0</v>
      </c>
      <c r="U346" s="20">
        <f t="shared" ref="U346" si="85">IF(H346&lt;0,0,J346*N346+K346*O346+L346*P346+Q346+R346+S346+T346)</f>
        <v>4.8773333333333335</v>
      </c>
      <c r="V346" s="76">
        <v>44656</v>
      </c>
      <c r="W346" s="101">
        <f>COUNTIFS(A:A,A346,C:C,C346)</f>
        <v>1</v>
      </c>
      <c r="X346" s="74" t="str">
        <f>VLOOKUP(A346,Data_echipe!A:R,18,0)</f>
        <v>Road</v>
      </c>
      <c r="Y346" s="22" t="s">
        <v>282</v>
      </c>
      <c r="Z346" s="106">
        <f t="shared" si="81"/>
        <v>1</v>
      </c>
    </row>
    <row r="347" spans="1:26" x14ac:dyDescent="0.25">
      <c r="A347" s="61" t="s">
        <v>50</v>
      </c>
      <c r="B347" s="74" t="str">
        <f>VLOOKUP(A347,Participanti!A:B,2,0)</f>
        <v>M</v>
      </c>
      <c r="C347" s="98">
        <v>13</v>
      </c>
      <c r="D347" s="63">
        <v>5</v>
      </c>
      <c r="E347" s="64">
        <v>1.3842592592592594E-2</v>
      </c>
      <c r="F347" s="64">
        <v>1.3842592592592594E-2</v>
      </c>
      <c r="G347" s="90">
        <f t="shared" ref="G347:G373" si="86">AVERAGE(E347:F347)</f>
        <v>1.3842592592592594E-2</v>
      </c>
      <c r="H347" s="65">
        <v>9</v>
      </c>
      <c r="I347" s="13">
        <f t="shared" ref="I347:I372" si="87">G347/D347</f>
        <v>2.7685185185185187E-3</v>
      </c>
      <c r="J347" s="84">
        <f t="shared" ref="J347:J372" si="88">IF(B347="F",IF(D347&lt;2.5,0,IF(D347&gt;19.99,5,D347/4)),IF(D347&lt;3,0, IF(D347&gt;20.99,5,D347/4.2)))</f>
        <v>1.1904761904761905</v>
      </c>
      <c r="K347" s="84">
        <f>IF(J347=0,0,IF(B347="F",VLOOKUP(I347,Barem!$G$2:$H$11,2,1),VLOOKUP(I347,Barem!$G$12:$H$21,2,1)))</f>
        <v>5</v>
      </c>
      <c r="L347" s="63">
        <v>3.75</v>
      </c>
      <c r="M347" s="62" t="str">
        <f>VLOOKUP(C347,Barem!L:R,7,0)</f>
        <v>V</v>
      </c>
      <c r="N347" s="10">
        <f t="shared" si="78"/>
        <v>0.25</v>
      </c>
      <c r="O347" s="10">
        <f t="shared" si="78"/>
        <v>0.5</v>
      </c>
      <c r="P347" s="10">
        <f t="shared" si="78"/>
        <v>0.25</v>
      </c>
      <c r="Q347" s="47">
        <f t="shared" ref="Q347:Q372" si="89">IF(H347&gt;49,H347/1500,0)</f>
        <v>0</v>
      </c>
      <c r="R347" s="25">
        <f>IF(D347&gt;21,VLOOKUP(D347,Barem!$T$1:$U$141,2,1),0)</f>
        <v>0</v>
      </c>
      <c r="S347" s="25">
        <f>IF(D347&lt;1.609,0,IF(B347="F",VLOOKUP(I347,Barem!$X$2:$Z$13,2,1),VLOOKUP(I347,Barem!$X$14:$Z$25,2,1)))</f>
        <v>0.15000000000000002</v>
      </c>
      <c r="T347" s="25">
        <f>VLOOKUP(A347,Participanti!A:C,3,0)</f>
        <v>0</v>
      </c>
      <c r="U347" s="20">
        <f t="shared" ref="U347:U372" si="90">IF(H347&lt;0,0,J347*N347+K347*O347+L347*P347+Q347+R347+S347+T347)</f>
        <v>3.8851190476190474</v>
      </c>
      <c r="V347" s="76">
        <v>44661</v>
      </c>
      <c r="W347" s="101">
        <f>COUNTIFS(A:A,A347,C:C,C347)</f>
        <v>1</v>
      </c>
      <c r="X347" s="74" t="str">
        <f>VLOOKUP(A347,Data_echipe!A:R,18,0)</f>
        <v>Trail</v>
      </c>
      <c r="Z347" s="106">
        <f t="shared" si="81"/>
        <v>1</v>
      </c>
    </row>
    <row r="348" spans="1:26" x14ac:dyDescent="0.25">
      <c r="A348" s="61" t="s">
        <v>110</v>
      </c>
      <c r="B348" s="74" t="str">
        <f>VLOOKUP(A348,Participanti!A:B,2,0)</f>
        <v>M</v>
      </c>
      <c r="C348" s="98">
        <v>13</v>
      </c>
      <c r="D348" s="63">
        <v>43</v>
      </c>
      <c r="E348" s="64">
        <v>0.20430555555555555</v>
      </c>
      <c r="F348" s="64">
        <v>0.20693287037037036</v>
      </c>
      <c r="G348" s="90">
        <f t="shared" si="86"/>
        <v>0.20561921296296296</v>
      </c>
      <c r="H348" s="65">
        <v>1541</v>
      </c>
      <c r="I348" s="13">
        <f t="shared" si="87"/>
        <v>4.7818421619293706E-3</v>
      </c>
      <c r="J348" s="84">
        <f t="shared" si="88"/>
        <v>5</v>
      </c>
      <c r="K348" s="84">
        <f>IF(J348=0,0,IF(B348="F",VLOOKUP(I348,Barem!$G$2:$H$11,2,1),VLOOKUP(I348,Barem!$G$12:$H$21,2,1)))</f>
        <v>1</v>
      </c>
      <c r="L348" s="63">
        <v>4.25</v>
      </c>
      <c r="M348" s="149" t="s">
        <v>220</v>
      </c>
      <c r="N348" s="10">
        <f t="shared" ref="N348:P374" si="91">IF($M348=N$1,50%,25%)</f>
        <v>0.25</v>
      </c>
      <c r="O348" s="10">
        <f t="shared" si="91"/>
        <v>0.25</v>
      </c>
      <c r="P348" s="10">
        <f t="shared" si="91"/>
        <v>0.5</v>
      </c>
      <c r="Q348" s="47">
        <f t="shared" si="89"/>
        <v>1.0273333333333334</v>
      </c>
      <c r="R348" s="25">
        <f>IF(D348&gt;21,VLOOKUP(D348,Barem!$T$1:$U$141,2,1),0)</f>
        <v>1.1000000000000001</v>
      </c>
      <c r="S348" s="25">
        <f>IF(D348&lt;1.609,0,IF(B348="F",VLOOKUP(I348,Barem!$X$2:$Z$13,2,1),VLOOKUP(I348,Barem!$X$14:$Z$25,2,1)))</f>
        <v>0</v>
      </c>
      <c r="T348" s="25">
        <f>VLOOKUP(A348,Participanti!A:C,3,0)</f>
        <v>0</v>
      </c>
      <c r="U348" s="20">
        <f t="shared" si="90"/>
        <v>5.7523333333333326</v>
      </c>
      <c r="V348" s="76">
        <v>44660</v>
      </c>
      <c r="W348" s="101">
        <f>COUNTIFS(A:A,A348,C:C,C348)</f>
        <v>1</v>
      </c>
      <c r="X348" s="74" t="str">
        <f>VLOOKUP(A348,Data_echipe!A:R,18,0)</f>
        <v>Road</v>
      </c>
      <c r="Y348" s="22" t="s">
        <v>283</v>
      </c>
      <c r="Z348" s="106">
        <f t="shared" si="81"/>
        <v>1</v>
      </c>
    </row>
    <row r="349" spans="1:26" x14ac:dyDescent="0.25">
      <c r="A349" s="61" t="s">
        <v>141</v>
      </c>
      <c r="B349" s="74" t="str">
        <f>VLOOKUP(A349,Participanti!A:B,2,0)</f>
        <v>F</v>
      </c>
      <c r="C349" s="98">
        <v>13</v>
      </c>
      <c r="D349" s="63">
        <v>30.39</v>
      </c>
      <c r="E349" s="64">
        <v>0.11082175925925926</v>
      </c>
      <c r="F349" s="64">
        <v>0.11243055555555555</v>
      </c>
      <c r="G349" s="90">
        <f t="shared" si="86"/>
        <v>0.1116261574074074</v>
      </c>
      <c r="H349" s="65">
        <v>80</v>
      </c>
      <c r="I349" s="13">
        <f t="shared" si="87"/>
        <v>3.673121336209523E-3</v>
      </c>
      <c r="J349" s="84">
        <f t="shared" si="88"/>
        <v>5</v>
      </c>
      <c r="K349" s="84">
        <f>IF(J349=0,0,IF(B349="F",VLOOKUP(I349,Barem!$G$2:$H$11,2,1),VLOOKUP(I349,Barem!$G$12:$H$21,2,1)))</f>
        <v>3</v>
      </c>
      <c r="L349" s="63">
        <v>3</v>
      </c>
      <c r="M349" s="149" t="s">
        <v>108</v>
      </c>
      <c r="N349" s="10">
        <f t="shared" si="91"/>
        <v>0.5</v>
      </c>
      <c r="O349" s="10">
        <f t="shared" si="91"/>
        <v>0.25</v>
      </c>
      <c r="P349" s="10">
        <f t="shared" si="91"/>
        <v>0.25</v>
      </c>
      <c r="Q349" s="47">
        <f t="shared" si="89"/>
        <v>5.3333333333333337E-2</v>
      </c>
      <c r="R349" s="25">
        <f>IF(D349&gt;21,VLOOKUP(D349,Barem!$T$1:$U$141,2,1),0)</f>
        <v>0.4</v>
      </c>
      <c r="S349" s="25">
        <f>IF(D349&lt;1.609,0,IF(B349="F",VLOOKUP(I349,Barem!$X$2:$Z$13,2,1),VLOOKUP(I349,Barem!$X$14:$Z$25,2,1)))</f>
        <v>0</v>
      </c>
      <c r="T349" s="25">
        <f>VLOOKUP(A349,Participanti!A:C,3,0)</f>
        <v>0</v>
      </c>
      <c r="U349" s="20">
        <f t="shared" si="90"/>
        <v>4.453333333333334</v>
      </c>
      <c r="V349" s="76">
        <v>44661</v>
      </c>
      <c r="W349" s="101">
        <f>COUNTIFS(A:A,A349,C:C,C349)</f>
        <v>1</v>
      </c>
      <c r="X349" s="74" t="str">
        <f>VLOOKUP(A349,Data_echipe!A:R,18,0)</f>
        <v>Trail</v>
      </c>
      <c r="Z349" s="106">
        <f t="shared" si="81"/>
        <v>1</v>
      </c>
    </row>
    <row r="350" spans="1:26" x14ac:dyDescent="0.25">
      <c r="A350" s="61" t="s">
        <v>254</v>
      </c>
      <c r="B350" s="74" t="str">
        <f>VLOOKUP(A350,Participanti!A:B,2,0)</f>
        <v>M</v>
      </c>
      <c r="C350" s="98">
        <v>13</v>
      </c>
      <c r="D350" s="63">
        <v>26.16</v>
      </c>
      <c r="E350" s="64">
        <v>0.13218749999999999</v>
      </c>
      <c r="F350" s="64">
        <v>0.13577546296296297</v>
      </c>
      <c r="G350" s="90">
        <f t="shared" si="86"/>
        <v>0.13398148148148148</v>
      </c>
      <c r="H350" s="65">
        <v>982</v>
      </c>
      <c r="I350" s="13">
        <f t="shared" si="87"/>
        <v>5.1216162645826256E-3</v>
      </c>
      <c r="J350" s="84">
        <f t="shared" si="88"/>
        <v>5</v>
      </c>
      <c r="K350" s="84">
        <f>IF(J350=0,0,IF(B350="F",VLOOKUP(I350,Barem!$G$2:$H$11,2,1),VLOOKUP(I350,Barem!$G$12:$H$21,2,1)))</f>
        <v>1</v>
      </c>
      <c r="L350" s="63">
        <v>4</v>
      </c>
      <c r="M350" s="149" t="s">
        <v>220</v>
      </c>
      <c r="N350" s="10">
        <f t="shared" si="91"/>
        <v>0.25</v>
      </c>
      <c r="O350" s="10">
        <f t="shared" si="91"/>
        <v>0.25</v>
      </c>
      <c r="P350" s="10">
        <f t="shared" si="91"/>
        <v>0.5</v>
      </c>
      <c r="Q350" s="47">
        <f t="shared" si="89"/>
        <v>0.65466666666666662</v>
      </c>
      <c r="R350" s="25">
        <f>IF(D350&gt;21,VLOOKUP(D350,Barem!$T$1:$U$141,2,1),0)</f>
        <v>0.2</v>
      </c>
      <c r="S350" s="25">
        <f>IF(D350&lt;1.609,0,IF(B350="F",VLOOKUP(I350,Barem!$X$2:$Z$13,2,1),VLOOKUP(I350,Barem!$X$14:$Z$25,2,1)))</f>
        <v>0</v>
      </c>
      <c r="T350" s="25">
        <f>VLOOKUP(A350,Participanti!A:C,3,0)</f>
        <v>0</v>
      </c>
      <c r="U350" s="20">
        <f t="shared" si="90"/>
        <v>4.3546666666666667</v>
      </c>
      <c r="V350" s="76">
        <v>44656</v>
      </c>
      <c r="W350" s="101">
        <f>COUNTIFS(A:A,A350,C:C,C350)</f>
        <v>1</v>
      </c>
      <c r="X350" s="74" t="str">
        <f>VLOOKUP(A350,Data_echipe!A:R,18,0)</f>
        <v>Trail</v>
      </c>
      <c r="Z350" s="106">
        <f t="shared" si="81"/>
        <v>1</v>
      </c>
    </row>
    <row r="351" spans="1:26" x14ac:dyDescent="0.25">
      <c r="A351" s="61" t="s">
        <v>117</v>
      </c>
      <c r="B351" s="74" t="str">
        <f>VLOOKUP(A351,Participanti!A:B,2,0)</f>
        <v>M</v>
      </c>
      <c r="C351" s="98">
        <v>13</v>
      </c>
      <c r="D351" s="63">
        <v>42.61</v>
      </c>
      <c r="E351" s="64">
        <v>0.22750000000000001</v>
      </c>
      <c r="F351" s="64">
        <v>0.27304398148148151</v>
      </c>
      <c r="G351" s="90">
        <f t="shared" si="86"/>
        <v>0.25027199074074075</v>
      </c>
      <c r="H351" s="65">
        <v>1320</v>
      </c>
      <c r="I351" s="13">
        <f t="shared" si="87"/>
        <v>5.8735505923665984E-3</v>
      </c>
      <c r="J351" s="84">
        <f t="shared" si="88"/>
        <v>5</v>
      </c>
      <c r="K351" s="84">
        <f>IF(J351=0,0,IF(B351="F",VLOOKUP(I351,Barem!$G$2:$H$11,2,1),VLOOKUP(I351,Barem!$G$12:$H$21,2,1)))</f>
        <v>0</v>
      </c>
      <c r="L351" s="63">
        <v>4</v>
      </c>
      <c r="M351" s="149" t="s">
        <v>220</v>
      </c>
      <c r="N351" s="10">
        <f t="shared" si="91"/>
        <v>0.25</v>
      </c>
      <c r="O351" s="10">
        <f t="shared" si="91"/>
        <v>0.25</v>
      </c>
      <c r="P351" s="10">
        <f t="shared" si="91"/>
        <v>0.5</v>
      </c>
      <c r="Q351" s="47">
        <f t="shared" si="89"/>
        <v>0.88</v>
      </c>
      <c r="R351" s="25">
        <f>IF(D351&gt;21,VLOOKUP(D351,Barem!$T$1:$U$141,2,1),0)</f>
        <v>1</v>
      </c>
      <c r="S351" s="25">
        <f>IF(D351&lt;1.609,0,IF(B351="F",VLOOKUP(I351,Barem!$X$2:$Z$13,2,1),VLOOKUP(I351,Barem!$X$14:$Z$25,2,1)))</f>
        <v>0</v>
      </c>
      <c r="T351" s="25">
        <f>VLOOKUP(A351,Participanti!A:C,3,0)</f>
        <v>0</v>
      </c>
      <c r="U351" s="20">
        <f t="shared" si="90"/>
        <v>5.13</v>
      </c>
      <c r="V351" s="76">
        <v>44660</v>
      </c>
      <c r="W351" s="101">
        <f>COUNTIFS(A:A,A351,C:C,C351)</f>
        <v>1</v>
      </c>
      <c r="X351" s="74" t="str">
        <f>VLOOKUP(A351,Data_echipe!A:R,18,0)</f>
        <v>Trail</v>
      </c>
      <c r="Y351" s="22" t="s">
        <v>283</v>
      </c>
      <c r="Z351" s="106">
        <f t="shared" si="81"/>
        <v>0</v>
      </c>
    </row>
    <row r="352" spans="1:26" x14ac:dyDescent="0.25">
      <c r="A352" s="61" t="s">
        <v>216</v>
      </c>
      <c r="B352" s="74" t="str">
        <f>VLOOKUP(A352,Participanti!A:B,2,0)</f>
        <v>M</v>
      </c>
      <c r="C352" s="98">
        <v>13</v>
      </c>
      <c r="D352" s="63">
        <v>7.77</v>
      </c>
      <c r="E352" s="64">
        <v>2.8773148148148145E-2</v>
      </c>
      <c r="F352" s="64">
        <v>2.9826388888888892E-2</v>
      </c>
      <c r="G352" s="90">
        <f t="shared" si="86"/>
        <v>2.9299768518518517E-2</v>
      </c>
      <c r="H352" s="65">
        <v>14</v>
      </c>
      <c r="I352" s="13">
        <f t="shared" si="87"/>
        <v>3.7708839792173123E-3</v>
      </c>
      <c r="J352" s="84">
        <f t="shared" si="88"/>
        <v>1.8499999999999999</v>
      </c>
      <c r="K352" s="84">
        <f>IF(J352=0,0,IF(B352="F",VLOOKUP(I352,Barem!$G$2:$H$11,2,1),VLOOKUP(I352,Barem!$G$12:$H$21,2,1)))</f>
        <v>2</v>
      </c>
      <c r="L352" s="63">
        <v>1.25</v>
      </c>
      <c r="M352" s="62" t="str">
        <f>VLOOKUP(C352,Barem!L:R,7,0)</f>
        <v>V</v>
      </c>
      <c r="N352" s="10">
        <f t="shared" si="91"/>
        <v>0.25</v>
      </c>
      <c r="O352" s="10">
        <f t="shared" si="91"/>
        <v>0.5</v>
      </c>
      <c r="P352" s="10">
        <f t="shared" si="91"/>
        <v>0.25</v>
      </c>
      <c r="Q352" s="47">
        <f t="shared" si="89"/>
        <v>0</v>
      </c>
      <c r="R352" s="25">
        <f>IF(D352&gt;21,VLOOKUP(D352,Barem!$T$1:$U$141,2,1),0)</f>
        <v>0</v>
      </c>
      <c r="S352" s="25">
        <f>IF(D352&lt;1.609,0,IF(B352="F",VLOOKUP(I352,Barem!$X$2:$Z$13,2,1),VLOOKUP(I352,Barem!$X$14:$Z$25,2,1)))</f>
        <v>0</v>
      </c>
      <c r="T352" s="25">
        <f>VLOOKUP(A352,Participanti!A:C,3,0)</f>
        <v>0</v>
      </c>
      <c r="U352" s="20">
        <f t="shared" si="90"/>
        <v>1.7749999999999999</v>
      </c>
      <c r="V352" s="76">
        <v>44656</v>
      </c>
      <c r="W352" s="101">
        <f>COUNTIFS(A:A,A352,C:C,C352)</f>
        <v>1</v>
      </c>
      <c r="X352" s="74" t="str">
        <f>VLOOKUP(A352,Data_echipe!A:R,18,0)</f>
        <v>Road</v>
      </c>
      <c r="Z352" s="106">
        <f t="shared" si="81"/>
        <v>1</v>
      </c>
    </row>
    <row r="353" spans="1:26" x14ac:dyDescent="0.25">
      <c r="A353" s="61" t="s">
        <v>255</v>
      </c>
      <c r="B353" s="74" t="str">
        <f>VLOOKUP(A353,Participanti!A:B,2,0)</f>
        <v>F</v>
      </c>
      <c r="C353" s="98">
        <v>13</v>
      </c>
      <c r="D353" s="63">
        <v>15.09</v>
      </c>
      <c r="E353" s="64">
        <v>6.4270833333333333E-2</v>
      </c>
      <c r="F353" s="64">
        <v>6.7662037037037034E-2</v>
      </c>
      <c r="G353" s="90">
        <f t="shared" si="86"/>
        <v>6.596643518518519E-2</v>
      </c>
      <c r="H353" s="65">
        <v>350</v>
      </c>
      <c r="I353" s="13">
        <f t="shared" si="87"/>
        <v>4.3715331467982232E-3</v>
      </c>
      <c r="J353" s="84">
        <f t="shared" si="88"/>
        <v>3.7725</v>
      </c>
      <c r="K353" s="84">
        <f>IF(J353=0,0,IF(B353="F",VLOOKUP(I353,Barem!$G$2:$H$11,2,1),VLOOKUP(I353,Barem!$G$12:$H$21,2,1)))</f>
        <v>1.5</v>
      </c>
      <c r="L353" s="63">
        <v>3.5</v>
      </c>
      <c r="M353" s="149" t="s">
        <v>108</v>
      </c>
      <c r="N353" s="10">
        <f t="shared" si="91"/>
        <v>0.5</v>
      </c>
      <c r="O353" s="10">
        <f t="shared" si="91"/>
        <v>0.25</v>
      </c>
      <c r="P353" s="10">
        <f t="shared" si="91"/>
        <v>0.25</v>
      </c>
      <c r="Q353" s="47">
        <f t="shared" si="89"/>
        <v>0.23333333333333334</v>
      </c>
      <c r="R353" s="25">
        <f>IF(D353&gt;21,VLOOKUP(D353,Barem!$T$1:$U$141,2,1),0)</f>
        <v>0</v>
      </c>
      <c r="S353" s="25">
        <f>IF(D353&lt;1.609,0,IF(B353="F",VLOOKUP(I353,Barem!$X$2:$Z$13,2,1),VLOOKUP(I353,Barem!$X$14:$Z$25,2,1)))</f>
        <v>0</v>
      </c>
      <c r="T353" s="25">
        <f>VLOOKUP(A353,Participanti!A:C,3,0)</f>
        <v>0</v>
      </c>
      <c r="U353" s="20">
        <f t="shared" si="90"/>
        <v>3.3695833333333334</v>
      </c>
      <c r="V353" s="76">
        <v>44660</v>
      </c>
      <c r="W353" s="101">
        <f>COUNTIFS(A:A,A353,C:C,C353)</f>
        <v>1</v>
      </c>
      <c r="X353" s="74" t="str">
        <f>VLOOKUP(A353,Data_echipe!A:R,18,0)</f>
        <v>Trail</v>
      </c>
      <c r="Z353" s="106">
        <f t="shared" si="81"/>
        <v>1</v>
      </c>
    </row>
    <row r="354" spans="1:26" x14ac:dyDescent="0.25">
      <c r="A354" s="61" t="s">
        <v>57</v>
      </c>
      <c r="B354" s="74" t="str">
        <f>VLOOKUP(A354,Participanti!A:B,2,0)</f>
        <v>M</v>
      </c>
      <c r="C354" s="98">
        <v>13</v>
      </c>
      <c r="D354" s="63">
        <v>5</v>
      </c>
      <c r="E354" s="64">
        <v>1.5613425925925926E-2</v>
      </c>
      <c r="F354" s="64">
        <v>1.5613425925925926E-2</v>
      </c>
      <c r="G354" s="90">
        <f t="shared" si="86"/>
        <v>1.5613425925925926E-2</v>
      </c>
      <c r="H354" s="65">
        <v>0</v>
      </c>
      <c r="I354" s="13">
        <f t="shared" si="87"/>
        <v>3.1226851851851854E-3</v>
      </c>
      <c r="J354" s="84">
        <f t="shared" si="88"/>
        <v>1.1904761904761905</v>
      </c>
      <c r="K354" s="84">
        <f>IF(J354=0,0,IF(B354="F",VLOOKUP(I354,Barem!$G$2:$H$11,2,1),VLOOKUP(I354,Barem!$G$12:$H$21,2,1)))</f>
        <v>4</v>
      </c>
      <c r="L354" s="63">
        <v>3.75</v>
      </c>
      <c r="M354" s="62" t="str">
        <f>VLOOKUP(C354,Barem!L:R,7,0)</f>
        <v>V</v>
      </c>
      <c r="N354" s="10">
        <f t="shared" si="91"/>
        <v>0.25</v>
      </c>
      <c r="O354" s="10">
        <f t="shared" si="91"/>
        <v>0.5</v>
      </c>
      <c r="P354" s="10">
        <f t="shared" si="91"/>
        <v>0.25</v>
      </c>
      <c r="Q354" s="47">
        <f t="shared" si="89"/>
        <v>0</v>
      </c>
      <c r="R354" s="25">
        <f>IF(D354&gt;21,VLOOKUP(D354,Barem!$T$1:$U$141,2,1),0)</f>
        <v>0</v>
      </c>
      <c r="S354" s="25">
        <f>IF(D354&lt;1.609,0,IF(B354="F",VLOOKUP(I354,Barem!$X$2:$Z$13,2,1),VLOOKUP(I354,Barem!$X$14:$Z$25,2,1)))</f>
        <v>0</v>
      </c>
      <c r="T354" s="25">
        <f>VLOOKUP(A354,Participanti!A:C,3,0)</f>
        <v>0</v>
      </c>
      <c r="U354" s="20">
        <f t="shared" si="90"/>
        <v>3.2351190476190474</v>
      </c>
      <c r="V354" s="76">
        <v>44660</v>
      </c>
      <c r="W354" s="101">
        <f>COUNTIFS(A:A,A354,C:C,C354)</f>
        <v>1</v>
      </c>
      <c r="X354" s="74" t="str">
        <f>VLOOKUP(A354,Data_echipe!A:R,18,0)</f>
        <v>Trail</v>
      </c>
      <c r="Z354" s="106">
        <f t="shared" si="81"/>
        <v>1</v>
      </c>
    </row>
    <row r="355" spans="1:26" x14ac:dyDescent="0.25">
      <c r="A355" s="61" t="s">
        <v>49</v>
      </c>
      <c r="B355" s="74" t="str">
        <f>VLOOKUP(A355,Participanti!A:B,2,0)</f>
        <v>M</v>
      </c>
      <c r="C355" s="98">
        <v>13</v>
      </c>
      <c r="D355" s="63">
        <v>8.1199999999999992</v>
      </c>
      <c r="E355" s="64">
        <v>3.0324074074074073E-2</v>
      </c>
      <c r="F355" s="64">
        <v>3.2719907407407406E-2</v>
      </c>
      <c r="G355" s="90">
        <f t="shared" si="86"/>
        <v>3.1521990740740739E-2</v>
      </c>
      <c r="H355" s="65">
        <v>15</v>
      </c>
      <c r="I355" s="13">
        <f t="shared" si="87"/>
        <v>3.8820185641306334E-3</v>
      </c>
      <c r="J355" s="84">
        <f t="shared" si="88"/>
        <v>1.9333333333333331</v>
      </c>
      <c r="K355" s="84">
        <f>IF(J355=0,0,IF(B355="F",VLOOKUP(I355,Barem!$G$2:$H$11,2,1),VLOOKUP(I355,Barem!$G$12:$H$21,2,1)))</f>
        <v>1.5</v>
      </c>
      <c r="L355" s="63">
        <v>3.5</v>
      </c>
      <c r="M355" s="62" t="str">
        <f>VLOOKUP(C355,Barem!L:R,7,0)</f>
        <v>V</v>
      </c>
      <c r="N355" s="10">
        <f t="shared" si="91"/>
        <v>0.25</v>
      </c>
      <c r="O355" s="10">
        <f t="shared" si="91"/>
        <v>0.5</v>
      </c>
      <c r="P355" s="10">
        <f t="shared" si="91"/>
        <v>0.25</v>
      </c>
      <c r="Q355" s="47">
        <f t="shared" si="89"/>
        <v>0</v>
      </c>
      <c r="R355" s="25">
        <f>IF(D355&gt;21,VLOOKUP(D355,Barem!$T$1:$U$141,2,1),0)</f>
        <v>0</v>
      </c>
      <c r="S355" s="25">
        <f>IF(D355&lt;1.609,0,IF(B355="F",VLOOKUP(I355,Barem!$X$2:$Z$13,2,1),VLOOKUP(I355,Barem!$X$14:$Z$25,2,1)))</f>
        <v>0</v>
      </c>
      <c r="T355" s="25">
        <f>VLOOKUP(A355,Participanti!A:C,3,0)</f>
        <v>0.4</v>
      </c>
      <c r="U355" s="20">
        <f t="shared" si="90"/>
        <v>2.5083333333333333</v>
      </c>
      <c r="V355" s="76">
        <v>44657</v>
      </c>
      <c r="W355" s="101">
        <f>COUNTIFS(A:A,A355,C:C,C355)</f>
        <v>1</v>
      </c>
      <c r="X355" s="74" t="str">
        <f>VLOOKUP(A355,Data_echipe!A:R,18,0)</f>
        <v>Road</v>
      </c>
      <c r="Y355" s="22" t="s">
        <v>284</v>
      </c>
      <c r="Z355" s="106">
        <f t="shared" si="81"/>
        <v>1</v>
      </c>
    </row>
    <row r="356" spans="1:26" x14ac:dyDescent="0.25">
      <c r="A356" s="61" t="s">
        <v>257</v>
      </c>
      <c r="B356" s="74" t="str">
        <f>VLOOKUP(A356,Participanti!A:B,2,0)</f>
        <v>M</v>
      </c>
      <c r="C356" s="98">
        <v>13</v>
      </c>
      <c r="D356" s="63">
        <v>21.06</v>
      </c>
      <c r="E356" s="64">
        <v>8.3564814814814814E-2</v>
      </c>
      <c r="F356" s="64">
        <v>8.6770833333333339E-2</v>
      </c>
      <c r="G356" s="90">
        <f t="shared" si="86"/>
        <v>8.5167824074074083E-2</v>
      </c>
      <c r="H356" s="65">
        <v>116</v>
      </c>
      <c r="I356" s="13">
        <f t="shared" si="87"/>
        <v>4.0440562238401754E-3</v>
      </c>
      <c r="J356" s="84">
        <f t="shared" si="88"/>
        <v>5</v>
      </c>
      <c r="K356" s="84">
        <f>IF(J356=0,0,IF(B356="F",VLOOKUP(I356,Barem!$G$2:$H$11,2,1),VLOOKUP(I356,Barem!$G$12:$H$21,2,1)))</f>
        <v>1.5</v>
      </c>
      <c r="L356" s="63">
        <v>2.5</v>
      </c>
      <c r="M356" s="149" t="s">
        <v>220</v>
      </c>
      <c r="N356" s="10">
        <f t="shared" si="91"/>
        <v>0.25</v>
      </c>
      <c r="O356" s="10">
        <f t="shared" si="91"/>
        <v>0.25</v>
      </c>
      <c r="P356" s="10">
        <f t="shared" si="91"/>
        <v>0.5</v>
      </c>
      <c r="Q356" s="47">
        <f t="shared" si="89"/>
        <v>7.7333333333333337E-2</v>
      </c>
      <c r="R356" s="25">
        <f>IF(D356&gt;21,VLOOKUP(D356,Barem!$T$1:$U$141,2,1),0)</f>
        <v>0</v>
      </c>
      <c r="S356" s="25">
        <f>IF(D356&lt;1.609,0,IF(B356="F",VLOOKUP(I356,Barem!$X$2:$Z$13,2,1),VLOOKUP(I356,Barem!$X$14:$Z$25,2,1)))</f>
        <v>0</v>
      </c>
      <c r="T356" s="25">
        <f>VLOOKUP(A356,Participanti!A:C,3,0)</f>
        <v>0</v>
      </c>
      <c r="U356" s="20">
        <f t="shared" si="90"/>
        <v>2.9523333333333333</v>
      </c>
      <c r="V356" s="76">
        <v>44661</v>
      </c>
      <c r="W356" s="101">
        <f>COUNTIFS(A:A,A356,C:C,C356)</f>
        <v>1</v>
      </c>
      <c r="X356" s="74" t="str">
        <f>VLOOKUP(A356,Data_echipe!A:R,18,0)</f>
        <v>Road</v>
      </c>
      <c r="Z356" s="106">
        <f t="shared" si="81"/>
        <v>1</v>
      </c>
    </row>
    <row r="357" spans="1:26" x14ac:dyDescent="0.25">
      <c r="A357" s="61" t="s">
        <v>256</v>
      </c>
      <c r="B357" s="74" t="str">
        <f>VLOOKUP(A357,Participanti!A:B,2,0)</f>
        <v>M</v>
      </c>
      <c r="C357" s="98">
        <v>13</v>
      </c>
      <c r="D357" s="63">
        <v>115.13</v>
      </c>
      <c r="E357" s="64">
        <v>0.48945601851851855</v>
      </c>
      <c r="F357" s="64">
        <v>0.5</v>
      </c>
      <c r="G357" s="90">
        <f t="shared" si="86"/>
        <v>0.4947280092592593</v>
      </c>
      <c r="H357" s="65">
        <v>29</v>
      </c>
      <c r="I357" s="13">
        <f t="shared" si="87"/>
        <v>4.2971250695670923E-3</v>
      </c>
      <c r="J357" s="84">
        <f t="shared" si="88"/>
        <v>5</v>
      </c>
      <c r="K357" s="84">
        <f>IF(J357=0,0,IF(B357="F",VLOOKUP(I357,Barem!$G$2:$H$11,2,1),VLOOKUP(I357,Barem!$G$12:$H$21,2,1)))</f>
        <v>1</v>
      </c>
      <c r="L357" s="63">
        <v>1.5</v>
      </c>
      <c r="M357" s="62" t="str">
        <f>VLOOKUP(C357,Barem!L:R,7,0)</f>
        <v>V</v>
      </c>
      <c r="N357" s="10">
        <f t="shared" si="91"/>
        <v>0.25</v>
      </c>
      <c r="O357" s="10">
        <f t="shared" si="91"/>
        <v>0.5</v>
      </c>
      <c r="P357" s="10">
        <f t="shared" si="91"/>
        <v>0.25</v>
      </c>
      <c r="Q357" s="47">
        <f t="shared" si="89"/>
        <v>0</v>
      </c>
      <c r="R357" s="25">
        <f>IF(D357&gt;21,VLOOKUP(D357,Barem!$T$1:$U$141,2,1),0)</f>
        <v>4.3</v>
      </c>
      <c r="S357" s="25">
        <f>IF(D357&lt;1.609,0,IF(B357="F",VLOOKUP(I357,Barem!$X$2:$Z$13,2,1),VLOOKUP(I357,Barem!$X$14:$Z$25,2,1)))</f>
        <v>0</v>
      </c>
      <c r="T357" s="25">
        <f>VLOOKUP(A357,Participanti!A:C,3,0)</f>
        <v>0</v>
      </c>
      <c r="U357" s="20">
        <f t="shared" si="90"/>
        <v>6.4249999999999998</v>
      </c>
      <c r="V357" s="76">
        <v>44661</v>
      </c>
      <c r="W357" s="101">
        <f>COUNTIFS(A:A,A357,C:C,C357)</f>
        <v>1</v>
      </c>
      <c r="X357" s="74" t="str">
        <f>VLOOKUP(A357,Data_echipe!A:R,18,0)</f>
        <v>Road</v>
      </c>
      <c r="Y357" s="22" t="s">
        <v>285</v>
      </c>
      <c r="Z357" s="106">
        <f t="shared" si="81"/>
        <v>1</v>
      </c>
    </row>
    <row r="358" spans="1:26" x14ac:dyDescent="0.25">
      <c r="A358" s="61" t="s">
        <v>215</v>
      </c>
      <c r="B358" s="74" t="str">
        <f>VLOOKUP(A358,Participanti!A:B,2,0)</f>
        <v>M</v>
      </c>
      <c r="C358" s="98">
        <v>13</v>
      </c>
      <c r="D358" s="63">
        <v>30.01</v>
      </c>
      <c r="E358" s="64">
        <v>0.11200231481481482</v>
      </c>
      <c r="F358" s="64">
        <v>0.11236111111111112</v>
      </c>
      <c r="G358" s="90">
        <f t="shared" si="86"/>
        <v>0.11218171296296298</v>
      </c>
      <c r="H358" s="65">
        <v>73</v>
      </c>
      <c r="I358" s="13">
        <f t="shared" si="87"/>
        <v>3.7381443839707754E-3</v>
      </c>
      <c r="J358" s="84">
        <f t="shared" si="88"/>
        <v>5</v>
      </c>
      <c r="K358" s="84">
        <f>IF(J358=0,0,IF(B358="F",VLOOKUP(I358,Barem!$G$2:$H$11,2,1),VLOOKUP(I358,Barem!$G$12:$H$21,2,1)))</f>
        <v>2</v>
      </c>
      <c r="L358" s="63">
        <v>2.5</v>
      </c>
      <c r="M358" s="149" t="s">
        <v>108</v>
      </c>
      <c r="N358" s="10">
        <f t="shared" si="91"/>
        <v>0.5</v>
      </c>
      <c r="O358" s="10">
        <f t="shared" si="91"/>
        <v>0.25</v>
      </c>
      <c r="P358" s="10">
        <f t="shared" si="91"/>
        <v>0.25</v>
      </c>
      <c r="Q358" s="47">
        <f t="shared" si="89"/>
        <v>4.8666666666666664E-2</v>
      </c>
      <c r="R358" s="25">
        <f>IF(D358&gt;21,VLOOKUP(D358,Barem!$T$1:$U$141,2,1),0)</f>
        <v>0.4</v>
      </c>
      <c r="S358" s="25">
        <f>IF(D358&lt;1.609,0,IF(B358="F",VLOOKUP(I358,Barem!$X$2:$Z$13,2,1),VLOOKUP(I358,Barem!$X$14:$Z$25,2,1)))</f>
        <v>0</v>
      </c>
      <c r="T358" s="25">
        <f>VLOOKUP(A358,Participanti!A:C,3,0)</f>
        <v>0</v>
      </c>
      <c r="U358" s="20">
        <f t="shared" si="90"/>
        <v>4.073666666666667</v>
      </c>
      <c r="V358" s="76">
        <v>44661</v>
      </c>
      <c r="W358" s="101">
        <f>COUNTIFS(A:A,A358,C:C,C358)</f>
        <v>1</v>
      </c>
      <c r="X358" s="74" t="str">
        <f>VLOOKUP(A358,Data_echipe!A:R,18,0)</f>
        <v>Trail</v>
      </c>
      <c r="Z358" s="106">
        <f t="shared" si="81"/>
        <v>1</v>
      </c>
    </row>
    <row r="359" spans="1:26" x14ac:dyDescent="0.25">
      <c r="A359" s="61" t="s">
        <v>185</v>
      </c>
      <c r="B359" s="74" t="str">
        <f>VLOOKUP(A359,Participanti!A:B,2,0)</f>
        <v>F</v>
      </c>
      <c r="C359" s="98">
        <v>13</v>
      </c>
      <c r="D359" s="63">
        <v>22.55</v>
      </c>
      <c r="E359" s="64">
        <v>9.8460648148148144E-2</v>
      </c>
      <c r="F359" s="64">
        <v>0.10513888888888889</v>
      </c>
      <c r="G359" s="90">
        <f t="shared" si="86"/>
        <v>0.10179976851851852</v>
      </c>
      <c r="H359" s="65">
        <v>21</v>
      </c>
      <c r="I359" s="13">
        <f t="shared" si="87"/>
        <v>4.5144021515972736E-3</v>
      </c>
      <c r="J359" s="84">
        <f t="shared" si="88"/>
        <v>5</v>
      </c>
      <c r="K359" s="84">
        <f>IF(J359=0,0,IF(B359="F",VLOOKUP(I359,Barem!$G$2:$H$11,2,1),VLOOKUP(I359,Barem!$G$12:$H$21,2,1)))</f>
        <v>1.5</v>
      </c>
      <c r="L359" s="63">
        <v>3.75</v>
      </c>
      <c r="M359" s="149" t="s">
        <v>108</v>
      </c>
      <c r="N359" s="10">
        <f t="shared" si="91"/>
        <v>0.5</v>
      </c>
      <c r="O359" s="10">
        <f t="shared" si="91"/>
        <v>0.25</v>
      </c>
      <c r="P359" s="10">
        <f t="shared" si="91"/>
        <v>0.25</v>
      </c>
      <c r="Q359" s="47">
        <f t="shared" si="89"/>
        <v>0</v>
      </c>
      <c r="R359" s="25">
        <f>IF(D359&gt;21,VLOOKUP(D359,Barem!$T$1:$U$141,2,1),0)</f>
        <v>0</v>
      </c>
      <c r="S359" s="25">
        <f>IF(D359&lt;1.609,0,IF(B359="F",VLOOKUP(I359,Barem!$X$2:$Z$13,2,1),VLOOKUP(I359,Barem!$X$14:$Z$25,2,1)))</f>
        <v>0</v>
      </c>
      <c r="T359" s="25">
        <f>VLOOKUP(A359,Participanti!A:C,3,0)</f>
        <v>0</v>
      </c>
      <c r="U359" s="20">
        <f t="shared" si="90"/>
        <v>3.8125</v>
      </c>
      <c r="V359" s="76">
        <v>44661</v>
      </c>
      <c r="W359" s="101">
        <f>COUNTIFS(A:A,A359,C:C,C359)</f>
        <v>1</v>
      </c>
      <c r="X359" s="74" t="str">
        <f>VLOOKUP(A359,Data_echipe!A:R,18,0)</f>
        <v>Road</v>
      </c>
      <c r="Z359" s="106">
        <f t="shared" si="81"/>
        <v>1</v>
      </c>
    </row>
    <row r="360" spans="1:26" x14ac:dyDescent="0.25">
      <c r="A360" s="61" t="s">
        <v>143</v>
      </c>
      <c r="B360" s="74" t="str">
        <f>VLOOKUP(A360,Participanti!A:B,2,0)</f>
        <v>M</v>
      </c>
      <c r="C360" s="98">
        <v>13</v>
      </c>
      <c r="D360" s="63">
        <v>21.26</v>
      </c>
      <c r="E360" s="64">
        <v>8.2500000000000004E-2</v>
      </c>
      <c r="F360" s="64">
        <v>8.7233796296296295E-2</v>
      </c>
      <c r="G360" s="90">
        <f t="shared" si="86"/>
        <v>8.4866898148148157E-2</v>
      </c>
      <c r="H360" s="65">
        <v>94</v>
      </c>
      <c r="I360" s="13">
        <f t="shared" si="87"/>
        <v>3.9918578620953974E-3</v>
      </c>
      <c r="J360" s="84">
        <f t="shared" si="88"/>
        <v>5</v>
      </c>
      <c r="K360" s="84">
        <f>IF(J360=0,0,IF(B360="F",VLOOKUP(I360,Barem!$G$2:$H$11,2,1),VLOOKUP(I360,Barem!$G$12:$H$21,2,1)))</f>
        <v>1.5</v>
      </c>
      <c r="L360" s="63">
        <v>0</v>
      </c>
      <c r="M360" s="149" t="s">
        <v>108</v>
      </c>
      <c r="N360" s="10">
        <f t="shared" si="91"/>
        <v>0.5</v>
      </c>
      <c r="O360" s="10">
        <f t="shared" si="91"/>
        <v>0.25</v>
      </c>
      <c r="P360" s="10">
        <f t="shared" si="91"/>
        <v>0.25</v>
      </c>
      <c r="Q360" s="47">
        <f t="shared" si="89"/>
        <v>6.2666666666666662E-2</v>
      </c>
      <c r="R360" s="25">
        <f>IF(D360&gt;21,VLOOKUP(D360,Barem!$T$1:$U$141,2,1),0)</f>
        <v>0</v>
      </c>
      <c r="S360" s="25">
        <f>IF(D360&lt;1.609,0,IF(B360="F",VLOOKUP(I360,Barem!$X$2:$Z$13,2,1),VLOOKUP(I360,Barem!$X$14:$Z$25,2,1)))</f>
        <v>0</v>
      </c>
      <c r="T360" s="25">
        <f>VLOOKUP(A360,Participanti!A:C,3,0)</f>
        <v>0</v>
      </c>
      <c r="U360" s="20">
        <f t="shared" si="90"/>
        <v>2.9376666666666669</v>
      </c>
      <c r="V360" s="76">
        <v>44656</v>
      </c>
      <c r="W360" s="101">
        <f>COUNTIFS(A:A,A360,C:C,C360)</f>
        <v>1</v>
      </c>
      <c r="X360" s="74" t="str">
        <f>VLOOKUP(A360,Data_echipe!A:R,18,0)</f>
        <v>Road</v>
      </c>
      <c r="Z360" s="106">
        <f t="shared" si="81"/>
        <v>1</v>
      </c>
    </row>
    <row r="361" spans="1:26" x14ac:dyDescent="0.25">
      <c r="A361" s="61" t="s">
        <v>179</v>
      </c>
      <c r="B361" s="74" t="str">
        <f>VLOOKUP(A361,Participanti!A:B,2,0)</f>
        <v>F</v>
      </c>
      <c r="C361" s="98">
        <v>13</v>
      </c>
      <c r="D361" s="63">
        <v>15.83</v>
      </c>
      <c r="E361" s="64">
        <v>6.6053240740740746E-2</v>
      </c>
      <c r="F361" s="64">
        <v>7.96412037037037E-2</v>
      </c>
      <c r="G361" s="90">
        <f t="shared" si="86"/>
        <v>7.284722222222223E-2</v>
      </c>
      <c r="H361" s="65">
        <v>26</v>
      </c>
      <c r="I361" s="13">
        <f t="shared" si="87"/>
        <v>4.601846002667229E-3</v>
      </c>
      <c r="J361" s="84">
        <f t="shared" si="88"/>
        <v>3.9575</v>
      </c>
      <c r="K361" s="84">
        <f>IF(J361=0,0,IF(B361="F",VLOOKUP(I361,Barem!$G$2:$H$11,2,1),VLOOKUP(I361,Barem!$G$12:$H$21,2,1)))</f>
        <v>1</v>
      </c>
      <c r="L361" s="63">
        <v>3.5</v>
      </c>
      <c r="M361" s="62" t="str">
        <f>VLOOKUP(C361,Barem!L:R,7,0)</f>
        <v>V</v>
      </c>
      <c r="N361" s="10">
        <f t="shared" si="91"/>
        <v>0.25</v>
      </c>
      <c r="O361" s="10">
        <f t="shared" si="91"/>
        <v>0.5</v>
      </c>
      <c r="P361" s="10">
        <f t="shared" si="91"/>
        <v>0.25</v>
      </c>
      <c r="Q361" s="47">
        <f t="shared" si="89"/>
        <v>0</v>
      </c>
      <c r="R361" s="25">
        <f>IF(D361&gt;21,VLOOKUP(D361,Barem!$T$1:$U$141,2,1),0)</f>
        <v>0</v>
      </c>
      <c r="S361" s="25">
        <f>IF(D361&lt;1.609,0,IF(B361="F",VLOOKUP(I361,Barem!$X$2:$Z$13,2,1),VLOOKUP(I361,Barem!$X$14:$Z$25,2,1)))</f>
        <v>0</v>
      </c>
      <c r="T361" s="25">
        <f>VLOOKUP(A361,Participanti!A:C,3,0)</f>
        <v>0</v>
      </c>
      <c r="U361" s="20">
        <f t="shared" si="90"/>
        <v>2.3643749999999999</v>
      </c>
      <c r="V361" s="76">
        <v>44657</v>
      </c>
      <c r="W361" s="101">
        <f>COUNTIFS(A:A,A361,C:C,C361)</f>
        <v>1</v>
      </c>
      <c r="X361" s="74" t="str">
        <f>VLOOKUP(A361,Data_echipe!A:R,18,0)</f>
        <v>Trail</v>
      </c>
      <c r="Z361" s="106">
        <f t="shared" si="81"/>
        <v>1</v>
      </c>
    </row>
    <row r="362" spans="1:26" x14ac:dyDescent="0.25">
      <c r="A362" s="61" t="s">
        <v>119</v>
      </c>
      <c r="B362" s="74" t="str">
        <f>VLOOKUP(A362,Participanti!A:B,2,0)</f>
        <v>F</v>
      </c>
      <c r="C362" s="98">
        <v>13</v>
      </c>
      <c r="D362" s="63">
        <v>10.49</v>
      </c>
      <c r="E362" s="64">
        <v>5.0578703703703709E-2</v>
      </c>
      <c r="F362" s="64">
        <v>5.1597222222222218E-2</v>
      </c>
      <c r="G362" s="90">
        <f t="shared" si="86"/>
        <v>5.108796296296296E-2</v>
      </c>
      <c r="H362" s="65">
        <v>23</v>
      </c>
      <c r="I362" s="13">
        <f t="shared" si="87"/>
        <v>4.8701585284044767E-3</v>
      </c>
      <c r="J362" s="84">
        <f t="shared" si="88"/>
        <v>2.6225000000000001</v>
      </c>
      <c r="K362" s="84">
        <f>IF(J362=0,0,IF(B362="F",VLOOKUP(I362,Barem!$G$2:$H$11,2,1),VLOOKUP(I362,Barem!$G$12:$H$21,2,1)))</f>
        <v>1</v>
      </c>
      <c r="L362" s="63">
        <v>4</v>
      </c>
      <c r="M362" s="149" t="s">
        <v>220</v>
      </c>
      <c r="N362" s="10">
        <f t="shared" si="91"/>
        <v>0.25</v>
      </c>
      <c r="O362" s="10">
        <f t="shared" si="91"/>
        <v>0.25</v>
      </c>
      <c r="P362" s="10">
        <f t="shared" si="91"/>
        <v>0.5</v>
      </c>
      <c r="Q362" s="47">
        <f t="shared" si="89"/>
        <v>0</v>
      </c>
      <c r="R362" s="25">
        <f>IF(D362&gt;21,VLOOKUP(D362,Barem!$T$1:$U$141,2,1),0)</f>
        <v>0</v>
      </c>
      <c r="S362" s="25">
        <f>IF(D362&lt;1.609,0,IF(B362="F",VLOOKUP(I362,Barem!$X$2:$Z$13,2,1),VLOOKUP(I362,Barem!$X$14:$Z$25,2,1)))</f>
        <v>0</v>
      </c>
      <c r="T362" s="25">
        <f>VLOOKUP(A362,Participanti!A:C,3,0)</f>
        <v>0</v>
      </c>
      <c r="U362" s="20">
        <f t="shared" si="90"/>
        <v>2.9056250000000001</v>
      </c>
      <c r="V362" s="76">
        <v>44661</v>
      </c>
      <c r="W362" s="101">
        <f>COUNTIFS(A:A,A362,C:C,C362)</f>
        <v>1</v>
      </c>
      <c r="X362" s="74" t="str">
        <f>VLOOKUP(A362,Data_echipe!A:R,18,0)</f>
        <v>Trail</v>
      </c>
      <c r="Z362" s="106">
        <f t="shared" si="81"/>
        <v>1</v>
      </c>
    </row>
    <row r="363" spans="1:26" x14ac:dyDescent="0.25">
      <c r="A363" s="61" t="s">
        <v>102</v>
      </c>
      <c r="B363" s="74" t="str">
        <f>VLOOKUP(A363,Participanti!A:B,2,0)</f>
        <v>F</v>
      </c>
      <c r="C363" s="98">
        <v>13</v>
      </c>
      <c r="D363" s="63">
        <v>10.01</v>
      </c>
      <c r="E363" s="64">
        <v>4.7708333333333332E-2</v>
      </c>
      <c r="F363" s="64">
        <v>5.7870370370370371E-2</v>
      </c>
      <c r="G363" s="90">
        <f t="shared" si="86"/>
        <v>5.2789351851851851E-2</v>
      </c>
      <c r="H363" s="65">
        <v>327</v>
      </c>
      <c r="I363" s="13">
        <f t="shared" si="87"/>
        <v>5.2736615236615237E-3</v>
      </c>
      <c r="J363" s="84">
        <f t="shared" si="88"/>
        <v>2.5024999999999999</v>
      </c>
      <c r="K363" s="84">
        <f>IF(J363=0,0,IF(B363="F",VLOOKUP(I363,Barem!$G$2:$H$11,2,1),VLOOKUP(I363,Barem!$G$12:$H$21,2,1)))</f>
        <v>1</v>
      </c>
      <c r="L363" s="63">
        <v>3.5</v>
      </c>
      <c r="M363" s="149" t="s">
        <v>220</v>
      </c>
      <c r="N363" s="10">
        <f t="shared" si="91"/>
        <v>0.25</v>
      </c>
      <c r="O363" s="10">
        <f t="shared" si="91"/>
        <v>0.25</v>
      </c>
      <c r="P363" s="10">
        <f t="shared" si="91"/>
        <v>0.5</v>
      </c>
      <c r="Q363" s="47">
        <f t="shared" si="89"/>
        <v>0.218</v>
      </c>
      <c r="R363" s="25">
        <f>IF(D363&gt;21,VLOOKUP(D363,Barem!$T$1:$U$141,2,1),0)</f>
        <v>0</v>
      </c>
      <c r="S363" s="25">
        <f>IF(D363&lt;1.609,0,IF(B363="F",VLOOKUP(I363,Barem!$X$2:$Z$13,2,1),VLOOKUP(I363,Barem!$X$14:$Z$25,2,1)))</f>
        <v>0</v>
      </c>
      <c r="T363" s="25">
        <f>VLOOKUP(A363,Participanti!A:C,3,0)</f>
        <v>0</v>
      </c>
      <c r="U363" s="20">
        <f t="shared" si="90"/>
        <v>2.8436249999999998</v>
      </c>
      <c r="V363" s="76">
        <v>44661</v>
      </c>
      <c r="W363" s="101">
        <f>COUNTIFS(A:A,A363,C:C,C363)</f>
        <v>1</v>
      </c>
      <c r="X363" s="74" t="str">
        <f>VLOOKUP(A363,Data_echipe!A:R,18,0)</f>
        <v>Trail</v>
      </c>
      <c r="Z363" s="106">
        <f t="shared" si="81"/>
        <v>1</v>
      </c>
    </row>
    <row r="364" spans="1:26" x14ac:dyDescent="0.25">
      <c r="A364" s="61" t="s">
        <v>217</v>
      </c>
      <c r="B364" s="74" t="str">
        <f>VLOOKUP(A364,Participanti!A:B,2,0)</f>
        <v>M</v>
      </c>
      <c r="C364" s="98">
        <v>13</v>
      </c>
      <c r="D364" s="63">
        <v>10.66</v>
      </c>
      <c r="E364" s="64">
        <v>3.4999999999999996E-2</v>
      </c>
      <c r="F364" s="64">
        <v>3.6076388888888887E-2</v>
      </c>
      <c r="G364" s="90">
        <f t="shared" si="86"/>
        <v>3.5538194444444442E-2</v>
      </c>
      <c r="H364" s="65">
        <v>13</v>
      </c>
      <c r="I364" s="13">
        <f t="shared" si="87"/>
        <v>3.3337893475088596E-3</v>
      </c>
      <c r="J364" s="84">
        <f t="shared" si="88"/>
        <v>2.538095238095238</v>
      </c>
      <c r="K364" s="84">
        <f>IF(J364=0,0,IF(B364="F",VLOOKUP(I364,Barem!$G$2:$H$11,2,1),VLOOKUP(I364,Barem!$G$12:$H$21,2,1)))</f>
        <v>3</v>
      </c>
      <c r="L364" s="63">
        <v>2.5</v>
      </c>
      <c r="M364" s="149" t="s">
        <v>220</v>
      </c>
      <c r="N364" s="10">
        <f t="shared" si="91"/>
        <v>0.25</v>
      </c>
      <c r="O364" s="10">
        <f t="shared" si="91"/>
        <v>0.25</v>
      </c>
      <c r="P364" s="10">
        <f t="shared" si="91"/>
        <v>0.5</v>
      </c>
      <c r="Q364" s="47">
        <f t="shared" si="89"/>
        <v>0</v>
      </c>
      <c r="R364" s="25">
        <f>IF(D364&gt;21,VLOOKUP(D364,Barem!$T$1:$U$141,2,1),0)</f>
        <v>0</v>
      </c>
      <c r="S364" s="25">
        <f>IF(D364&lt;1.609,0,IF(B364="F",VLOOKUP(I364,Barem!$X$2:$Z$13,2,1),VLOOKUP(I364,Barem!$X$14:$Z$25,2,1)))</f>
        <v>0</v>
      </c>
      <c r="T364" s="25">
        <f>VLOOKUP(A364,Participanti!A:C,3,0)</f>
        <v>0</v>
      </c>
      <c r="U364" s="20">
        <f t="shared" si="90"/>
        <v>2.6345238095238095</v>
      </c>
      <c r="V364" s="76">
        <v>44661</v>
      </c>
      <c r="W364" s="101">
        <f>COUNTIFS(A:A,A364,C:C,C364)</f>
        <v>1</v>
      </c>
      <c r="X364" s="74" t="e">
        <f>VLOOKUP(A364,Data_echipe!A:R,18,0)</f>
        <v>#N/A</v>
      </c>
      <c r="Y364" s="22" t="s">
        <v>286</v>
      </c>
      <c r="Z364" s="106">
        <f t="shared" si="81"/>
        <v>1</v>
      </c>
    </row>
    <row r="365" spans="1:26" x14ac:dyDescent="0.25">
      <c r="A365" s="61" t="s">
        <v>65</v>
      </c>
      <c r="B365" s="74" t="str">
        <f>VLOOKUP(A365,Participanti!A:B,2,0)</f>
        <v>F</v>
      </c>
      <c r="C365" s="98">
        <v>13</v>
      </c>
      <c r="D365" s="63">
        <v>8.19</v>
      </c>
      <c r="E365" s="64">
        <v>4.1539351851851855E-2</v>
      </c>
      <c r="F365" s="64">
        <v>7.2824074074074083E-2</v>
      </c>
      <c r="G365" s="90">
        <f t="shared" si="86"/>
        <v>5.7181712962962969E-2</v>
      </c>
      <c r="H365" s="65">
        <v>0</v>
      </c>
      <c r="I365" s="13">
        <f t="shared" si="87"/>
        <v>6.981894134671914E-3</v>
      </c>
      <c r="J365" s="84">
        <f t="shared" si="88"/>
        <v>2.0474999999999999</v>
      </c>
      <c r="K365" s="84">
        <f>IF(J365=0,0,IF(B365="F",VLOOKUP(I365,Barem!$G$2:$H$11,2,1),VLOOKUP(I365,Barem!$G$12:$H$21,2,1)))</f>
        <v>0</v>
      </c>
      <c r="L365" s="63">
        <v>2.25</v>
      </c>
      <c r="M365" s="62" t="str">
        <f>VLOOKUP(C365,Barem!L:R,7,0)</f>
        <v>V</v>
      </c>
      <c r="N365" s="10">
        <f t="shared" si="91"/>
        <v>0.25</v>
      </c>
      <c r="O365" s="10">
        <f t="shared" si="91"/>
        <v>0.5</v>
      </c>
      <c r="P365" s="10">
        <f t="shared" si="91"/>
        <v>0.25</v>
      </c>
      <c r="Q365" s="47">
        <f t="shared" si="89"/>
        <v>0</v>
      </c>
      <c r="R365" s="25">
        <f>IF(D365&gt;21,VLOOKUP(D365,Barem!$T$1:$U$141,2,1),0)</f>
        <v>0</v>
      </c>
      <c r="S365" s="25">
        <f>IF(D365&lt;1.609,0,IF(B365="F",VLOOKUP(I365,Barem!$X$2:$Z$13,2,1),VLOOKUP(I365,Barem!$X$14:$Z$25,2,1)))</f>
        <v>0</v>
      </c>
      <c r="T365" s="25">
        <f>VLOOKUP(A365,Participanti!A:C,3,0)</f>
        <v>0.7</v>
      </c>
      <c r="U365" s="20">
        <f t="shared" si="90"/>
        <v>1.7743749999999998</v>
      </c>
      <c r="V365" s="76">
        <v>44657</v>
      </c>
      <c r="W365" s="101">
        <f>COUNTIFS(A:A,A365,C:C,C365)</f>
        <v>1</v>
      </c>
      <c r="X365" s="74" t="str">
        <f>VLOOKUP(A365,Data_echipe!A:R,18,0)</f>
        <v>Road</v>
      </c>
      <c r="Z365" s="106">
        <f t="shared" si="81"/>
        <v>0</v>
      </c>
    </row>
    <row r="366" spans="1:26" x14ac:dyDescent="0.25">
      <c r="A366" s="61" t="s">
        <v>48</v>
      </c>
      <c r="B366" s="74" t="str">
        <f>VLOOKUP(A366,Participanti!A:B,2,0)</f>
        <v>M</v>
      </c>
      <c r="C366" s="98">
        <v>13</v>
      </c>
      <c r="D366" s="63">
        <v>11.32</v>
      </c>
      <c r="E366" s="64">
        <v>4.3657407407407402E-2</v>
      </c>
      <c r="F366" s="64">
        <v>4.4282407407407409E-2</v>
      </c>
      <c r="G366" s="90">
        <f t="shared" si="86"/>
        <v>4.3969907407407402E-2</v>
      </c>
      <c r="H366" s="65">
        <v>243</v>
      </c>
      <c r="I366" s="13">
        <f t="shared" si="87"/>
        <v>3.884267438816908E-3</v>
      </c>
      <c r="J366" s="84">
        <f t="shared" si="88"/>
        <v>2.695238095238095</v>
      </c>
      <c r="K366" s="84">
        <f>IF(J366=0,0,IF(B366="F",VLOOKUP(I366,Barem!$G$2:$H$11,2,1),VLOOKUP(I366,Barem!$G$12:$H$21,2,1)))</f>
        <v>1.5</v>
      </c>
      <c r="L366" s="63">
        <v>2</v>
      </c>
      <c r="M366" s="149" t="s">
        <v>220</v>
      </c>
      <c r="N366" s="10">
        <f t="shared" si="91"/>
        <v>0.25</v>
      </c>
      <c r="O366" s="10">
        <f t="shared" si="91"/>
        <v>0.25</v>
      </c>
      <c r="P366" s="10">
        <f t="shared" si="91"/>
        <v>0.5</v>
      </c>
      <c r="Q366" s="47">
        <f t="shared" si="89"/>
        <v>0.16200000000000001</v>
      </c>
      <c r="R366" s="25">
        <f>IF(D366&gt;21,VLOOKUP(D366,Barem!$T$1:$U$141,2,1),0)</f>
        <v>0</v>
      </c>
      <c r="S366" s="25">
        <f>IF(D366&lt;1.609,0,IF(B366="F",VLOOKUP(I366,Barem!$X$2:$Z$13,2,1),VLOOKUP(I366,Barem!$X$14:$Z$25,2,1)))</f>
        <v>0</v>
      </c>
      <c r="T366" s="25">
        <f>VLOOKUP(A366,Participanti!A:C,3,0)</f>
        <v>0</v>
      </c>
      <c r="U366" s="20">
        <f t="shared" si="90"/>
        <v>2.2108095238095236</v>
      </c>
      <c r="V366" s="76">
        <v>44657</v>
      </c>
      <c r="W366" s="101">
        <f>COUNTIFS(A:A,A366,C:C,C366)</f>
        <v>1</v>
      </c>
      <c r="X366" s="74" t="str">
        <f>VLOOKUP(A366,Data_echipe!A:R,18,0)</f>
        <v>Road</v>
      </c>
      <c r="Z366" s="106">
        <f t="shared" si="81"/>
        <v>1</v>
      </c>
    </row>
    <row r="367" spans="1:26" x14ac:dyDescent="0.25">
      <c r="A367" s="61" t="s">
        <v>116</v>
      </c>
      <c r="B367" s="74" t="str">
        <f>VLOOKUP(A367,Participanti!A:B,2,0)</f>
        <v>M</v>
      </c>
      <c r="C367" s="98">
        <v>13</v>
      </c>
      <c r="D367" s="63">
        <v>7.02</v>
      </c>
      <c r="E367" s="64">
        <v>2.6956018518518522E-2</v>
      </c>
      <c r="F367" s="64">
        <v>2.6956018518518522E-2</v>
      </c>
      <c r="G367" s="90">
        <f t="shared" si="86"/>
        <v>2.6956018518518522E-2</v>
      </c>
      <c r="H367" s="65">
        <v>19</v>
      </c>
      <c r="I367" s="13">
        <f t="shared" si="87"/>
        <v>3.8398886778516416E-3</v>
      </c>
      <c r="J367" s="84">
        <f t="shared" si="88"/>
        <v>1.6714285714285713</v>
      </c>
      <c r="K367" s="84">
        <f>IF(J367=0,0,IF(B367="F",VLOOKUP(I367,Barem!$G$2:$H$11,2,1),VLOOKUP(I367,Barem!$G$12:$H$21,2,1)))</f>
        <v>1.5</v>
      </c>
      <c r="L367" s="63">
        <v>3</v>
      </c>
      <c r="M367" s="62" t="str">
        <f>VLOOKUP(C367,Barem!L:R,7,0)</f>
        <v>V</v>
      </c>
      <c r="N367" s="10">
        <f t="shared" si="91"/>
        <v>0.25</v>
      </c>
      <c r="O367" s="10">
        <f t="shared" si="91"/>
        <v>0.5</v>
      </c>
      <c r="P367" s="10">
        <f t="shared" si="91"/>
        <v>0.25</v>
      </c>
      <c r="Q367" s="47">
        <f t="shared" si="89"/>
        <v>0</v>
      </c>
      <c r="R367" s="25">
        <f>IF(D367&gt;21,VLOOKUP(D367,Barem!$T$1:$U$141,2,1),0)</f>
        <v>0</v>
      </c>
      <c r="S367" s="25">
        <f>IF(D367&lt;1.609,0,IF(B367="F",VLOOKUP(I367,Barem!$X$2:$Z$13,2,1),VLOOKUP(I367,Barem!$X$14:$Z$25,2,1)))</f>
        <v>0</v>
      </c>
      <c r="T367" s="25">
        <f>VLOOKUP(A367,Participanti!A:C,3,0)</f>
        <v>0</v>
      </c>
      <c r="U367" s="20">
        <f t="shared" si="90"/>
        <v>1.9178571428571427</v>
      </c>
      <c r="V367" s="76">
        <v>44660</v>
      </c>
      <c r="W367" s="101">
        <f>COUNTIFS(A:A,A367,C:C,C367)</f>
        <v>1</v>
      </c>
      <c r="X367" s="74" t="str">
        <f>VLOOKUP(A367,Data_echipe!A:R,18,0)</f>
        <v>Trail</v>
      </c>
      <c r="Z367" s="106">
        <f t="shared" si="81"/>
        <v>1</v>
      </c>
    </row>
    <row r="368" spans="1:26" x14ac:dyDescent="0.25">
      <c r="A368" s="61" t="s">
        <v>60</v>
      </c>
      <c r="B368" s="74" t="str">
        <f>VLOOKUP(A368,Participanti!A:B,2,0)</f>
        <v>M</v>
      </c>
      <c r="C368" s="98">
        <v>13</v>
      </c>
      <c r="D368" s="63">
        <v>20.86</v>
      </c>
      <c r="E368" s="64">
        <v>6.7881944444444439E-2</v>
      </c>
      <c r="F368" s="64">
        <v>6.8182870370370366E-2</v>
      </c>
      <c r="G368" s="90">
        <f t="shared" si="86"/>
        <v>6.8032407407407403E-2</v>
      </c>
      <c r="H368" s="65">
        <v>388</v>
      </c>
      <c r="I368" s="13">
        <f t="shared" si="87"/>
        <v>3.2613809878910549E-3</v>
      </c>
      <c r="J368" s="84">
        <f t="shared" si="88"/>
        <v>4.9666666666666659</v>
      </c>
      <c r="K368" s="84">
        <f>IF(J368=0,0,IF(B368="F",VLOOKUP(I368,Barem!$G$2:$H$11,2,1),VLOOKUP(I368,Barem!$G$12:$H$21,2,1)))</f>
        <v>3.5</v>
      </c>
      <c r="L368" s="63">
        <v>1.5</v>
      </c>
      <c r="M368" s="149" t="s">
        <v>108</v>
      </c>
      <c r="N368" s="10">
        <f t="shared" si="91"/>
        <v>0.5</v>
      </c>
      <c r="O368" s="10">
        <f t="shared" si="91"/>
        <v>0.25</v>
      </c>
      <c r="P368" s="10">
        <f t="shared" si="91"/>
        <v>0.25</v>
      </c>
      <c r="Q368" s="47">
        <f t="shared" si="89"/>
        <v>0.25866666666666666</v>
      </c>
      <c r="R368" s="25">
        <f>IF(D368&gt;21,VLOOKUP(D368,Barem!$T$1:$U$141,2,1),0)</f>
        <v>0</v>
      </c>
      <c r="S368" s="25">
        <f>IF(D368&lt;1.609,0,IF(B368="F",VLOOKUP(I368,Barem!$X$2:$Z$13,2,1),VLOOKUP(I368,Barem!$X$14:$Z$25,2,1)))</f>
        <v>0</v>
      </c>
      <c r="T368" s="25">
        <f>VLOOKUP(A368,Participanti!A:C,3,0)</f>
        <v>0</v>
      </c>
      <c r="U368" s="20">
        <f t="shared" si="90"/>
        <v>3.9919999999999995</v>
      </c>
      <c r="V368" s="76">
        <v>44661</v>
      </c>
      <c r="W368" s="101">
        <f>COUNTIFS(A:A,A368,C:C,C368)</f>
        <v>1</v>
      </c>
      <c r="X368" s="74" t="str">
        <f>VLOOKUP(A368,Data_echipe!A:R,18,0)</f>
        <v>Road</v>
      </c>
      <c r="Y368" s="22" t="s">
        <v>286</v>
      </c>
      <c r="Z368" s="106">
        <f t="shared" si="81"/>
        <v>1</v>
      </c>
    </row>
    <row r="369" spans="1:26" x14ac:dyDescent="0.25">
      <c r="A369" s="61" t="s">
        <v>138</v>
      </c>
      <c r="B369" s="74" t="str">
        <f>VLOOKUP(A369,Participanti!A:B,2,0)</f>
        <v>F</v>
      </c>
      <c r="C369" s="98">
        <v>13</v>
      </c>
      <c r="D369" s="63">
        <v>16.12</v>
      </c>
      <c r="E369" s="64">
        <v>8.2233796296296291E-2</v>
      </c>
      <c r="F369" s="64">
        <v>8.2280092592592599E-2</v>
      </c>
      <c r="G369" s="90">
        <f t="shared" si="86"/>
        <v>8.2256944444444452E-2</v>
      </c>
      <c r="H369" s="65">
        <v>353</v>
      </c>
      <c r="I369" s="13">
        <f t="shared" si="87"/>
        <v>5.1027881169010206E-3</v>
      </c>
      <c r="J369" s="84">
        <f t="shared" si="88"/>
        <v>4.03</v>
      </c>
      <c r="K369" s="84">
        <f>IF(J369=0,0,IF(B369="F",VLOOKUP(I369,Barem!$G$2:$H$11,2,1),VLOOKUP(I369,Barem!$G$12:$H$21,2,1)))</f>
        <v>1</v>
      </c>
      <c r="L369" s="63">
        <v>3</v>
      </c>
      <c r="M369" s="149" t="s">
        <v>108</v>
      </c>
      <c r="N369" s="10">
        <f t="shared" si="91"/>
        <v>0.5</v>
      </c>
      <c r="O369" s="10">
        <f t="shared" si="91"/>
        <v>0.25</v>
      </c>
      <c r="P369" s="10">
        <f t="shared" si="91"/>
        <v>0.25</v>
      </c>
      <c r="Q369" s="47">
        <f t="shared" si="89"/>
        <v>0.23533333333333334</v>
      </c>
      <c r="R369" s="25">
        <f>IF(D369&gt;21,VLOOKUP(D369,Barem!$T$1:$U$141,2,1),0)</f>
        <v>0</v>
      </c>
      <c r="S369" s="25">
        <f>IF(D369&lt;1.609,0,IF(B369="F",VLOOKUP(I369,Barem!$X$2:$Z$13,2,1),VLOOKUP(I369,Barem!$X$14:$Z$25,2,1)))</f>
        <v>0</v>
      </c>
      <c r="T369" s="25">
        <f>VLOOKUP(A369,Participanti!A:C,3,0)</f>
        <v>0</v>
      </c>
      <c r="U369" s="20">
        <f t="shared" si="90"/>
        <v>3.2503333333333333</v>
      </c>
      <c r="V369" s="76">
        <v>44661</v>
      </c>
      <c r="W369" s="101">
        <f>COUNTIFS(A:A,A369,C:C,C369)</f>
        <v>1</v>
      </c>
      <c r="X369" s="74" t="str">
        <f>VLOOKUP(A369,Data_echipe!A:R,18,0)</f>
        <v>Road</v>
      </c>
      <c r="Y369" s="22" t="s">
        <v>283</v>
      </c>
      <c r="Z369" s="106">
        <f t="shared" si="81"/>
        <v>1</v>
      </c>
    </row>
    <row r="370" spans="1:26" x14ac:dyDescent="0.25">
      <c r="A370" s="61" t="s">
        <v>219</v>
      </c>
      <c r="B370" s="74" t="str">
        <f>VLOOKUP(A370,Participanti!A:B,2,0)</f>
        <v>M</v>
      </c>
      <c r="C370" s="98">
        <v>13</v>
      </c>
      <c r="D370" s="63">
        <v>27.24</v>
      </c>
      <c r="E370" s="64">
        <v>0.25472222222222224</v>
      </c>
      <c r="F370" s="64">
        <v>0.26699074074074075</v>
      </c>
      <c r="G370" s="90">
        <f t="shared" si="86"/>
        <v>0.26085648148148149</v>
      </c>
      <c r="H370" s="65">
        <v>1287</v>
      </c>
      <c r="I370" s="13">
        <f t="shared" si="87"/>
        <v>9.5762291292761197E-3</v>
      </c>
      <c r="J370" s="84">
        <f t="shared" si="88"/>
        <v>5</v>
      </c>
      <c r="K370" s="84">
        <f>IF(J370=0,0,IF(B370="F",VLOOKUP(I370,Barem!$G$2:$H$11,2,1),VLOOKUP(I370,Barem!$G$12:$H$21,2,1)))</f>
        <v>0</v>
      </c>
      <c r="L370" s="63">
        <v>4</v>
      </c>
      <c r="M370" s="149" t="s">
        <v>220</v>
      </c>
      <c r="N370" s="10">
        <f t="shared" si="91"/>
        <v>0.25</v>
      </c>
      <c r="O370" s="10">
        <f t="shared" si="91"/>
        <v>0.25</v>
      </c>
      <c r="P370" s="10">
        <f t="shared" si="91"/>
        <v>0.5</v>
      </c>
      <c r="Q370" s="47">
        <f t="shared" si="89"/>
        <v>0.85799999999999998</v>
      </c>
      <c r="R370" s="25">
        <f>IF(D370&gt;21,VLOOKUP(D370,Barem!$T$1:$U$141,2,1),0)</f>
        <v>0.3</v>
      </c>
      <c r="S370" s="25">
        <f>IF(D370&lt;1.609,0,IF(B370="F",VLOOKUP(I370,Barem!$X$2:$Z$13,2,1),VLOOKUP(I370,Barem!$X$14:$Z$25,2,1)))</f>
        <v>0</v>
      </c>
      <c r="T370" s="25">
        <f>VLOOKUP(A370,Participanti!A:C,3,0)</f>
        <v>0</v>
      </c>
      <c r="U370" s="20">
        <f t="shared" si="90"/>
        <v>4.4079999999999995</v>
      </c>
      <c r="V370" s="76">
        <v>44660</v>
      </c>
      <c r="W370" s="101">
        <f>COUNTIFS(A:A,A370,C:C,C370)</f>
        <v>1</v>
      </c>
      <c r="X370" s="74" t="str">
        <f>VLOOKUP(A370,Data_echipe!A:R,18,0)</f>
        <v>Road</v>
      </c>
      <c r="Z370" s="106">
        <f t="shared" si="81"/>
        <v>0</v>
      </c>
    </row>
    <row r="371" spans="1:26" x14ac:dyDescent="0.25">
      <c r="A371" s="61" t="s">
        <v>222</v>
      </c>
      <c r="B371" s="74" t="str">
        <f>VLOOKUP(A371,Participanti!A:B,2,0)</f>
        <v>F</v>
      </c>
      <c r="C371" s="98">
        <v>13</v>
      </c>
      <c r="D371" s="63">
        <v>16.12</v>
      </c>
      <c r="E371" s="64">
        <v>7.1678240740740737E-2</v>
      </c>
      <c r="F371" s="64">
        <v>7.3043981481481488E-2</v>
      </c>
      <c r="G371" s="90">
        <f t="shared" si="86"/>
        <v>7.2361111111111112E-2</v>
      </c>
      <c r="H371" s="65">
        <v>338</v>
      </c>
      <c r="I371" s="13">
        <f t="shared" si="87"/>
        <v>4.4889026743865452E-3</v>
      </c>
      <c r="J371" s="84">
        <f t="shared" si="88"/>
        <v>4.03</v>
      </c>
      <c r="K371" s="84">
        <f>IF(J371=0,0,IF(B371="F",VLOOKUP(I371,Barem!$G$2:$H$11,2,1),VLOOKUP(I371,Barem!$G$12:$H$21,2,1)))</f>
        <v>1.5</v>
      </c>
      <c r="L371" s="63">
        <v>2.5</v>
      </c>
      <c r="M371" s="62" t="str">
        <f>VLOOKUP(C371,Barem!L:R,7,0)</f>
        <v>V</v>
      </c>
      <c r="N371" s="10">
        <f t="shared" si="91"/>
        <v>0.25</v>
      </c>
      <c r="O371" s="10">
        <f t="shared" si="91"/>
        <v>0.5</v>
      </c>
      <c r="P371" s="10">
        <f t="shared" si="91"/>
        <v>0.25</v>
      </c>
      <c r="Q371" s="47">
        <f t="shared" si="89"/>
        <v>0.22533333333333333</v>
      </c>
      <c r="R371" s="25">
        <f>IF(D371&gt;21,VLOOKUP(D371,Barem!$T$1:$U$141,2,1),0)</f>
        <v>0</v>
      </c>
      <c r="S371" s="25">
        <f>IF(D371&lt;1.609,0,IF(B371="F",VLOOKUP(I371,Barem!$X$2:$Z$13,2,1),VLOOKUP(I371,Barem!$X$14:$Z$25,2,1)))</f>
        <v>0</v>
      </c>
      <c r="T371" s="25">
        <f>VLOOKUP(A371,Participanti!A:C,3,0)</f>
        <v>0</v>
      </c>
      <c r="U371" s="20">
        <f t="shared" si="90"/>
        <v>2.6078333333333337</v>
      </c>
      <c r="V371" s="76">
        <v>44657</v>
      </c>
      <c r="W371" s="101">
        <f>COUNTIFS(A:A,A371,C:C,C371)</f>
        <v>1</v>
      </c>
      <c r="X371" s="74" t="e">
        <f>VLOOKUP(A371,Data_echipe!A:R,18,0)</f>
        <v>#N/A</v>
      </c>
      <c r="Z371" s="106">
        <f t="shared" si="81"/>
        <v>1</v>
      </c>
    </row>
    <row r="372" spans="1:26" s="146" customFormat="1" ht="12.6" thickBot="1" x14ac:dyDescent="0.3">
      <c r="A372" s="130" t="s">
        <v>221</v>
      </c>
      <c r="B372" s="131" t="str">
        <f>VLOOKUP(A372,Participanti!A:B,2,0)</f>
        <v>M</v>
      </c>
      <c r="C372" s="132">
        <v>13</v>
      </c>
      <c r="D372" s="133">
        <v>42.95</v>
      </c>
      <c r="E372" s="134">
        <v>0.24988425925925925</v>
      </c>
      <c r="F372" s="134">
        <v>0.25825231481481481</v>
      </c>
      <c r="G372" s="135">
        <f t="shared" si="86"/>
        <v>0.25406828703703704</v>
      </c>
      <c r="H372" s="136">
        <v>1296</v>
      </c>
      <c r="I372" s="137">
        <f t="shared" si="87"/>
        <v>5.9154432371836324E-3</v>
      </c>
      <c r="J372" s="138">
        <f t="shared" si="88"/>
        <v>5</v>
      </c>
      <c r="K372" s="138">
        <f>IF(J372=0,0,IF(B372="F",VLOOKUP(I372,Barem!$G$2:$H$11,2,1),VLOOKUP(I372,Barem!$G$12:$H$21,2,1)))</f>
        <v>0</v>
      </c>
      <c r="L372" s="133">
        <v>4.5</v>
      </c>
      <c r="M372" s="164" t="s">
        <v>108</v>
      </c>
      <c r="N372" s="140">
        <f t="shared" si="91"/>
        <v>0.5</v>
      </c>
      <c r="O372" s="140">
        <f t="shared" si="91"/>
        <v>0.25</v>
      </c>
      <c r="P372" s="140">
        <f t="shared" si="91"/>
        <v>0.25</v>
      </c>
      <c r="Q372" s="141">
        <f t="shared" si="89"/>
        <v>0.86399999999999999</v>
      </c>
      <c r="R372" s="142">
        <f>IF(D372&gt;21,VLOOKUP(D372,Barem!$T$1:$U$141,2,1),0)</f>
        <v>1</v>
      </c>
      <c r="S372" s="142">
        <f>IF(D372&lt;1.609,0,IF(B372="F",VLOOKUP(I372,Barem!$X$2:$Z$13,2,1),VLOOKUP(I372,Barem!$X$14:$Z$25,2,1)))</f>
        <v>0</v>
      </c>
      <c r="T372" s="142">
        <f>VLOOKUP(A372,Participanti!A:C,3,0)</f>
        <v>0</v>
      </c>
      <c r="U372" s="143">
        <f t="shared" si="90"/>
        <v>5.4889999999999999</v>
      </c>
      <c r="V372" s="144">
        <v>44661</v>
      </c>
      <c r="W372" s="145">
        <f>COUNTIFS(A:A,A372,C:C,C372)</f>
        <v>1</v>
      </c>
      <c r="X372" s="131" t="str">
        <f>VLOOKUP(A372,Data_echipe!A:R,18,0)</f>
        <v>Trail</v>
      </c>
      <c r="Y372" s="146" t="s">
        <v>283</v>
      </c>
      <c r="Z372" s="106">
        <f t="shared" si="81"/>
        <v>0</v>
      </c>
    </row>
    <row r="373" spans="1:26" x14ac:dyDescent="0.25">
      <c r="A373" s="61" t="s">
        <v>218</v>
      </c>
      <c r="B373" s="74" t="str">
        <f>VLOOKUP(A373,Participanti!A:B,2,0)</f>
        <v>M</v>
      </c>
      <c r="C373" s="98">
        <v>14</v>
      </c>
      <c r="D373" s="63">
        <v>21.32</v>
      </c>
      <c r="E373" s="64">
        <v>5.1435185185185188E-2</v>
      </c>
      <c r="F373" s="64">
        <v>5.1469907407407402E-2</v>
      </c>
      <c r="G373" s="90">
        <f t="shared" si="86"/>
        <v>5.1452546296296295E-2</v>
      </c>
      <c r="H373" s="65">
        <v>112</v>
      </c>
      <c r="I373" s="13">
        <f t="shared" ref="I373" si="92">G373/D373</f>
        <v>2.4133464491696197E-3</v>
      </c>
      <c r="J373" s="84">
        <f t="shared" ref="J373" si="93">IF(B373="F",IF(D373&lt;2.5,0,IF(D373&gt;19.99,5,D373/4)),IF(D373&lt;3,0, IF(D373&gt;20.99,5,D373/4.2)))</f>
        <v>5</v>
      </c>
      <c r="K373" s="84">
        <f>IF(J373=0,0,IF(B373="F",VLOOKUP(I373,Barem!$G$2:$H$11,2,1),VLOOKUP(I373,Barem!$G$12:$H$21,2,1)))</f>
        <v>5</v>
      </c>
      <c r="L373" s="63">
        <v>3.5</v>
      </c>
      <c r="M373" s="149" t="s">
        <v>109</v>
      </c>
      <c r="N373" s="10">
        <f t="shared" si="91"/>
        <v>0.25</v>
      </c>
      <c r="O373" s="10">
        <f t="shared" si="91"/>
        <v>0.5</v>
      </c>
      <c r="P373" s="10">
        <f t="shared" si="91"/>
        <v>0.25</v>
      </c>
      <c r="Q373" s="47">
        <f t="shared" ref="Q373" si="94">IF(H373&gt;49,H373/1500,0)</f>
        <v>7.4666666666666673E-2</v>
      </c>
      <c r="R373" s="25">
        <f>IF(D373&gt;21,VLOOKUP(D373,Barem!$T$1:$U$141,2,1),0)</f>
        <v>0</v>
      </c>
      <c r="S373" s="25">
        <f>IF(D373&lt;1.609,0,IF(B373="F",VLOOKUP(I373,Barem!$X$2:$Z$13,2,1),VLOOKUP(I373,Barem!$X$14:$Z$25,2,1)))</f>
        <v>4.1999999999999993</v>
      </c>
      <c r="T373" s="25">
        <f>VLOOKUP(A373,Participanti!A:C,3,0)</f>
        <v>0</v>
      </c>
      <c r="U373" s="20">
        <f t="shared" ref="U373" si="95">IF(H373&lt;0,0,J373*N373+K373*O373+L373*P373+Q373+R373+S373+T373)</f>
        <v>8.8996666666666648</v>
      </c>
      <c r="V373" s="76">
        <v>44668</v>
      </c>
      <c r="W373" s="101">
        <f>COUNTIFS(A:A,A373,C:C,C373)</f>
        <v>1</v>
      </c>
      <c r="X373" s="74" t="str">
        <f>VLOOKUP(A373,Data_echipe!A:R,18,0)</f>
        <v>Road</v>
      </c>
      <c r="Z373" s="106">
        <f t="shared" si="81"/>
        <v>1</v>
      </c>
    </row>
    <row r="374" spans="1:26" x14ac:dyDescent="0.25">
      <c r="A374" s="61" t="s">
        <v>50</v>
      </c>
      <c r="B374" s="74" t="str">
        <f>VLOOKUP(A374,Participanti!A:B,2,0)</f>
        <v>M</v>
      </c>
      <c r="C374" s="98">
        <v>14</v>
      </c>
      <c r="D374" s="63">
        <v>10.81</v>
      </c>
      <c r="E374" s="64">
        <v>3.0902777777777779E-2</v>
      </c>
      <c r="F374" s="64">
        <v>3.0902777777777779E-2</v>
      </c>
      <c r="G374" s="90">
        <f t="shared" ref="G374:G394" si="96">AVERAGE(E374:F374)</f>
        <v>3.0902777777777779E-2</v>
      </c>
      <c r="H374" s="65">
        <v>27</v>
      </c>
      <c r="I374" s="13">
        <f t="shared" ref="I374:I392" si="97">G374/D374</f>
        <v>2.8587213485455855E-3</v>
      </c>
      <c r="J374" s="84">
        <f t="shared" ref="J374:J392" si="98">IF(B374="F",IF(D374&lt;2.5,0,IF(D374&gt;19.99,5,D374/4)),IF(D374&lt;3,0, IF(D374&gt;20.99,5,D374/4.2)))</f>
        <v>2.573809523809524</v>
      </c>
      <c r="K374" s="84">
        <f>IF(J374=0,0,IF(B374="F",VLOOKUP(I374,Barem!$G$2:$H$11,2,1),VLOOKUP(I374,Barem!$G$12:$H$21,2,1)))</f>
        <v>4.5</v>
      </c>
      <c r="L374" s="63">
        <v>4</v>
      </c>
      <c r="M374" s="149" t="s">
        <v>109</v>
      </c>
      <c r="N374" s="10">
        <f t="shared" si="91"/>
        <v>0.25</v>
      </c>
      <c r="O374" s="10">
        <f t="shared" si="91"/>
        <v>0.5</v>
      </c>
      <c r="P374" s="10">
        <f t="shared" si="91"/>
        <v>0.25</v>
      </c>
      <c r="Q374" s="47">
        <f t="shared" ref="Q374:Q392" si="99">IF(H374&gt;49,H374/1500,0)</f>
        <v>0</v>
      </c>
      <c r="R374" s="25">
        <f>IF(D374&gt;21,VLOOKUP(D374,Barem!$T$1:$U$141,2,1),0)</f>
        <v>0</v>
      </c>
      <c r="S374" s="25">
        <f>IF(D374&lt;1.609,0,IF(B374="F",VLOOKUP(I374,Barem!$X$2:$Z$13,2,1),VLOOKUP(I374,Barem!$X$14:$Z$25,2,1)))</f>
        <v>0</v>
      </c>
      <c r="T374" s="25">
        <f>VLOOKUP(A374,Participanti!A:C,3,0)</f>
        <v>0</v>
      </c>
      <c r="U374" s="20">
        <f t="shared" ref="U374:U392" si="100">IF(H374&lt;0,0,J374*N374+K374*O374+L374*P374+Q374+R374+S374+T374)</f>
        <v>3.8934523809523811</v>
      </c>
      <c r="V374" s="76">
        <v>44667</v>
      </c>
      <c r="W374" s="101">
        <f>COUNTIFS(A:A,A374,C:C,C374)</f>
        <v>1</v>
      </c>
      <c r="X374" s="74" t="str">
        <f>VLOOKUP(A374,Data_echipe!A:R,18,0)</f>
        <v>Trail</v>
      </c>
      <c r="Z374" s="106">
        <f t="shared" si="81"/>
        <v>1</v>
      </c>
    </row>
    <row r="375" spans="1:26" x14ac:dyDescent="0.25">
      <c r="A375" s="61" t="s">
        <v>110</v>
      </c>
      <c r="B375" s="74" t="str">
        <f>VLOOKUP(A375,Participanti!A:B,2,0)</f>
        <v>M</v>
      </c>
      <c r="C375" s="98">
        <v>14</v>
      </c>
      <c r="D375" s="63">
        <v>101.68</v>
      </c>
      <c r="E375" s="64">
        <v>0.47960648148148149</v>
      </c>
      <c r="F375" s="64">
        <v>0.51975694444444442</v>
      </c>
      <c r="G375" s="90">
        <f t="shared" si="96"/>
        <v>0.49968171296296293</v>
      </c>
      <c r="H375" s="65">
        <v>739</v>
      </c>
      <c r="I375" s="13">
        <f t="shared" si="97"/>
        <v>4.9142576019174161E-3</v>
      </c>
      <c r="J375" s="84">
        <f t="shared" si="98"/>
        <v>5</v>
      </c>
      <c r="K375" s="84">
        <f>IF(J375=0,0,IF(B375="F",VLOOKUP(I375,Barem!$G$2:$H$11,2,1),VLOOKUP(I375,Barem!$G$12:$H$21,2,1)))</f>
        <v>1</v>
      </c>
      <c r="L375" s="63">
        <v>4.25</v>
      </c>
      <c r="M375" s="149" t="s">
        <v>108</v>
      </c>
      <c r="N375" s="10">
        <f t="shared" ref="N375:P393" si="101">IF($M375=N$1,50%,25%)</f>
        <v>0.5</v>
      </c>
      <c r="O375" s="10">
        <f t="shared" si="101"/>
        <v>0.25</v>
      </c>
      <c r="P375" s="10">
        <f t="shared" si="101"/>
        <v>0.25</v>
      </c>
      <c r="Q375" s="47">
        <f t="shared" si="99"/>
        <v>0.49266666666666664</v>
      </c>
      <c r="R375" s="25">
        <f>IF(D375&gt;21,VLOOKUP(D375,Barem!$T$1:$U$141,2,1),0)</f>
        <v>3.9</v>
      </c>
      <c r="S375" s="25">
        <f>IF(D375&lt;1.609,0,IF(B375="F",VLOOKUP(I375,Barem!$X$2:$Z$13,2,1),VLOOKUP(I375,Barem!$X$14:$Z$25,2,1)))</f>
        <v>0</v>
      </c>
      <c r="T375" s="25">
        <f>VLOOKUP(A375,Participanti!A:C,3,0)</f>
        <v>0</v>
      </c>
      <c r="U375" s="20">
        <f t="shared" si="100"/>
        <v>8.2051666666666669</v>
      </c>
      <c r="V375" s="76">
        <v>44667</v>
      </c>
      <c r="W375" s="101">
        <f>COUNTIFS(A:A,A375,C:C,C375)</f>
        <v>1</v>
      </c>
      <c r="X375" s="74" t="str">
        <f>VLOOKUP(A375,Data_echipe!A:R,18,0)</f>
        <v>Road</v>
      </c>
      <c r="Z375" s="106">
        <f t="shared" si="81"/>
        <v>1</v>
      </c>
    </row>
    <row r="376" spans="1:26" x14ac:dyDescent="0.25">
      <c r="A376" s="61" t="s">
        <v>141</v>
      </c>
      <c r="B376" s="74" t="str">
        <f>VLOOKUP(A376,Participanti!A:B,2,0)</f>
        <v>F</v>
      </c>
      <c r="C376" s="98">
        <v>14</v>
      </c>
      <c r="D376" s="63">
        <v>20.73</v>
      </c>
      <c r="E376" s="64">
        <v>7.166666666666667E-2</v>
      </c>
      <c r="F376" s="64">
        <v>7.1701388888888884E-2</v>
      </c>
      <c r="G376" s="90">
        <f t="shared" si="96"/>
        <v>7.168402777777777E-2</v>
      </c>
      <c r="H376" s="65">
        <v>249</v>
      </c>
      <c r="I376" s="13">
        <f t="shared" si="97"/>
        <v>3.4579849386289323E-3</v>
      </c>
      <c r="J376" s="84">
        <f t="shared" si="98"/>
        <v>5</v>
      </c>
      <c r="K376" s="84">
        <f>IF(J376=0,0,IF(B376="F",VLOOKUP(I376,Barem!$G$2:$H$11,2,1),VLOOKUP(I376,Barem!$G$12:$H$21,2,1)))</f>
        <v>4</v>
      </c>
      <c r="L376" s="63">
        <v>3.5</v>
      </c>
      <c r="M376" s="62" t="str">
        <f>VLOOKUP(C376,Barem!L:R,7,0)</f>
        <v>P</v>
      </c>
      <c r="N376" s="10">
        <f t="shared" si="101"/>
        <v>0.25</v>
      </c>
      <c r="O376" s="10">
        <f t="shared" si="101"/>
        <v>0.25</v>
      </c>
      <c r="P376" s="10">
        <f t="shared" si="101"/>
        <v>0.5</v>
      </c>
      <c r="Q376" s="47">
        <f t="shared" si="99"/>
        <v>0.16600000000000001</v>
      </c>
      <c r="R376" s="25">
        <f>IF(D376&gt;21,VLOOKUP(D376,Barem!$T$1:$U$141,2,1),0)</f>
        <v>0</v>
      </c>
      <c r="S376" s="25">
        <f>IF(D376&lt;1.609,0,IF(B376="F",VLOOKUP(I376,Barem!$X$2:$Z$13,2,1),VLOOKUP(I376,Barem!$X$14:$Z$25,2,1)))</f>
        <v>0</v>
      </c>
      <c r="T376" s="25">
        <f>VLOOKUP(A376,Participanti!A:C,3,0)</f>
        <v>0</v>
      </c>
      <c r="U376" s="20">
        <f t="shared" si="100"/>
        <v>4.1660000000000004</v>
      </c>
      <c r="V376" s="76">
        <v>44668</v>
      </c>
      <c r="W376" s="101">
        <f>COUNTIFS(A:A,A376,C:C,C376)</f>
        <v>1</v>
      </c>
      <c r="X376" s="74" t="str">
        <f>VLOOKUP(A376,Data_echipe!A:R,18,0)</f>
        <v>Trail</v>
      </c>
      <c r="Z376" s="106">
        <f t="shared" si="81"/>
        <v>1</v>
      </c>
    </row>
    <row r="377" spans="1:26" x14ac:dyDescent="0.25">
      <c r="A377" s="61" t="s">
        <v>254</v>
      </c>
      <c r="B377" s="74" t="str">
        <f>VLOOKUP(A377,Participanti!A:B,2,0)</f>
        <v>M</v>
      </c>
      <c r="C377" s="98">
        <v>14</v>
      </c>
      <c r="D377" s="63">
        <v>10.029999999999999</v>
      </c>
      <c r="E377" s="64">
        <v>3.3101851851851848E-2</v>
      </c>
      <c r="F377" s="64">
        <v>3.3101851851851848E-2</v>
      </c>
      <c r="G377" s="90">
        <f t="shared" si="96"/>
        <v>3.3101851851851848E-2</v>
      </c>
      <c r="H377" s="65">
        <v>47</v>
      </c>
      <c r="I377" s="13">
        <f t="shared" si="97"/>
        <v>3.3002843321886192E-3</v>
      </c>
      <c r="J377" s="84">
        <f t="shared" si="98"/>
        <v>2.388095238095238</v>
      </c>
      <c r="K377" s="84">
        <f>IF(J377=0,0,IF(B377="F",VLOOKUP(I377,Barem!$G$2:$H$11,2,1),VLOOKUP(I377,Barem!$G$12:$H$21,2,1)))</f>
        <v>3.5</v>
      </c>
      <c r="L377" s="63">
        <v>3.5</v>
      </c>
      <c r="M377" s="149" t="s">
        <v>109</v>
      </c>
      <c r="N377" s="10">
        <f t="shared" si="101"/>
        <v>0.25</v>
      </c>
      <c r="O377" s="10">
        <f t="shared" si="101"/>
        <v>0.5</v>
      </c>
      <c r="P377" s="10">
        <f t="shared" si="101"/>
        <v>0.25</v>
      </c>
      <c r="Q377" s="47">
        <f t="shared" si="99"/>
        <v>0</v>
      </c>
      <c r="R377" s="25">
        <f>IF(D377&gt;21,VLOOKUP(D377,Barem!$T$1:$U$141,2,1),0)</f>
        <v>0</v>
      </c>
      <c r="S377" s="25">
        <f>IF(D377&lt;1.609,0,IF(B377="F",VLOOKUP(I377,Barem!$X$2:$Z$13,2,1),VLOOKUP(I377,Barem!$X$14:$Z$25,2,1)))</f>
        <v>0</v>
      </c>
      <c r="T377" s="25">
        <f>VLOOKUP(A377,Participanti!A:C,3,0)</f>
        <v>0</v>
      </c>
      <c r="U377" s="20">
        <f t="shared" si="100"/>
        <v>3.2220238095238094</v>
      </c>
      <c r="V377" s="76">
        <v>44666</v>
      </c>
      <c r="W377" s="101">
        <f>COUNTIFS(A:A,A377,C:C,C377)</f>
        <v>1</v>
      </c>
      <c r="X377" s="74" t="str">
        <f>VLOOKUP(A377,Data_echipe!A:R,18,0)</f>
        <v>Trail</v>
      </c>
      <c r="Z377" s="106">
        <f t="shared" si="81"/>
        <v>1</v>
      </c>
    </row>
    <row r="378" spans="1:26" x14ac:dyDescent="0.25">
      <c r="A378" s="61" t="s">
        <v>117</v>
      </c>
      <c r="B378" s="74" t="str">
        <f>VLOOKUP(A378,Participanti!A:B,2,0)</f>
        <v>M</v>
      </c>
      <c r="C378" s="98">
        <v>14</v>
      </c>
      <c r="D378" s="63">
        <v>142.80000000000001</v>
      </c>
      <c r="E378" s="64">
        <v>0.70265046296296296</v>
      </c>
      <c r="F378" s="64">
        <v>0.99935185185185194</v>
      </c>
      <c r="G378" s="90">
        <f t="shared" si="96"/>
        <v>0.85100115740740745</v>
      </c>
      <c r="H378" s="65">
        <v>963</v>
      </c>
      <c r="I378" s="13">
        <f t="shared" si="97"/>
        <v>5.95939185859529E-3</v>
      </c>
      <c r="J378" s="84">
        <f t="shared" si="98"/>
        <v>5</v>
      </c>
      <c r="K378" s="84">
        <f>IF(J378=0,0,IF(B378="F",VLOOKUP(I378,Barem!$G$2:$H$11,2,1),VLOOKUP(I378,Barem!$G$12:$H$21,2,1)))</f>
        <v>0</v>
      </c>
      <c r="L378" s="63">
        <v>4.25</v>
      </c>
      <c r="M378" s="149" t="s">
        <v>109</v>
      </c>
      <c r="N378" s="10">
        <f t="shared" si="101"/>
        <v>0.25</v>
      </c>
      <c r="O378" s="10">
        <f t="shared" si="101"/>
        <v>0.5</v>
      </c>
      <c r="P378" s="10">
        <f t="shared" si="101"/>
        <v>0.25</v>
      </c>
      <c r="Q378" s="47">
        <f t="shared" si="99"/>
        <v>0.64200000000000002</v>
      </c>
      <c r="R378" s="25">
        <f>IF(D378&gt;21,VLOOKUP(D378,Barem!$T$1:$U$141,2,1),0)</f>
        <v>4.9000000000000004</v>
      </c>
      <c r="S378" s="25">
        <f>IF(D378&lt;1.609,0,IF(B378="F",VLOOKUP(I378,Barem!$X$2:$Z$13,2,1),VLOOKUP(I378,Barem!$X$14:$Z$25,2,1)))</f>
        <v>0</v>
      </c>
      <c r="T378" s="25">
        <f>VLOOKUP(A378,Participanti!A:C,3,0)</f>
        <v>0</v>
      </c>
      <c r="U378" s="20">
        <f t="shared" si="100"/>
        <v>7.8544999999999998</v>
      </c>
      <c r="V378" s="76">
        <v>44667</v>
      </c>
      <c r="W378" s="101">
        <f>COUNTIFS(A:A,A378,C:C,C378)</f>
        <v>1</v>
      </c>
      <c r="X378" s="74" t="str">
        <f>VLOOKUP(A378,Data_echipe!A:R,18,0)</f>
        <v>Trail</v>
      </c>
      <c r="Z378" s="106">
        <f t="shared" si="81"/>
        <v>0</v>
      </c>
    </row>
    <row r="379" spans="1:26" x14ac:dyDescent="0.25">
      <c r="A379" s="61" t="s">
        <v>64</v>
      </c>
      <c r="B379" s="74" t="str">
        <f>VLOOKUP(A379,Participanti!A:B,2,0)</f>
        <v>M</v>
      </c>
      <c r="C379" s="98">
        <v>14</v>
      </c>
      <c r="D379" s="63">
        <v>119.01</v>
      </c>
      <c r="E379" s="64">
        <v>0.75518518518518529</v>
      </c>
      <c r="F379" s="64">
        <v>0.99460648148148145</v>
      </c>
      <c r="G379" s="90">
        <f t="shared" si="96"/>
        <v>0.87489583333333343</v>
      </c>
      <c r="H379" s="65">
        <v>902</v>
      </c>
      <c r="I379" s="13">
        <f t="shared" si="97"/>
        <v>7.351448057586198E-3</v>
      </c>
      <c r="J379" s="84">
        <f t="shared" si="98"/>
        <v>5</v>
      </c>
      <c r="K379" s="84">
        <f>IF(J379=0,0,IF(B379="F",VLOOKUP(I379,Barem!$G$2:$H$11,2,1),VLOOKUP(I379,Barem!$G$12:$H$21,2,1)))</f>
        <v>0</v>
      </c>
      <c r="L379" s="63">
        <v>4.25</v>
      </c>
      <c r="M379" s="149" t="s">
        <v>108</v>
      </c>
      <c r="N379" s="10">
        <f t="shared" si="101"/>
        <v>0.5</v>
      </c>
      <c r="O379" s="10">
        <f t="shared" si="101"/>
        <v>0.25</v>
      </c>
      <c r="P379" s="10">
        <f t="shared" si="101"/>
        <v>0.25</v>
      </c>
      <c r="Q379" s="47">
        <f t="shared" si="99"/>
        <v>0.60133333333333339</v>
      </c>
      <c r="R379" s="25">
        <f>IF(D379&gt;21,VLOOKUP(D379,Barem!$T$1:$U$141,2,1),0)</f>
        <v>4.4000000000000004</v>
      </c>
      <c r="S379" s="25">
        <f>IF(D379&lt;1.609,0,IF(B379="F",VLOOKUP(I379,Barem!$X$2:$Z$13,2,1),VLOOKUP(I379,Barem!$X$14:$Z$25,2,1)))</f>
        <v>0</v>
      </c>
      <c r="T379" s="25">
        <f>VLOOKUP(A379,Participanti!A:C,3,0)</f>
        <v>0</v>
      </c>
      <c r="U379" s="20">
        <f t="shared" si="100"/>
        <v>8.563833333333335</v>
      </c>
      <c r="V379" s="76">
        <v>44667</v>
      </c>
      <c r="W379" s="101">
        <f>COUNTIFS(A:A,A379,C:C,C379)</f>
        <v>1</v>
      </c>
      <c r="X379" s="74" t="str">
        <f>VLOOKUP(A379,Data_echipe!A:R,18,0)</f>
        <v>Trail</v>
      </c>
      <c r="Z379" s="106">
        <f t="shared" si="81"/>
        <v>0</v>
      </c>
    </row>
    <row r="380" spans="1:26" x14ac:dyDescent="0.25">
      <c r="A380" s="61" t="s">
        <v>216</v>
      </c>
      <c r="B380" s="74" t="str">
        <f>VLOOKUP(A380,Participanti!A:B,2,0)</f>
        <v>M</v>
      </c>
      <c r="C380" s="98">
        <v>14</v>
      </c>
      <c r="D380" s="63">
        <v>6.07</v>
      </c>
      <c r="E380" s="64">
        <v>2.3391203703703702E-2</v>
      </c>
      <c r="F380" s="64">
        <v>4.2002314814814812E-2</v>
      </c>
      <c r="G380" s="90">
        <f t="shared" si="96"/>
        <v>3.2696759259259259E-2</v>
      </c>
      <c r="H380" s="65">
        <v>94</v>
      </c>
      <c r="I380" s="13">
        <f t="shared" si="97"/>
        <v>5.386616022942217E-3</v>
      </c>
      <c r="J380" s="84">
        <f t="shared" si="98"/>
        <v>1.4452380952380952</v>
      </c>
      <c r="K380" s="84">
        <f>IF(J380=0,0,IF(B380="F",VLOOKUP(I380,Barem!$G$2:$H$11,2,1),VLOOKUP(I380,Barem!$G$12:$H$21,2,1)))</f>
        <v>1</v>
      </c>
      <c r="L380" s="63">
        <v>4</v>
      </c>
      <c r="M380" s="62" t="str">
        <f>VLOOKUP(C380,Barem!L:R,7,0)</f>
        <v>P</v>
      </c>
      <c r="N380" s="10">
        <f t="shared" si="101"/>
        <v>0.25</v>
      </c>
      <c r="O380" s="10">
        <f t="shared" si="101"/>
        <v>0.25</v>
      </c>
      <c r="P380" s="10">
        <f t="shared" si="101"/>
        <v>0.5</v>
      </c>
      <c r="Q380" s="47">
        <f t="shared" si="99"/>
        <v>6.2666666666666662E-2</v>
      </c>
      <c r="R380" s="25">
        <f>IF(D380&gt;21,VLOOKUP(D380,Barem!$T$1:$U$141,2,1),0)</f>
        <v>0</v>
      </c>
      <c r="S380" s="25">
        <f>IF(D380&lt;1.609,0,IF(B380="F",VLOOKUP(I380,Barem!$X$2:$Z$13,2,1),VLOOKUP(I380,Barem!$X$14:$Z$25,2,1)))</f>
        <v>0</v>
      </c>
      <c r="T380" s="25">
        <f>VLOOKUP(A380,Participanti!A:C,3,0)</f>
        <v>0</v>
      </c>
      <c r="U380" s="20">
        <f t="shared" si="100"/>
        <v>2.673976190476191</v>
      </c>
      <c r="V380" s="76">
        <v>44667</v>
      </c>
      <c r="W380" s="101">
        <f>COUNTIFS(A:A,A380,C:C,C380)</f>
        <v>1</v>
      </c>
      <c r="X380" s="74" t="str">
        <f>VLOOKUP(A380,Data_echipe!A:R,18,0)</f>
        <v>Road</v>
      </c>
      <c r="Z380" s="106">
        <f t="shared" si="81"/>
        <v>1</v>
      </c>
    </row>
    <row r="381" spans="1:26" x14ac:dyDescent="0.25">
      <c r="A381" s="61" t="s">
        <v>255</v>
      </c>
      <c r="B381" s="74" t="str">
        <f>VLOOKUP(A381,Participanti!A:B,2,0)</f>
        <v>F</v>
      </c>
      <c r="C381" s="98">
        <v>14</v>
      </c>
      <c r="D381" s="63">
        <v>16.02</v>
      </c>
      <c r="E381" s="64">
        <v>5.8495370370370371E-2</v>
      </c>
      <c r="F381" s="64">
        <v>5.8703703703703702E-2</v>
      </c>
      <c r="G381" s="90">
        <f t="shared" si="96"/>
        <v>5.8599537037037033E-2</v>
      </c>
      <c r="H381" s="65">
        <v>62</v>
      </c>
      <c r="I381" s="13">
        <f t="shared" si="97"/>
        <v>3.6578986914505016E-3</v>
      </c>
      <c r="J381" s="84">
        <f t="shared" si="98"/>
        <v>4.0049999999999999</v>
      </c>
      <c r="K381" s="84">
        <f>IF(J381=0,0,IF(B381="F",VLOOKUP(I381,Barem!$G$2:$H$11,2,1),VLOOKUP(I381,Barem!$G$12:$H$21,2,1)))</f>
        <v>3</v>
      </c>
      <c r="L381" s="63">
        <v>1.75</v>
      </c>
      <c r="M381" s="149" t="s">
        <v>109</v>
      </c>
      <c r="N381" s="10">
        <f t="shared" si="101"/>
        <v>0.25</v>
      </c>
      <c r="O381" s="10">
        <f t="shared" si="101"/>
        <v>0.5</v>
      </c>
      <c r="P381" s="10">
        <f t="shared" si="101"/>
        <v>0.25</v>
      </c>
      <c r="Q381" s="47">
        <f t="shared" si="99"/>
        <v>4.1333333333333333E-2</v>
      </c>
      <c r="R381" s="25">
        <f>IF(D381&gt;21,VLOOKUP(D381,Barem!$T$1:$U$141,2,1),0)</f>
        <v>0</v>
      </c>
      <c r="S381" s="25">
        <f>IF(D381&lt;1.609,0,IF(B381="F",VLOOKUP(I381,Barem!$X$2:$Z$13,2,1),VLOOKUP(I381,Barem!$X$14:$Z$25,2,1)))</f>
        <v>0</v>
      </c>
      <c r="T381" s="25">
        <f>VLOOKUP(A381,Participanti!A:C,3,0)</f>
        <v>0</v>
      </c>
      <c r="U381" s="20">
        <f t="shared" si="100"/>
        <v>2.980083333333333</v>
      </c>
      <c r="V381" s="76">
        <v>44662</v>
      </c>
      <c r="W381" s="101">
        <f>COUNTIFS(A:A,A381,C:C,C381)</f>
        <v>1</v>
      </c>
      <c r="X381" s="74" t="str">
        <f>VLOOKUP(A381,Data_echipe!A:R,18,0)</f>
        <v>Trail</v>
      </c>
      <c r="Z381" s="106">
        <f t="shared" si="81"/>
        <v>1</v>
      </c>
    </row>
    <row r="382" spans="1:26" x14ac:dyDescent="0.25">
      <c r="A382" s="61" t="s">
        <v>57</v>
      </c>
      <c r="B382" s="74" t="str">
        <f>VLOOKUP(A382,Participanti!A:B,2,0)</f>
        <v>M</v>
      </c>
      <c r="C382" s="98">
        <v>14</v>
      </c>
      <c r="D382" s="63">
        <v>3</v>
      </c>
      <c r="E382" s="64">
        <v>1.0300925925925927E-2</v>
      </c>
      <c r="F382" s="64">
        <v>1.0300925925925927E-2</v>
      </c>
      <c r="G382" s="90">
        <f t="shared" si="96"/>
        <v>1.0300925925925927E-2</v>
      </c>
      <c r="H382" s="65">
        <v>6</v>
      </c>
      <c r="I382" s="13">
        <f t="shared" si="97"/>
        <v>3.4336419753086423E-3</v>
      </c>
      <c r="J382" s="84">
        <f t="shared" si="98"/>
        <v>0.7142857142857143</v>
      </c>
      <c r="K382" s="84">
        <f>IF(J382=0,0,IF(B382="F",VLOOKUP(I382,Barem!$G$2:$H$11,2,1),VLOOKUP(I382,Barem!$G$12:$H$21,2,1)))</f>
        <v>3</v>
      </c>
      <c r="L382" s="63">
        <v>3.75</v>
      </c>
      <c r="M382" s="149" t="s">
        <v>109</v>
      </c>
      <c r="N382" s="10">
        <f t="shared" si="101"/>
        <v>0.25</v>
      </c>
      <c r="O382" s="10">
        <f t="shared" si="101"/>
        <v>0.5</v>
      </c>
      <c r="P382" s="10">
        <f t="shared" si="101"/>
        <v>0.25</v>
      </c>
      <c r="Q382" s="47">
        <f t="shared" si="99"/>
        <v>0</v>
      </c>
      <c r="R382" s="25">
        <f>IF(D382&gt;21,VLOOKUP(D382,Barem!$T$1:$U$141,2,1),0)</f>
        <v>0</v>
      </c>
      <c r="S382" s="25">
        <f>IF(D382&lt;1.609,0,IF(B382="F",VLOOKUP(I382,Barem!$X$2:$Z$13,2,1),VLOOKUP(I382,Barem!$X$14:$Z$25,2,1)))</f>
        <v>0</v>
      </c>
      <c r="T382" s="25">
        <f>VLOOKUP(A382,Participanti!A:C,3,0)</f>
        <v>0</v>
      </c>
      <c r="U382" s="20">
        <f t="shared" si="100"/>
        <v>2.6160714285714288</v>
      </c>
      <c r="V382" s="76">
        <v>44668</v>
      </c>
      <c r="W382" s="101">
        <f>COUNTIFS(A:A,A382,C:C,C382)</f>
        <v>1</v>
      </c>
      <c r="X382" s="74" t="str">
        <f>VLOOKUP(A382,Data_echipe!A:R,18,0)</f>
        <v>Trail</v>
      </c>
      <c r="Z382" s="106">
        <f t="shared" si="81"/>
        <v>1</v>
      </c>
    </row>
    <row r="383" spans="1:26" x14ac:dyDescent="0.25">
      <c r="A383" s="61" t="s">
        <v>215</v>
      </c>
      <c r="B383" s="74" t="str">
        <f>VLOOKUP(A383,Participanti!A:B,2,0)</f>
        <v>M</v>
      </c>
      <c r="C383" s="98">
        <v>14</v>
      </c>
      <c r="D383" s="63">
        <v>20.86</v>
      </c>
      <c r="E383" s="64">
        <v>6.7245370370370372E-2</v>
      </c>
      <c r="F383" s="64">
        <v>6.7245370370370372E-2</v>
      </c>
      <c r="G383" s="90">
        <f t="shared" si="96"/>
        <v>6.7245370370370372E-2</v>
      </c>
      <c r="H383" s="65">
        <v>234</v>
      </c>
      <c r="I383" s="13">
        <f t="shared" si="97"/>
        <v>3.2236515038528463E-3</v>
      </c>
      <c r="J383" s="84">
        <f t="shared" si="98"/>
        <v>4.9666666666666659</v>
      </c>
      <c r="K383" s="84">
        <f>IF(J383=0,0,IF(B383="F",VLOOKUP(I383,Barem!$G$2:$H$11,2,1),VLOOKUP(I383,Barem!$G$12:$H$21,2,1)))</f>
        <v>3.5</v>
      </c>
      <c r="L383" s="63">
        <v>3</v>
      </c>
      <c r="M383" s="62" t="str">
        <f>VLOOKUP(C383,Barem!L:R,7,0)</f>
        <v>P</v>
      </c>
      <c r="N383" s="10">
        <f t="shared" si="101"/>
        <v>0.25</v>
      </c>
      <c r="O383" s="10">
        <f t="shared" si="101"/>
        <v>0.25</v>
      </c>
      <c r="P383" s="10">
        <f t="shared" si="101"/>
        <v>0.5</v>
      </c>
      <c r="Q383" s="47">
        <f t="shared" si="99"/>
        <v>0.156</v>
      </c>
      <c r="R383" s="25">
        <f>IF(D383&gt;21,VLOOKUP(D383,Barem!$T$1:$U$141,2,1),0)</f>
        <v>0</v>
      </c>
      <c r="S383" s="25">
        <f>IF(D383&lt;1.609,0,IF(B383="F",VLOOKUP(I383,Barem!$X$2:$Z$13,2,1),VLOOKUP(I383,Barem!$X$14:$Z$25,2,1)))</f>
        <v>0</v>
      </c>
      <c r="T383" s="25">
        <f>VLOOKUP(A383,Participanti!A:C,3,0)</f>
        <v>0</v>
      </c>
      <c r="U383" s="20">
        <f t="shared" si="100"/>
        <v>3.7726666666666664</v>
      </c>
      <c r="V383" s="76">
        <v>44668</v>
      </c>
      <c r="W383" s="101">
        <f>COUNTIFS(A:A,A383,C:C,C383)</f>
        <v>1</v>
      </c>
      <c r="X383" s="74" t="str">
        <f>VLOOKUP(A383,Data_echipe!A:R,18,0)</f>
        <v>Trail</v>
      </c>
      <c r="Z383" s="106">
        <f t="shared" si="81"/>
        <v>1</v>
      </c>
    </row>
    <row r="384" spans="1:26" x14ac:dyDescent="0.25">
      <c r="A384" s="61" t="s">
        <v>185</v>
      </c>
      <c r="B384" s="74" t="str">
        <f>VLOOKUP(A384,Participanti!A:B,2,0)</f>
        <v>F</v>
      </c>
      <c r="C384" s="98">
        <v>14</v>
      </c>
      <c r="D384" s="63">
        <v>5.23</v>
      </c>
      <c r="E384" s="64">
        <v>2.4398148148148145E-2</v>
      </c>
      <c r="F384" s="64">
        <v>2.6967592592592595E-2</v>
      </c>
      <c r="G384" s="90">
        <f t="shared" si="96"/>
        <v>2.568287037037037E-2</v>
      </c>
      <c r="H384" s="65">
        <v>7</v>
      </c>
      <c r="I384" s="13">
        <f t="shared" si="97"/>
        <v>4.9106826711989232E-3</v>
      </c>
      <c r="J384" s="84">
        <f t="shared" si="98"/>
        <v>1.3075000000000001</v>
      </c>
      <c r="K384" s="84">
        <f>IF(J384=0,0,IF(B384="F",VLOOKUP(I384,Barem!$G$2:$H$11,2,1),VLOOKUP(I384,Barem!$G$12:$H$21,2,1)))</f>
        <v>1</v>
      </c>
      <c r="L384" s="63">
        <v>3.75</v>
      </c>
      <c r="M384" s="62" t="str">
        <f>VLOOKUP(C384,Barem!L:R,7,0)</f>
        <v>P</v>
      </c>
      <c r="N384" s="10">
        <f t="shared" si="101"/>
        <v>0.25</v>
      </c>
      <c r="O384" s="10">
        <f t="shared" si="101"/>
        <v>0.25</v>
      </c>
      <c r="P384" s="10">
        <f t="shared" si="101"/>
        <v>0.5</v>
      </c>
      <c r="Q384" s="47">
        <f t="shared" si="99"/>
        <v>0</v>
      </c>
      <c r="R384" s="25">
        <f>IF(D384&gt;21,VLOOKUP(D384,Barem!$T$1:$U$141,2,1),0)</f>
        <v>0</v>
      </c>
      <c r="S384" s="25">
        <f>IF(D384&lt;1.609,0,IF(B384="F",VLOOKUP(I384,Barem!$X$2:$Z$13,2,1),VLOOKUP(I384,Barem!$X$14:$Z$25,2,1)))</f>
        <v>0</v>
      </c>
      <c r="T384" s="25">
        <f>VLOOKUP(A384,Participanti!A:C,3,0)</f>
        <v>0</v>
      </c>
      <c r="U384" s="20">
        <f t="shared" si="100"/>
        <v>2.4518750000000002</v>
      </c>
      <c r="V384" s="76">
        <v>44666</v>
      </c>
      <c r="W384" s="101">
        <f>COUNTIFS(A:A,A384,C:C,C384)</f>
        <v>1</v>
      </c>
      <c r="X384" s="74" t="str">
        <f>VLOOKUP(A384,Data_echipe!A:R,18,0)</f>
        <v>Road</v>
      </c>
      <c r="Z384" s="106">
        <f t="shared" si="81"/>
        <v>1</v>
      </c>
    </row>
    <row r="385" spans="1:26" x14ac:dyDescent="0.25">
      <c r="A385" s="61" t="s">
        <v>143</v>
      </c>
      <c r="B385" s="74" t="str">
        <f>VLOOKUP(A385,Participanti!A:B,2,0)</f>
        <v>M</v>
      </c>
      <c r="C385" s="98">
        <v>14</v>
      </c>
      <c r="D385" s="63">
        <v>21.21</v>
      </c>
      <c r="E385" s="64">
        <v>8.038194444444445E-2</v>
      </c>
      <c r="F385" s="64">
        <v>8.3553240740740733E-2</v>
      </c>
      <c r="G385" s="90">
        <f t="shared" si="96"/>
        <v>8.1967592592592592E-2</v>
      </c>
      <c r="H385" s="65">
        <v>83</v>
      </c>
      <c r="I385" s="13">
        <f t="shared" si="97"/>
        <v>3.8645729652330312E-3</v>
      </c>
      <c r="J385" s="84">
        <f t="shared" si="98"/>
        <v>5</v>
      </c>
      <c r="K385" s="84">
        <f>IF(J385=0,0,IF(B385="F",VLOOKUP(I385,Barem!$G$2:$H$11,2,1),VLOOKUP(I385,Barem!$G$12:$H$21,2,1)))</f>
        <v>1.5</v>
      </c>
      <c r="L385" s="63">
        <v>3.5</v>
      </c>
      <c r="M385" s="62" t="str">
        <f>VLOOKUP(C385,Barem!L:R,7,0)</f>
        <v>P</v>
      </c>
      <c r="N385" s="10">
        <f t="shared" si="101"/>
        <v>0.25</v>
      </c>
      <c r="O385" s="10">
        <f t="shared" si="101"/>
        <v>0.25</v>
      </c>
      <c r="P385" s="10">
        <f t="shared" si="101"/>
        <v>0.5</v>
      </c>
      <c r="Q385" s="47">
        <f t="shared" si="99"/>
        <v>5.5333333333333332E-2</v>
      </c>
      <c r="R385" s="25">
        <f>IF(D385&gt;21,VLOOKUP(D385,Barem!$T$1:$U$141,2,1),0)</f>
        <v>0</v>
      </c>
      <c r="S385" s="25">
        <f>IF(D385&lt;1.609,0,IF(B385="F",VLOOKUP(I385,Barem!$X$2:$Z$13,2,1),VLOOKUP(I385,Barem!$X$14:$Z$25,2,1)))</f>
        <v>0</v>
      </c>
      <c r="T385" s="25">
        <f>VLOOKUP(A385,Participanti!A:C,3,0)</f>
        <v>0</v>
      </c>
      <c r="U385" s="20">
        <f t="shared" si="100"/>
        <v>3.4303333333333335</v>
      </c>
      <c r="V385" s="76">
        <v>44663</v>
      </c>
      <c r="W385" s="101">
        <f>COUNTIFS(A:A,A385,C:C,C385)</f>
        <v>1</v>
      </c>
      <c r="X385" s="74" t="str">
        <f>VLOOKUP(A385,Data_echipe!A:R,18,0)</f>
        <v>Road</v>
      </c>
      <c r="Z385" s="106">
        <f t="shared" si="81"/>
        <v>1</v>
      </c>
    </row>
    <row r="386" spans="1:26" x14ac:dyDescent="0.25">
      <c r="A386" s="61" t="s">
        <v>179</v>
      </c>
      <c r="B386" s="74" t="str">
        <f>VLOOKUP(A386,Participanti!A:B,2,0)</f>
        <v>F</v>
      </c>
      <c r="C386" s="98">
        <v>14</v>
      </c>
      <c r="D386" s="63">
        <v>8.0500000000000007</v>
      </c>
      <c r="E386" s="64">
        <v>3.2650462962962964E-2</v>
      </c>
      <c r="F386" s="64">
        <v>3.6539351851851851E-2</v>
      </c>
      <c r="G386" s="90">
        <f t="shared" si="96"/>
        <v>3.4594907407407408E-2</v>
      </c>
      <c r="H386" s="65">
        <v>33</v>
      </c>
      <c r="I386" s="13">
        <f t="shared" si="97"/>
        <v>4.2975040257648952E-3</v>
      </c>
      <c r="J386" s="84">
        <f t="shared" si="98"/>
        <v>2.0125000000000002</v>
      </c>
      <c r="K386" s="84">
        <f>IF(J386=0,0,IF(B386="F",VLOOKUP(I386,Barem!$G$2:$H$11,2,1),VLOOKUP(I386,Barem!$G$12:$H$21,2,1)))</f>
        <v>1.5</v>
      </c>
      <c r="L386" s="63">
        <v>2.75</v>
      </c>
      <c r="M386" s="62" t="str">
        <f>VLOOKUP(C386,Barem!L:R,7,0)</f>
        <v>P</v>
      </c>
      <c r="N386" s="10">
        <f t="shared" si="101"/>
        <v>0.25</v>
      </c>
      <c r="O386" s="10">
        <f t="shared" si="101"/>
        <v>0.25</v>
      </c>
      <c r="P386" s="10">
        <f t="shared" si="101"/>
        <v>0.5</v>
      </c>
      <c r="Q386" s="47">
        <f t="shared" si="99"/>
        <v>0</v>
      </c>
      <c r="R386" s="25">
        <f>IF(D386&gt;21,VLOOKUP(D386,Barem!$T$1:$U$141,2,1),0)</f>
        <v>0</v>
      </c>
      <c r="S386" s="25">
        <f>IF(D386&lt;1.609,0,IF(B386="F",VLOOKUP(I386,Barem!$X$2:$Z$13,2,1),VLOOKUP(I386,Barem!$X$14:$Z$25,2,1)))</f>
        <v>0</v>
      </c>
      <c r="T386" s="25">
        <f>VLOOKUP(A386,Participanti!A:C,3,0)</f>
        <v>0</v>
      </c>
      <c r="U386" s="20">
        <f t="shared" si="100"/>
        <v>2.2531249999999998</v>
      </c>
      <c r="V386" s="76">
        <v>44664</v>
      </c>
      <c r="W386" s="101">
        <f>COUNTIFS(A:A,A386,C:C,C386)</f>
        <v>1</v>
      </c>
      <c r="X386" s="74" t="str">
        <f>VLOOKUP(A386,Data_echipe!A:R,18,0)</f>
        <v>Trail</v>
      </c>
      <c r="Z386" s="106">
        <f t="shared" si="81"/>
        <v>1</v>
      </c>
    </row>
    <row r="387" spans="1:26" x14ac:dyDescent="0.25">
      <c r="A387" s="61" t="s">
        <v>119</v>
      </c>
      <c r="B387" s="74" t="str">
        <f>VLOOKUP(A387,Participanti!A:B,2,0)</f>
        <v>F</v>
      </c>
      <c r="C387" s="98">
        <v>14</v>
      </c>
      <c r="D387" s="63">
        <v>3.48</v>
      </c>
      <c r="E387" s="64">
        <v>1.4502314814814815E-2</v>
      </c>
      <c r="F387" s="64">
        <v>2.0208333333333335E-2</v>
      </c>
      <c r="G387" s="90">
        <f t="shared" si="96"/>
        <v>1.7355324074074075E-2</v>
      </c>
      <c r="H387" s="65">
        <v>12</v>
      </c>
      <c r="I387" s="13">
        <f t="shared" si="97"/>
        <v>4.987162090251171E-3</v>
      </c>
      <c r="J387" s="84">
        <f t="shared" si="98"/>
        <v>0.87</v>
      </c>
      <c r="K387" s="84">
        <f>IF(J387=0,0,IF(B387="F",VLOOKUP(I387,Barem!$G$2:$H$11,2,1),VLOOKUP(I387,Barem!$G$12:$H$21,2,1)))</f>
        <v>1</v>
      </c>
      <c r="L387" s="63">
        <v>3.25</v>
      </c>
      <c r="M387" s="149" t="s">
        <v>108</v>
      </c>
      <c r="N387" s="10">
        <f t="shared" si="101"/>
        <v>0.5</v>
      </c>
      <c r="O387" s="10">
        <f t="shared" si="101"/>
        <v>0.25</v>
      </c>
      <c r="P387" s="10">
        <f t="shared" si="101"/>
        <v>0.25</v>
      </c>
      <c r="Q387" s="47">
        <f t="shared" si="99"/>
        <v>0</v>
      </c>
      <c r="R387" s="25">
        <f>IF(D387&gt;21,VLOOKUP(D387,Barem!$T$1:$U$141,2,1),0)</f>
        <v>0</v>
      </c>
      <c r="S387" s="25">
        <f>IF(D387&lt;1.609,0,IF(B387="F",VLOOKUP(I387,Barem!$X$2:$Z$13,2,1),VLOOKUP(I387,Barem!$X$14:$Z$25,2,1)))</f>
        <v>0</v>
      </c>
      <c r="T387" s="25">
        <f>VLOOKUP(A387,Participanti!A:C,3,0)</f>
        <v>0</v>
      </c>
      <c r="U387" s="20">
        <f t="shared" si="100"/>
        <v>1.4975000000000001</v>
      </c>
      <c r="V387" s="76">
        <v>44667</v>
      </c>
      <c r="W387" s="101">
        <f>COUNTIFS(A:A,A387,C:C,C387)</f>
        <v>1</v>
      </c>
      <c r="X387" s="74" t="str">
        <f>VLOOKUP(A387,Data_echipe!A:R,18,0)</f>
        <v>Trail</v>
      </c>
      <c r="Z387" s="106">
        <f t="shared" ref="Z387:Z413" si="102">IF(K387&gt;0,1,0)</f>
        <v>1</v>
      </c>
    </row>
    <row r="388" spans="1:26" x14ac:dyDescent="0.25">
      <c r="A388" s="61" t="s">
        <v>102</v>
      </c>
      <c r="B388" s="74" t="str">
        <f>VLOOKUP(A388,Participanti!A:B,2,0)</f>
        <v>F</v>
      </c>
      <c r="C388" s="98">
        <v>14</v>
      </c>
      <c r="D388" s="63">
        <v>3.01</v>
      </c>
      <c r="E388" s="64">
        <v>1.0543981481481481E-2</v>
      </c>
      <c r="F388" s="64">
        <v>1.0810185185185185E-2</v>
      </c>
      <c r="G388" s="90">
        <f t="shared" si="96"/>
        <v>1.0677083333333334E-2</v>
      </c>
      <c r="H388" s="65">
        <v>0</v>
      </c>
      <c r="I388" s="13">
        <f t="shared" si="97"/>
        <v>3.5472037652270216E-3</v>
      </c>
      <c r="J388" s="84">
        <f t="shared" si="98"/>
        <v>0.75249999999999995</v>
      </c>
      <c r="K388" s="84">
        <f>IF(J388=0,0,IF(B388="F",VLOOKUP(I388,Barem!$G$2:$H$11,2,1),VLOOKUP(I388,Barem!$G$12:$H$21,2,1)))</f>
        <v>3.5</v>
      </c>
      <c r="L388" s="63">
        <v>2.5</v>
      </c>
      <c r="M388" s="149" t="s">
        <v>109</v>
      </c>
      <c r="N388" s="10">
        <f t="shared" si="101"/>
        <v>0.25</v>
      </c>
      <c r="O388" s="10">
        <f t="shared" si="101"/>
        <v>0.5</v>
      </c>
      <c r="P388" s="10">
        <f t="shared" si="101"/>
        <v>0.25</v>
      </c>
      <c r="Q388" s="47">
        <f t="shared" si="99"/>
        <v>0</v>
      </c>
      <c r="R388" s="25">
        <f>IF(D388&gt;21,VLOOKUP(D388,Barem!$T$1:$U$141,2,1),0)</f>
        <v>0</v>
      </c>
      <c r="S388" s="25">
        <f>IF(D388&lt;1.609,0,IF(B388="F",VLOOKUP(I388,Barem!$X$2:$Z$13,2,1),VLOOKUP(I388,Barem!$X$14:$Z$25,2,1)))</f>
        <v>0</v>
      </c>
      <c r="T388" s="25">
        <f>VLOOKUP(A388,Participanti!A:C,3,0)</f>
        <v>0</v>
      </c>
      <c r="U388" s="20">
        <f t="shared" si="100"/>
        <v>2.5631249999999999</v>
      </c>
      <c r="V388" s="76">
        <v>44668</v>
      </c>
      <c r="W388" s="101">
        <f>COUNTIFS(A:A,A388,C:C,C388)</f>
        <v>1</v>
      </c>
      <c r="X388" s="74" t="str">
        <f>VLOOKUP(A388,Data_echipe!A:R,18,0)</f>
        <v>Trail</v>
      </c>
      <c r="Z388" s="106">
        <f t="shared" si="102"/>
        <v>1</v>
      </c>
    </row>
    <row r="389" spans="1:26" x14ac:dyDescent="0.25">
      <c r="A389" s="61" t="s">
        <v>217</v>
      </c>
      <c r="B389" s="74" t="str">
        <f>VLOOKUP(A389,Participanti!A:B,2,0)</f>
        <v>M</v>
      </c>
      <c r="C389" s="98">
        <v>14</v>
      </c>
      <c r="D389" s="63">
        <v>7.01</v>
      </c>
      <c r="E389" s="64">
        <v>2.3877314814814813E-2</v>
      </c>
      <c r="F389" s="64">
        <v>2.3969907407407409E-2</v>
      </c>
      <c r="G389" s="90">
        <f t="shared" si="96"/>
        <v>2.3923611111111111E-2</v>
      </c>
      <c r="H389" s="65">
        <v>10</v>
      </c>
      <c r="I389" s="13">
        <f t="shared" si="97"/>
        <v>3.412783325408147E-3</v>
      </c>
      <c r="J389" s="84">
        <f t="shared" si="98"/>
        <v>1.6690476190476189</v>
      </c>
      <c r="K389" s="84">
        <f>IF(J389=0,0,IF(B389="F",VLOOKUP(I389,Barem!$G$2:$H$11,2,1),VLOOKUP(I389,Barem!$G$12:$H$21,2,1)))</f>
        <v>3</v>
      </c>
      <c r="L389" s="63">
        <v>1</v>
      </c>
      <c r="M389" s="62" t="str">
        <f>VLOOKUP(C389,Barem!L:R,7,0)</f>
        <v>P</v>
      </c>
      <c r="N389" s="10">
        <f t="shared" si="101"/>
        <v>0.25</v>
      </c>
      <c r="O389" s="10">
        <f t="shared" si="101"/>
        <v>0.25</v>
      </c>
      <c r="P389" s="10">
        <f t="shared" si="101"/>
        <v>0.5</v>
      </c>
      <c r="Q389" s="47">
        <f t="shared" si="99"/>
        <v>0</v>
      </c>
      <c r="R389" s="25">
        <f>IF(D389&gt;21,VLOOKUP(D389,Barem!$T$1:$U$141,2,1),0)</f>
        <v>0</v>
      </c>
      <c r="S389" s="25">
        <f>IF(D389&lt;1.609,0,IF(B389="F",VLOOKUP(I389,Barem!$X$2:$Z$13,2,1),VLOOKUP(I389,Barem!$X$14:$Z$25,2,1)))</f>
        <v>0</v>
      </c>
      <c r="T389" s="25">
        <f>VLOOKUP(A389,Participanti!A:C,3,0)</f>
        <v>0</v>
      </c>
      <c r="U389" s="20">
        <f t="shared" si="100"/>
        <v>1.6672619047619048</v>
      </c>
      <c r="V389" s="76">
        <v>44665</v>
      </c>
      <c r="W389" s="101">
        <f>COUNTIFS(A:A,A389,C:C,C389)</f>
        <v>1</v>
      </c>
      <c r="X389" s="74" t="e">
        <f>VLOOKUP(A389,Data_echipe!A:R,18,0)</f>
        <v>#N/A</v>
      </c>
      <c r="Z389" s="106">
        <f t="shared" si="102"/>
        <v>1</v>
      </c>
    </row>
    <row r="390" spans="1:26" x14ac:dyDescent="0.25">
      <c r="A390" s="61" t="s">
        <v>142</v>
      </c>
      <c r="B390" s="74" t="str">
        <f>VLOOKUP(A390,Participanti!A:B,2,0)</f>
        <v>F</v>
      </c>
      <c r="C390" s="98">
        <v>14</v>
      </c>
      <c r="D390" s="63">
        <v>11.01</v>
      </c>
      <c r="E390" s="64">
        <v>5.077546296296296E-2</v>
      </c>
      <c r="F390" s="64">
        <v>5.4780092592592589E-2</v>
      </c>
      <c r="G390" s="90">
        <f t="shared" si="96"/>
        <v>5.2777777777777771E-2</v>
      </c>
      <c r="H390" s="65">
        <v>171</v>
      </c>
      <c r="I390" s="13">
        <f t="shared" si="97"/>
        <v>4.7936219598344936E-3</v>
      </c>
      <c r="J390" s="84">
        <f t="shared" si="98"/>
        <v>2.7524999999999999</v>
      </c>
      <c r="K390" s="84">
        <f>IF(J390=0,0,IF(B390="F",VLOOKUP(I390,Barem!$G$2:$H$11,2,1),VLOOKUP(I390,Barem!$G$12:$H$21,2,1)))</f>
        <v>1</v>
      </c>
      <c r="L390" s="63">
        <v>3.5</v>
      </c>
      <c r="M390" s="62" t="str">
        <f>VLOOKUP(C390,Barem!L:R,7,0)</f>
        <v>P</v>
      </c>
      <c r="N390" s="10">
        <f t="shared" si="101"/>
        <v>0.25</v>
      </c>
      <c r="O390" s="10">
        <f t="shared" si="101"/>
        <v>0.25</v>
      </c>
      <c r="P390" s="10">
        <f t="shared" si="101"/>
        <v>0.5</v>
      </c>
      <c r="Q390" s="47">
        <f t="shared" si="99"/>
        <v>0.114</v>
      </c>
      <c r="R390" s="25">
        <f>IF(D390&gt;21,VLOOKUP(D390,Barem!$T$1:$U$141,2,1),0)</f>
        <v>0</v>
      </c>
      <c r="S390" s="25">
        <f>IF(D390&lt;1.609,0,IF(B390="F",VLOOKUP(I390,Barem!$X$2:$Z$13,2,1),VLOOKUP(I390,Barem!$X$14:$Z$25,2,1)))</f>
        <v>0</v>
      </c>
      <c r="T390" s="25">
        <f>VLOOKUP(A390,Participanti!A:C,3,0)</f>
        <v>0</v>
      </c>
      <c r="U390" s="20">
        <f t="shared" si="100"/>
        <v>2.8021249999999998</v>
      </c>
      <c r="V390" s="76">
        <v>44667</v>
      </c>
      <c r="W390" s="101">
        <f>COUNTIFS(A:A,A390,C:C,C390)</f>
        <v>1</v>
      </c>
      <c r="X390" s="74" t="str">
        <f>VLOOKUP(A390,Data_echipe!A:R,18,0)</f>
        <v>Trail</v>
      </c>
      <c r="Z390" s="106">
        <f t="shared" si="102"/>
        <v>1</v>
      </c>
    </row>
    <row r="391" spans="1:26" x14ac:dyDescent="0.25">
      <c r="A391" s="61" t="s">
        <v>48</v>
      </c>
      <c r="B391" s="74" t="str">
        <f>VLOOKUP(A391,Participanti!A:B,2,0)</f>
        <v>M</v>
      </c>
      <c r="C391" s="98">
        <v>14</v>
      </c>
      <c r="D391" s="63">
        <v>8</v>
      </c>
      <c r="E391" s="64">
        <v>2.8125000000000001E-2</v>
      </c>
      <c r="F391" s="64">
        <v>2.8217592592592589E-2</v>
      </c>
      <c r="G391" s="90">
        <f t="shared" si="96"/>
        <v>2.8171296296296295E-2</v>
      </c>
      <c r="H391" s="65">
        <v>39</v>
      </c>
      <c r="I391" s="13">
        <f t="shared" si="97"/>
        <v>3.5214120370370369E-3</v>
      </c>
      <c r="J391" s="84">
        <f t="shared" si="98"/>
        <v>1.9047619047619047</v>
      </c>
      <c r="K391" s="84">
        <f>IF(J391=0,0,IF(B391="F",VLOOKUP(I391,Barem!$G$2:$H$11,2,1),VLOOKUP(I391,Barem!$G$12:$H$21,2,1)))</f>
        <v>2.5</v>
      </c>
      <c r="L391" s="63">
        <v>2.5</v>
      </c>
      <c r="M391" s="62" t="str">
        <f>VLOOKUP(C391,Barem!L:R,7,0)</f>
        <v>P</v>
      </c>
      <c r="N391" s="10">
        <f t="shared" si="101"/>
        <v>0.25</v>
      </c>
      <c r="O391" s="10">
        <f t="shared" si="101"/>
        <v>0.25</v>
      </c>
      <c r="P391" s="10">
        <f t="shared" si="101"/>
        <v>0.5</v>
      </c>
      <c r="Q391" s="47">
        <f t="shared" si="99"/>
        <v>0</v>
      </c>
      <c r="R391" s="25">
        <f>IF(D391&gt;21,VLOOKUP(D391,Barem!$T$1:$U$141,2,1),0)</f>
        <v>0</v>
      </c>
      <c r="S391" s="25">
        <f>IF(D391&lt;1.609,0,IF(B391="F",VLOOKUP(I391,Barem!$X$2:$Z$13,2,1),VLOOKUP(I391,Barem!$X$14:$Z$25,2,1)))</f>
        <v>0</v>
      </c>
      <c r="T391" s="25">
        <f>VLOOKUP(A391,Participanti!A:C,3,0)</f>
        <v>0</v>
      </c>
      <c r="U391" s="20">
        <f t="shared" si="100"/>
        <v>2.3511904761904763</v>
      </c>
      <c r="V391" s="76">
        <v>44666</v>
      </c>
      <c r="W391" s="101">
        <f>COUNTIFS(A:A,A391,C:C,C391)</f>
        <v>1</v>
      </c>
      <c r="X391" s="74" t="str">
        <f>VLOOKUP(A391,Data_echipe!A:R,18,0)</f>
        <v>Road</v>
      </c>
      <c r="Z391" s="106">
        <f t="shared" si="102"/>
        <v>1</v>
      </c>
    </row>
    <row r="392" spans="1:26" s="146" customFormat="1" ht="12.6" thickBot="1" x14ac:dyDescent="0.3">
      <c r="A392" s="130" t="s">
        <v>138</v>
      </c>
      <c r="B392" s="131" t="str">
        <f>VLOOKUP(A392,Participanti!A:B,2,0)</f>
        <v>F</v>
      </c>
      <c r="C392" s="132">
        <v>14</v>
      </c>
      <c r="D392" s="133">
        <v>3.01</v>
      </c>
      <c r="E392" s="134">
        <v>1.1840277777777778E-2</v>
      </c>
      <c r="F392" s="134">
        <v>1.1840277777777778E-2</v>
      </c>
      <c r="G392" s="135">
        <f t="shared" si="96"/>
        <v>1.1840277777777778E-2</v>
      </c>
      <c r="H392" s="136">
        <v>26</v>
      </c>
      <c r="I392" s="137">
        <f t="shared" si="97"/>
        <v>3.9336471022517533E-3</v>
      </c>
      <c r="J392" s="138">
        <f t="shared" si="98"/>
        <v>0.75249999999999995</v>
      </c>
      <c r="K392" s="138">
        <f>IF(J392=0,0,IF(B392="F",VLOOKUP(I392,Barem!$G$2:$H$11,2,1),VLOOKUP(I392,Barem!$G$12:$H$21,2,1)))</f>
        <v>2.5</v>
      </c>
      <c r="L392" s="133">
        <v>3.5</v>
      </c>
      <c r="M392" s="139" t="str">
        <f>VLOOKUP(C392,Barem!L:R,7,0)</f>
        <v>P</v>
      </c>
      <c r="N392" s="140">
        <f t="shared" si="101"/>
        <v>0.25</v>
      </c>
      <c r="O392" s="140">
        <f t="shared" si="101"/>
        <v>0.25</v>
      </c>
      <c r="P392" s="140">
        <f t="shared" si="101"/>
        <v>0.5</v>
      </c>
      <c r="Q392" s="141">
        <f t="shared" si="99"/>
        <v>0</v>
      </c>
      <c r="R392" s="142">
        <f>IF(D392&gt;21,VLOOKUP(D392,Barem!$T$1:$U$141,2,1),0)</f>
        <v>0</v>
      </c>
      <c r="S392" s="142">
        <f>IF(D392&lt;1.609,0,IF(B392="F",VLOOKUP(I392,Barem!$X$2:$Z$13,2,1),VLOOKUP(I392,Barem!$X$14:$Z$25,2,1)))</f>
        <v>0</v>
      </c>
      <c r="T392" s="142">
        <f>VLOOKUP(A392,Participanti!A:C,3,0)</f>
        <v>0</v>
      </c>
      <c r="U392" s="143">
        <f t="shared" si="100"/>
        <v>2.5631249999999999</v>
      </c>
      <c r="V392" s="144">
        <v>44667</v>
      </c>
      <c r="W392" s="145">
        <f>COUNTIFS(A:A,A392,C:C,C392)</f>
        <v>1</v>
      </c>
      <c r="X392" s="131" t="str">
        <f>VLOOKUP(A392,Data_echipe!A:R,18,0)</f>
        <v>Road</v>
      </c>
      <c r="Z392" s="106">
        <f t="shared" si="102"/>
        <v>1</v>
      </c>
    </row>
    <row r="393" spans="1:26" x14ac:dyDescent="0.25">
      <c r="A393" s="61" t="s">
        <v>218</v>
      </c>
      <c r="B393" s="74" t="str">
        <f>VLOOKUP(A393,Participanti!A:B,2,0)</f>
        <v>M</v>
      </c>
      <c r="C393" s="98">
        <v>15</v>
      </c>
      <c r="D393" s="63">
        <v>42.5</v>
      </c>
      <c r="E393" s="64">
        <v>0.11335648148148147</v>
      </c>
      <c r="F393" s="64">
        <v>0.11335648148148147</v>
      </c>
      <c r="G393" s="90">
        <f t="shared" si="96"/>
        <v>0.11335648148148147</v>
      </c>
      <c r="H393" s="65">
        <v>313</v>
      </c>
      <c r="I393" s="13">
        <f t="shared" ref="I393:I394" si="103">G393/D393</f>
        <v>2.6672113289760348E-3</v>
      </c>
      <c r="J393" s="84">
        <f t="shared" ref="J393:J394" si="104">IF(B393="F",IF(D393&lt;2.5,0,IF(D393&gt;19.99,5,D393/4)),IF(D393&lt;3,0, IF(D393&gt;20.99,5,D393/4.2)))</f>
        <v>5</v>
      </c>
      <c r="K393" s="84">
        <f>IF(J393=0,0,IF(B393="F",VLOOKUP(I393,Barem!$G$2:$H$11,2,1),VLOOKUP(I393,Barem!$G$12:$H$21,2,1)))</f>
        <v>5</v>
      </c>
      <c r="L393" s="63">
        <v>3.5</v>
      </c>
      <c r="M393" s="62" t="str">
        <f>VLOOKUP(C393,Barem!L:R,7,0)</f>
        <v>D</v>
      </c>
      <c r="N393" s="10">
        <f t="shared" si="101"/>
        <v>0.5</v>
      </c>
      <c r="O393" s="10">
        <f t="shared" si="101"/>
        <v>0.25</v>
      </c>
      <c r="P393" s="10">
        <f t="shared" si="101"/>
        <v>0.25</v>
      </c>
      <c r="Q393" s="47">
        <f t="shared" ref="Q393:Q394" si="105">IF(H393&gt;49,H393/1500,0)</f>
        <v>0.20866666666666667</v>
      </c>
      <c r="R393" s="25">
        <f>IF(D393&gt;21,VLOOKUP(D393,Barem!$T$1:$U$141,2,1),0)</f>
        <v>1</v>
      </c>
      <c r="S393" s="25">
        <f>IF(D393&lt;1.609,0,IF(B393="F",VLOOKUP(I393,Barem!$X$2:$Z$13,2,1),VLOOKUP(I393,Barem!$X$14:$Z$25,2,1)))</f>
        <v>0.89999999999999991</v>
      </c>
      <c r="T393" s="25">
        <f>VLOOKUP(A393,Participanti!A:C,3,0)</f>
        <v>0</v>
      </c>
      <c r="U393" s="20">
        <f t="shared" ref="U393:U394" si="106">IF(H393&lt;0,0,J393*N393+K393*O393+L393*P393+Q393+R393+S393+T393)</f>
        <v>6.7336666666666662</v>
      </c>
      <c r="V393" s="76">
        <v>44675</v>
      </c>
      <c r="W393" s="101">
        <f>COUNTIFS(A:A,A393,C:C,C393)</f>
        <v>1</v>
      </c>
      <c r="X393" s="74" t="str">
        <f>VLOOKUP(A393,Data_echipe!A:R,18,0)</f>
        <v>Road</v>
      </c>
      <c r="Y393" s="22" t="s">
        <v>300</v>
      </c>
      <c r="Z393" s="106">
        <f t="shared" si="102"/>
        <v>1</v>
      </c>
    </row>
    <row r="394" spans="1:26" x14ac:dyDescent="0.25">
      <c r="A394" s="61" t="s">
        <v>50</v>
      </c>
      <c r="B394" s="74" t="str">
        <f>VLOOKUP(A394,Participanti!A:B,2,0)</f>
        <v>M</v>
      </c>
      <c r="C394" s="98">
        <v>15</v>
      </c>
      <c r="D394" s="63">
        <v>13.47</v>
      </c>
      <c r="E394" s="64">
        <v>4.3182870370370365E-2</v>
      </c>
      <c r="F394" s="64">
        <v>4.3807870370370372E-2</v>
      </c>
      <c r="G394" s="90">
        <f t="shared" si="96"/>
        <v>4.3495370370370365E-2</v>
      </c>
      <c r="H394" s="65">
        <v>21</v>
      </c>
      <c r="I394" s="13">
        <f t="shared" si="103"/>
        <v>3.2290549643927513E-3</v>
      </c>
      <c r="J394" s="84">
        <f t="shared" si="104"/>
        <v>3.2071428571428573</v>
      </c>
      <c r="K394" s="84">
        <f>IF(J394=0,0,IF(B394="F",VLOOKUP(I394,Barem!$G$2:$H$11,2,1),VLOOKUP(I394,Barem!$G$12:$H$21,2,1)))</f>
        <v>3.5</v>
      </c>
      <c r="L394" s="63">
        <v>3.5</v>
      </c>
      <c r="M394" s="149" t="s">
        <v>109</v>
      </c>
      <c r="N394" s="10">
        <f t="shared" ref="N394:P406" si="107">IF($M394=N$1,50%,25%)</f>
        <v>0.25</v>
      </c>
      <c r="O394" s="10">
        <f t="shared" si="107"/>
        <v>0.5</v>
      </c>
      <c r="P394" s="10">
        <f t="shared" si="107"/>
        <v>0.25</v>
      </c>
      <c r="Q394" s="47">
        <f t="shared" si="105"/>
        <v>0</v>
      </c>
      <c r="R394" s="25">
        <f>IF(D394&gt;21,VLOOKUP(D394,Barem!$T$1:$U$141,2,1),0)</f>
        <v>0</v>
      </c>
      <c r="S394" s="25">
        <f>IF(D394&lt;1.609,0,IF(B394="F",VLOOKUP(I394,Barem!$X$2:$Z$13,2,1),VLOOKUP(I394,Barem!$X$14:$Z$25,2,1)))</f>
        <v>0</v>
      </c>
      <c r="T394" s="25">
        <f>VLOOKUP(A394,Participanti!A:C,3,0)</f>
        <v>0</v>
      </c>
      <c r="U394" s="20">
        <f t="shared" si="106"/>
        <v>3.4267857142857143</v>
      </c>
      <c r="V394" s="76">
        <v>44673</v>
      </c>
      <c r="W394" s="101">
        <f>COUNTIFS(A:A,A394,C:C,C394)</f>
        <v>1</v>
      </c>
      <c r="X394" s="74" t="str">
        <f>VLOOKUP(A394,Data_echipe!A:R,18,0)</f>
        <v>Trail</v>
      </c>
      <c r="Z394" s="106">
        <f t="shared" si="102"/>
        <v>1</v>
      </c>
    </row>
    <row r="395" spans="1:26" x14ac:dyDescent="0.25">
      <c r="A395" s="61" t="s">
        <v>110</v>
      </c>
      <c r="B395" s="74" t="str">
        <f>VLOOKUP(A395,Participanti!A:B,2,0)</f>
        <v>M</v>
      </c>
      <c r="C395" s="98">
        <v>15</v>
      </c>
      <c r="D395" s="63">
        <v>12.3</v>
      </c>
      <c r="E395" s="64">
        <v>4.1458333333333333E-2</v>
      </c>
      <c r="F395" s="64">
        <v>4.1458333333333333E-2</v>
      </c>
      <c r="G395" s="90">
        <f t="shared" ref="G395:G413" si="108">AVERAGE(E395:F395)</f>
        <v>4.1458333333333333E-2</v>
      </c>
      <c r="H395" s="65">
        <v>12</v>
      </c>
      <c r="I395" s="13">
        <f t="shared" ref="I395:I413" si="109">G395/D395</f>
        <v>3.3705962059620595E-3</v>
      </c>
      <c r="J395" s="84">
        <f t="shared" ref="J395:J413" si="110">IF(B395="F",IF(D395&lt;2.5,0,IF(D395&gt;19.99,5,D395/4)),IF(D395&lt;3,0, IF(D395&gt;20.99,5,D395/4.2)))</f>
        <v>2.9285714285714288</v>
      </c>
      <c r="K395" s="84">
        <f>IF(J395=0,0,IF(B395="F",VLOOKUP(I395,Barem!$G$2:$H$11,2,1),VLOOKUP(I395,Barem!$G$12:$H$21,2,1)))</f>
        <v>3</v>
      </c>
      <c r="L395" s="63">
        <v>3</v>
      </c>
      <c r="M395" s="149" t="s">
        <v>109</v>
      </c>
      <c r="N395" s="10">
        <f t="shared" si="107"/>
        <v>0.25</v>
      </c>
      <c r="O395" s="10">
        <f t="shared" si="107"/>
        <v>0.5</v>
      </c>
      <c r="P395" s="10">
        <f t="shared" si="107"/>
        <v>0.25</v>
      </c>
      <c r="Q395" s="47">
        <f t="shared" ref="Q395:Q413" si="111">IF(H395&gt;49,H395/1500,0)</f>
        <v>0</v>
      </c>
      <c r="R395" s="25">
        <f>IF(D395&gt;21,VLOOKUP(D395,Barem!$T$1:$U$141,2,1),0)</f>
        <v>0</v>
      </c>
      <c r="S395" s="25">
        <f>IF(D395&lt;1.609,0,IF(B395="F",VLOOKUP(I395,Barem!$X$2:$Z$13,2,1),VLOOKUP(I395,Barem!$X$14:$Z$25,2,1)))</f>
        <v>0</v>
      </c>
      <c r="T395" s="25">
        <f>VLOOKUP(A395,Participanti!A:C,3,0)</f>
        <v>0</v>
      </c>
      <c r="U395" s="20">
        <f t="shared" ref="U395:U413" si="112">IF(H395&lt;0,0,J395*N395+K395*O395+L395*P395+Q395+R395+S395+T395)</f>
        <v>2.9821428571428572</v>
      </c>
      <c r="V395" s="76">
        <v>44674</v>
      </c>
      <c r="W395" s="101">
        <f>COUNTIFS(A:A,A395,C:C,C395)</f>
        <v>1</v>
      </c>
      <c r="X395" s="74" t="str">
        <f>VLOOKUP(A395,Data_echipe!A:R,18,0)</f>
        <v>Road</v>
      </c>
      <c r="Z395" s="106">
        <f t="shared" si="102"/>
        <v>1</v>
      </c>
    </row>
    <row r="396" spans="1:26" x14ac:dyDescent="0.25">
      <c r="A396" s="61" t="s">
        <v>117</v>
      </c>
      <c r="B396" s="74" t="str">
        <f>VLOOKUP(A396,Participanti!A:B,2,0)</f>
        <v>M</v>
      </c>
      <c r="C396" s="98">
        <v>15</v>
      </c>
      <c r="D396" s="63">
        <v>3</v>
      </c>
      <c r="E396" s="64">
        <v>8.6574074074074071E-3</v>
      </c>
      <c r="F396" s="64">
        <v>8.6574074074074071E-3</v>
      </c>
      <c r="G396" s="90">
        <f t="shared" si="108"/>
        <v>8.6574074074074071E-3</v>
      </c>
      <c r="H396" s="65">
        <v>18</v>
      </c>
      <c r="I396" s="13">
        <f t="shared" si="109"/>
        <v>2.8858024691358025E-3</v>
      </c>
      <c r="J396" s="84">
        <f t="shared" si="110"/>
        <v>0.7142857142857143</v>
      </c>
      <c r="K396" s="84">
        <f>IF(J396=0,0,IF(B396="F",VLOOKUP(I396,Barem!$G$2:$H$11,2,1),VLOOKUP(I396,Barem!$G$12:$H$21,2,1)))</f>
        <v>4.5</v>
      </c>
      <c r="L396" s="63">
        <v>2</v>
      </c>
      <c r="M396" s="149" t="s">
        <v>109</v>
      </c>
      <c r="N396" s="10">
        <f t="shared" si="107"/>
        <v>0.25</v>
      </c>
      <c r="O396" s="10">
        <f t="shared" si="107"/>
        <v>0.5</v>
      </c>
      <c r="P396" s="10">
        <f t="shared" si="107"/>
        <v>0.25</v>
      </c>
      <c r="Q396" s="47">
        <f t="shared" si="111"/>
        <v>0</v>
      </c>
      <c r="R396" s="25">
        <f>IF(D396&gt;21,VLOOKUP(D396,Barem!$T$1:$U$141,2,1),0)</f>
        <v>0</v>
      </c>
      <c r="S396" s="25">
        <f>IF(D396&lt;1.609,0,IF(B396="F",VLOOKUP(I396,Barem!$X$2:$Z$13,2,1),VLOOKUP(I396,Barem!$X$14:$Z$25,2,1)))</f>
        <v>0</v>
      </c>
      <c r="T396" s="25">
        <f>VLOOKUP(A396,Participanti!A:C,3,0)</f>
        <v>0</v>
      </c>
      <c r="U396" s="20">
        <f t="shared" si="112"/>
        <v>2.9285714285714284</v>
      </c>
      <c r="V396" s="76">
        <v>44669</v>
      </c>
      <c r="W396" s="101">
        <f>COUNTIFS(A:A,A396,C:C,C396)</f>
        <v>1</v>
      </c>
      <c r="X396" s="74" t="str">
        <f>VLOOKUP(A396,Data_echipe!A:R,18,0)</f>
        <v>Trail</v>
      </c>
      <c r="Z396" s="106">
        <f t="shared" si="102"/>
        <v>1</v>
      </c>
    </row>
    <row r="397" spans="1:26" x14ac:dyDescent="0.25">
      <c r="A397" s="61" t="s">
        <v>141</v>
      </c>
      <c r="B397" s="74" t="str">
        <f>VLOOKUP(A397,Participanti!A:B,2,0)</f>
        <v>F</v>
      </c>
      <c r="C397" s="98">
        <v>15</v>
      </c>
      <c r="D397" s="63">
        <v>17</v>
      </c>
      <c r="E397" s="64">
        <v>5.7511574074074069E-2</v>
      </c>
      <c r="F397" s="64">
        <v>5.7766203703703702E-2</v>
      </c>
      <c r="G397" s="90">
        <f t="shared" si="108"/>
        <v>5.7638888888888885E-2</v>
      </c>
      <c r="H397" s="65">
        <v>30</v>
      </c>
      <c r="I397" s="13">
        <f t="shared" si="109"/>
        <v>3.3905228758169931E-3</v>
      </c>
      <c r="J397" s="84">
        <f t="shared" si="110"/>
        <v>4.25</v>
      </c>
      <c r="K397" s="84">
        <f>IF(J397=0,0,IF(B397="F",VLOOKUP(I397,Barem!$G$2:$H$11,2,1),VLOOKUP(I397,Barem!$G$12:$H$21,2,1)))</f>
        <v>4</v>
      </c>
      <c r="L397" s="63">
        <v>3.25</v>
      </c>
      <c r="M397" s="149" t="s">
        <v>109</v>
      </c>
      <c r="N397" s="10">
        <f t="shared" si="107"/>
        <v>0.25</v>
      </c>
      <c r="O397" s="10">
        <f t="shared" si="107"/>
        <v>0.5</v>
      </c>
      <c r="P397" s="10">
        <f t="shared" si="107"/>
        <v>0.25</v>
      </c>
      <c r="Q397" s="47">
        <f t="shared" si="111"/>
        <v>0</v>
      </c>
      <c r="R397" s="25">
        <f>IF(D397&gt;21,VLOOKUP(D397,Barem!$T$1:$U$141,2,1),0)</f>
        <v>0</v>
      </c>
      <c r="S397" s="25">
        <f>IF(D397&lt;1.609,0,IF(B397="F",VLOOKUP(I397,Barem!$X$2:$Z$13,2,1),VLOOKUP(I397,Barem!$X$14:$Z$25,2,1)))</f>
        <v>0</v>
      </c>
      <c r="T397" s="25">
        <f>VLOOKUP(A397,Participanti!A:C,3,0)</f>
        <v>0</v>
      </c>
      <c r="U397" s="20">
        <f t="shared" si="112"/>
        <v>3.875</v>
      </c>
      <c r="V397" s="76">
        <v>44674</v>
      </c>
      <c r="W397" s="101">
        <f>COUNTIFS(A:A,A397,C:C,C397)</f>
        <v>1</v>
      </c>
      <c r="X397" s="74" t="str">
        <f>VLOOKUP(A397,Data_echipe!A:R,18,0)</f>
        <v>Trail</v>
      </c>
      <c r="Z397" s="106">
        <f t="shared" si="102"/>
        <v>1</v>
      </c>
    </row>
    <row r="398" spans="1:26" x14ac:dyDescent="0.25">
      <c r="A398" s="61" t="s">
        <v>64</v>
      </c>
      <c r="B398" s="74" t="str">
        <f>VLOOKUP(A398,Participanti!A:B,2,0)</f>
        <v>M</v>
      </c>
      <c r="C398" s="98">
        <v>15</v>
      </c>
      <c r="D398" s="63">
        <v>31.23</v>
      </c>
      <c r="E398" s="64">
        <v>0.18824074074074074</v>
      </c>
      <c r="F398" s="64">
        <v>0.20304398148148148</v>
      </c>
      <c r="G398" s="90">
        <f t="shared" si="108"/>
        <v>0.19564236111111111</v>
      </c>
      <c r="H398" s="65">
        <v>1032</v>
      </c>
      <c r="I398" s="13">
        <f t="shared" si="109"/>
        <v>6.2645648770768845E-3</v>
      </c>
      <c r="J398" s="84">
        <f t="shared" si="110"/>
        <v>5</v>
      </c>
      <c r="K398" s="84">
        <f>IF(J398=0,0,IF(B398="F",VLOOKUP(I398,Barem!$G$2:$H$11,2,1),VLOOKUP(I398,Barem!$G$12:$H$21,2,1)))</f>
        <v>0</v>
      </c>
      <c r="L398" s="63">
        <v>3.75</v>
      </c>
      <c r="M398" s="62" t="str">
        <f>VLOOKUP(C398,Barem!L:R,7,0)</f>
        <v>D</v>
      </c>
      <c r="N398" s="10">
        <f t="shared" si="107"/>
        <v>0.5</v>
      </c>
      <c r="O398" s="10">
        <f t="shared" si="107"/>
        <v>0.25</v>
      </c>
      <c r="P398" s="10">
        <f t="shared" si="107"/>
        <v>0.25</v>
      </c>
      <c r="Q398" s="47">
        <f t="shared" si="111"/>
        <v>0.68799999999999994</v>
      </c>
      <c r="R398" s="25">
        <f>IF(D398&gt;21,VLOOKUP(D398,Barem!$T$1:$U$141,2,1),0)</f>
        <v>0.5</v>
      </c>
      <c r="S398" s="25">
        <f>IF(D398&lt;1.609,0,IF(B398="F",VLOOKUP(I398,Barem!$X$2:$Z$13,2,1),VLOOKUP(I398,Barem!$X$14:$Z$25,2,1)))</f>
        <v>0</v>
      </c>
      <c r="T398" s="25">
        <f>VLOOKUP(A398,Participanti!A:C,3,0)</f>
        <v>0</v>
      </c>
      <c r="U398" s="20">
        <f t="shared" si="112"/>
        <v>4.6254999999999997</v>
      </c>
      <c r="V398" s="76">
        <v>44674</v>
      </c>
      <c r="W398" s="101">
        <f>COUNTIFS(A:A,A398,C:C,C398)</f>
        <v>1</v>
      </c>
      <c r="X398" s="74" t="str">
        <f>VLOOKUP(A398,Data_echipe!A:R,18,0)</f>
        <v>Trail</v>
      </c>
      <c r="Z398" s="106">
        <f t="shared" si="102"/>
        <v>0</v>
      </c>
    </row>
    <row r="399" spans="1:26" x14ac:dyDescent="0.25">
      <c r="A399" s="61" t="s">
        <v>254</v>
      </c>
      <c r="B399" s="74" t="str">
        <f>VLOOKUP(A399,Participanti!A:B,2,0)</f>
        <v>M</v>
      </c>
      <c r="C399" s="98">
        <v>15</v>
      </c>
      <c r="D399" s="63">
        <v>42.38</v>
      </c>
      <c r="E399" s="64">
        <v>0.18038194444444444</v>
      </c>
      <c r="F399" s="64">
        <v>0.18087962962962964</v>
      </c>
      <c r="G399" s="90">
        <f t="shared" si="108"/>
        <v>0.18063078703703705</v>
      </c>
      <c r="H399" s="65">
        <v>257</v>
      </c>
      <c r="I399" s="13">
        <f t="shared" si="109"/>
        <v>4.2621705294251305E-3</v>
      </c>
      <c r="J399" s="84">
        <f t="shared" si="110"/>
        <v>5</v>
      </c>
      <c r="K399" s="84">
        <f>IF(J399=0,0,IF(B399="F",VLOOKUP(I399,Barem!$G$2:$H$11,2,1),VLOOKUP(I399,Barem!$G$12:$H$21,2,1)))</f>
        <v>1</v>
      </c>
      <c r="L399" s="63">
        <v>4</v>
      </c>
      <c r="M399" s="62" t="str">
        <f>VLOOKUP(C399,Barem!L:R,7,0)</f>
        <v>D</v>
      </c>
      <c r="N399" s="10">
        <f t="shared" si="107"/>
        <v>0.5</v>
      </c>
      <c r="O399" s="10">
        <f t="shared" si="107"/>
        <v>0.25</v>
      </c>
      <c r="P399" s="10">
        <f t="shared" si="107"/>
        <v>0.25</v>
      </c>
      <c r="Q399" s="47">
        <f t="shared" si="111"/>
        <v>0.17133333333333334</v>
      </c>
      <c r="R399" s="25">
        <f>IF(D399&gt;21,VLOOKUP(D399,Barem!$T$1:$U$141,2,1),0)</f>
        <v>1</v>
      </c>
      <c r="S399" s="25">
        <f>IF(D399&lt;1.609,0,IF(B399="F",VLOOKUP(I399,Barem!$X$2:$Z$13,2,1),VLOOKUP(I399,Barem!$X$14:$Z$25,2,1)))</f>
        <v>0</v>
      </c>
      <c r="T399" s="25">
        <f>VLOOKUP(A399,Participanti!A:C,3,0)</f>
        <v>0</v>
      </c>
      <c r="U399" s="20">
        <f t="shared" si="112"/>
        <v>4.9213333333333331</v>
      </c>
      <c r="V399" s="76">
        <v>44670</v>
      </c>
      <c r="W399" s="101">
        <f>COUNTIFS(A:A,A399,C:C,C399)</f>
        <v>1</v>
      </c>
      <c r="X399" s="74" t="str">
        <f>VLOOKUP(A399,Data_echipe!A:R,18,0)</f>
        <v>Trail</v>
      </c>
      <c r="Z399" s="106">
        <f t="shared" si="102"/>
        <v>1</v>
      </c>
    </row>
    <row r="400" spans="1:26" x14ac:dyDescent="0.25">
      <c r="A400" s="61" t="s">
        <v>255</v>
      </c>
      <c r="B400" s="74" t="str">
        <f>VLOOKUP(A400,Participanti!A:B,2,0)</f>
        <v>F</v>
      </c>
      <c r="C400" s="98">
        <v>15</v>
      </c>
      <c r="D400" s="63">
        <v>16.010000000000002</v>
      </c>
      <c r="E400" s="64">
        <v>6.0474537037037035E-2</v>
      </c>
      <c r="F400" s="64">
        <v>6.0416666666666667E-2</v>
      </c>
      <c r="G400" s="90">
        <f t="shared" si="108"/>
        <v>6.0445601851851855E-2</v>
      </c>
      <c r="H400" s="65">
        <v>44</v>
      </c>
      <c r="I400" s="13">
        <f t="shared" si="109"/>
        <v>3.7754904342193535E-3</v>
      </c>
      <c r="J400" s="84">
        <f t="shared" si="110"/>
        <v>4.0025000000000004</v>
      </c>
      <c r="K400" s="84">
        <f>IF(J400=0,0,IF(B400="F",VLOOKUP(I400,Barem!$G$2:$H$11,2,1),VLOOKUP(I400,Barem!$G$12:$H$21,2,1)))</f>
        <v>3</v>
      </c>
      <c r="L400" s="63">
        <v>3</v>
      </c>
      <c r="M400" s="62" t="str">
        <f>VLOOKUP(C400,Barem!L:R,7,0)</f>
        <v>D</v>
      </c>
      <c r="N400" s="10">
        <f t="shared" si="107"/>
        <v>0.5</v>
      </c>
      <c r="O400" s="10">
        <f t="shared" si="107"/>
        <v>0.25</v>
      </c>
      <c r="P400" s="10">
        <f t="shared" si="107"/>
        <v>0.25</v>
      </c>
      <c r="Q400" s="47">
        <f t="shared" si="111"/>
        <v>0</v>
      </c>
      <c r="R400" s="25">
        <f>IF(D400&gt;21,VLOOKUP(D400,Barem!$T$1:$U$141,2,1),0)</f>
        <v>0</v>
      </c>
      <c r="S400" s="25">
        <f>IF(D400&lt;1.609,0,IF(B400="F",VLOOKUP(I400,Barem!$X$2:$Z$13,2,1),VLOOKUP(I400,Barem!$X$14:$Z$25,2,1)))</f>
        <v>0</v>
      </c>
      <c r="T400" s="25">
        <f>VLOOKUP(A400,Participanti!A:C,3,0)</f>
        <v>0</v>
      </c>
      <c r="U400" s="20">
        <f t="shared" si="112"/>
        <v>3.5012500000000002</v>
      </c>
      <c r="V400" s="76">
        <v>44674</v>
      </c>
      <c r="W400" s="101">
        <f>COUNTIFS(A:A,A400,C:C,C400)</f>
        <v>1</v>
      </c>
      <c r="X400" s="74" t="str">
        <f>VLOOKUP(A400,Data_echipe!A:R,18,0)</f>
        <v>Trail</v>
      </c>
      <c r="Z400" s="106">
        <f t="shared" si="102"/>
        <v>1</v>
      </c>
    </row>
    <row r="401" spans="1:26" x14ac:dyDescent="0.25">
      <c r="A401" s="61" t="s">
        <v>216</v>
      </c>
      <c r="B401" s="74" t="str">
        <f>VLOOKUP(A401,Participanti!A:B,2,0)</f>
        <v>M</v>
      </c>
      <c r="C401" s="98">
        <v>15</v>
      </c>
      <c r="D401" s="63">
        <v>17</v>
      </c>
      <c r="E401" s="64">
        <v>5.5370370370370368E-2</v>
      </c>
      <c r="F401" s="64">
        <v>5.5509259259259258E-2</v>
      </c>
      <c r="G401" s="90">
        <f t="shared" si="108"/>
        <v>5.5439814814814817E-2</v>
      </c>
      <c r="H401" s="65">
        <v>0</v>
      </c>
      <c r="I401" s="13">
        <f t="shared" si="109"/>
        <v>3.2611655773420482E-3</v>
      </c>
      <c r="J401" s="84">
        <f t="shared" si="110"/>
        <v>4.0476190476190474</v>
      </c>
      <c r="K401" s="84">
        <f>IF(J401=0,0,IF(B401="F",VLOOKUP(I401,Barem!$G$2:$H$11,2,1),VLOOKUP(I401,Barem!$G$12:$H$21,2,1)))</f>
        <v>3.5</v>
      </c>
      <c r="L401" s="63">
        <v>3.25</v>
      </c>
      <c r="M401" s="62" t="str">
        <f>VLOOKUP(C401,Barem!L:R,7,0)</f>
        <v>D</v>
      </c>
      <c r="N401" s="10">
        <f t="shared" si="107"/>
        <v>0.5</v>
      </c>
      <c r="O401" s="10">
        <f t="shared" si="107"/>
        <v>0.25</v>
      </c>
      <c r="P401" s="10">
        <f t="shared" si="107"/>
        <v>0.25</v>
      </c>
      <c r="Q401" s="47">
        <f t="shared" si="111"/>
        <v>0</v>
      </c>
      <c r="R401" s="25">
        <f>IF(D401&gt;21,VLOOKUP(D401,Barem!$T$1:$U$141,2,1),0)</f>
        <v>0</v>
      </c>
      <c r="S401" s="25">
        <f>IF(D401&lt;1.609,0,IF(B401="F",VLOOKUP(I401,Barem!$X$2:$Z$13,2,1),VLOOKUP(I401,Barem!$X$14:$Z$25,2,1)))</f>
        <v>0</v>
      </c>
      <c r="T401" s="25">
        <f>VLOOKUP(A401,Participanti!A:C,3,0)</f>
        <v>0</v>
      </c>
      <c r="U401" s="20">
        <f t="shared" si="112"/>
        <v>3.7113095238095237</v>
      </c>
      <c r="V401" s="76">
        <v>44674</v>
      </c>
      <c r="W401" s="101">
        <f>COUNTIFS(A:A,A401,C:C,C401)</f>
        <v>1</v>
      </c>
      <c r="X401" s="74" t="str">
        <f>VLOOKUP(A401,Data_echipe!A:R,18,0)</f>
        <v>Road</v>
      </c>
      <c r="Z401" s="106">
        <f t="shared" si="102"/>
        <v>1</v>
      </c>
    </row>
    <row r="402" spans="1:26" x14ac:dyDescent="0.25">
      <c r="A402" s="61" t="s">
        <v>57</v>
      </c>
      <c r="B402" s="74" t="str">
        <f>VLOOKUP(A402,Participanti!A:B,2,0)</f>
        <v>M</v>
      </c>
      <c r="C402" s="98">
        <v>15</v>
      </c>
      <c r="D402" s="63">
        <v>20.260000000000002</v>
      </c>
      <c r="E402" s="64">
        <v>9.5949074074074089E-2</v>
      </c>
      <c r="F402" s="64">
        <v>0.10606481481481482</v>
      </c>
      <c r="G402" s="90">
        <f t="shared" si="108"/>
        <v>0.10100694444444445</v>
      </c>
      <c r="H402" s="65">
        <v>451</v>
      </c>
      <c r="I402" s="13">
        <f t="shared" si="109"/>
        <v>4.9855352637929147E-3</v>
      </c>
      <c r="J402" s="84">
        <f t="shared" si="110"/>
        <v>4.8238095238095235</v>
      </c>
      <c r="K402" s="84">
        <f>IF(J402=0,0,IF(B402="F",VLOOKUP(I402,Barem!$G$2:$H$11,2,1),VLOOKUP(I402,Barem!$G$12:$H$21,2,1)))</f>
        <v>1</v>
      </c>
      <c r="L402" s="63">
        <v>3.75</v>
      </c>
      <c r="M402" s="149" t="s">
        <v>220</v>
      </c>
      <c r="N402" s="10">
        <f t="shared" si="107"/>
        <v>0.25</v>
      </c>
      <c r="O402" s="10">
        <f t="shared" si="107"/>
        <v>0.25</v>
      </c>
      <c r="P402" s="10">
        <f t="shared" si="107"/>
        <v>0.5</v>
      </c>
      <c r="Q402" s="47">
        <f t="shared" si="111"/>
        <v>0.30066666666666669</v>
      </c>
      <c r="R402" s="25">
        <f>IF(D402&gt;21,VLOOKUP(D402,Barem!$T$1:$U$141,2,1),0)</f>
        <v>0</v>
      </c>
      <c r="S402" s="25">
        <f>IF(D402&lt;1.609,0,IF(B402="F",VLOOKUP(I402,Barem!$X$2:$Z$13,2,1),VLOOKUP(I402,Barem!$X$14:$Z$25,2,1)))</f>
        <v>0</v>
      </c>
      <c r="T402" s="25">
        <f>VLOOKUP(A402,Participanti!A:C,3,0)</f>
        <v>0</v>
      </c>
      <c r="U402" s="20">
        <f t="shared" si="112"/>
        <v>3.6316190476190475</v>
      </c>
      <c r="V402" s="76">
        <v>44674</v>
      </c>
      <c r="W402" s="101">
        <f>COUNTIFS(A:A,A402,C:C,C402)</f>
        <v>1</v>
      </c>
      <c r="X402" s="74" t="str">
        <f>VLOOKUP(A402,Data_echipe!A:R,18,0)</f>
        <v>Trail</v>
      </c>
      <c r="Z402" s="106">
        <f t="shared" si="102"/>
        <v>1</v>
      </c>
    </row>
    <row r="403" spans="1:26" x14ac:dyDescent="0.25">
      <c r="A403" s="61" t="s">
        <v>215</v>
      </c>
      <c r="B403" s="74" t="str">
        <f>VLOOKUP(A403,Participanti!A:B,2,0)</f>
        <v>M</v>
      </c>
      <c r="C403" s="98">
        <v>15</v>
      </c>
      <c r="D403" s="63">
        <v>15.13</v>
      </c>
      <c r="E403" s="64">
        <v>5.6296296296296296E-2</v>
      </c>
      <c r="F403" s="64">
        <v>5.6956018518518524E-2</v>
      </c>
      <c r="G403" s="90">
        <f t="shared" si="108"/>
        <v>5.662615740740741E-2</v>
      </c>
      <c r="H403" s="65">
        <v>173</v>
      </c>
      <c r="I403" s="13">
        <f t="shared" si="109"/>
        <v>3.7426409390223007E-3</v>
      </c>
      <c r="J403" s="84">
        <f t="shared" si="110"/>
        <v>3.6023809523809525</v>
      </c>
      <c r="K403" s="84">
        <f>IF(J403=0,0,IF(B403="F",VLOOKUP(I403,Barem!$G$2:$H$11,2,1),VLOOKUP(I403,Barem!$G$12:$H$21,2,1)))</f>
        <v>2</v>
      </c>
      <c r="L403" s="63">
        <v>1.5</v>
      </c>
      <c r="M403" s="62" t="str">
        <f>VLOOKUP(C403,Barem!L:R,7,0)</f>
        <v>D</v>
      </c>
      <c r="N403" s="10">
        <f t="shared" si="107"/>
        <v>0.5</v>
      </c>
      <c r="O403" s="10">
        <f t="shared" si="107"/>
        <v>0.25</v>
      </c>
      <c r="P403" s="10">
        <f t="shared" si="107"/>
        <v>0.25</v>
      </c>
      <c r="Q403" s="47">
        <f t="shared" si="111"/>
        <v>0.11533333333333333</v>
      </c>
      <c r="R403" s="25">
        <f>IF(D403&gt;21,VLOOKUP(D403,Barem!$T$1:$U$141,2,1),0)</f>
        <v>0</v>
      </c>
      <c r="S403" s="25">
        <f>IF(D403&lt;1.609,0,IF(B403="F",VLOOKUP(I403,Barem!$X$2:$Z$13,2,1),VLOOKUP(I403,Barem!$X$14:$Z$25,2,1)))</f>
        <v>0</v>
      </c>
      <c r="T403" s="25">
        <f>VLOOKUP(A403,Participanti!A:C,3,0)</f>
        <v>0</v>
      </c>
      <c r="U403" s="20">
        <f t="shared" si="112"/>
        <v>2.79152380952381</v>
      </c>
      <c r="V403" s="76">
        <v>44674</v>
      </c>
      <c r="W403" s="101">
        <f>COUNTIFS(A:A,A403,C:C,C403)</f>
        <v>1</v>
      </c>
      <c r="X403" s="74" t="str">
        <f>VLOOKUP(A403,Data_echipe!A:R,18,0)</f>
        <v>Trail</v>
      </c>
      <c r="Z403" s="106">
        <f t="shared" si="102"/>
        <v>1</v>
      </c>
    </row>
    <row r="404" spans="1:26" x14ac:dyDescent="0.25">
      <c r="A404" s="61" t="s">
        <v>185</v>
      </c>
      <c r="B404" s="74" t="str">
        <f>VLOOKUP(A404,Participanti!A:B,2,0)</f>
        <v>F</v>
      </c>
      <c r="C404" s="98">
        <v>15</v>
      </c>
      <c r="D404" s="63">
        <v>9.01</v>
      </c>
      <c r="E404" s="64">
        <v>3.8009259259259263E-2</v>
      </c>
      <c r="F404" s="64">
        <v>4.1041666666666664E-2</v>
      </c>
      <c r="G404" s="90">
        <f t="shared" si="108"/>
        <v>3.9525462962962964E-2</v>
      </c>
      <c r="H404" s="65">
        <v>0</v>
      </c>
      <c r="I404" s="13">
        <f t="shared" si="109"/>
        <v>4.3868438360669219E-3</v>
      </c>
      <c r="J404" s="84">
        <f t="shared" si="110"/>
        <v>2.2524999999999999</v>
      </c>
      <c r="K404" s="84">
        <f>IF(J404=0,0,IF(B404="F",VLOOKUP(I404,Barem!$G$2:$H$11,2,1),VLOOKUP(I404,Barem!$G$12:$H$21,2,1)))</f>
        <v>1.5</v>
      </c>
      <c r="L404" s="63">
        <v>3.25</v>
      </c>
      <c r="M404" s="149" t="s">
        <v>109</v>
      </c>
      <c r="N404" s="10">
        <f t="shared" si="107"/>
        <v>0.25</v>
      </c>
      <c r="O404" s="10">
        <f t="shared" si="107"/>
        <v>0.5</v>
      </c>
      <c r="P404" s="10">
        <f t="shared" si="107"/>
        <v>0.25</v>
      </c>
      <c r="Q404" s="47">
        <f t="shared" si="111"/>
        <v>0</v>
      </c>
      <c r="R404" s="25">
        <f>IF(D404&gt;21,VLOOKUP(D404,Barem!$T$1:$U$141,2,1),0)</f>
        <v>0</v>
      </c>
      <c r="S404" s="25">
        <f>IF(D404&lt;1.609,0,IF(B404="F",VLOOKUP(I404,Barem!$X$2:$Z$13,2,1),VLOOKUP(I404,Barem!$X$14:$Z$25,2,1)))</f>
        <v>0</v>
      </c>
      <c r="T404" s="25">
        <f>VLOOKUP(A404,Participanti!A:C,3,0)</f>
        <v>0</v>
      </c>
      <c r="U404" s="20">
        <f t="shared" si="112"/>
        <v>2.1256249999999999</v>
      </c>
      <c r="V404" s="76">
        <v>44675</v>
      </c>
      <c r="W404" s="101">
        <f>COUNTIFS(A:A,A404,C:C,C404)</f>
        <v>1</v>
      </c>
      <c r="X404" s="74" t="str">
        <f>VLOOKUP(A404,Data_echipe!A:R,18,0)</f>
        <v>Road</v>
      </c>
      <c r="Z404" s="106">
        <f t="shared" si="102"/>
        <v>1</v>
      </c>
    </row>
    <row r="405" spans="1:26" x14ac:dyDescent="0.25">
      <c r="A405" s="61" t="s">
        <v>143</v>
      </c>
      <c r="B405" s="74" t="str">
        <f>VLOOKUP(A405,Participanti!A:B,2,0)</f>
        <v>M</v>
      </c>
      <c r="C405" s="98">
        <v>15</v>
      </c>
      <c r="D405" s="63">
        <v>23.24</v>
      </c>
      <c r="E405" s="64">
        <v>8.8252314814814811E-2</v>
      </c>
      <c r="F405" s="64">
        <v>9.1388888888888895E-2</v>
      </c>
      <c r="G405" s="90">
        <f t="shared" si="108"/>
        <v>8.9820601851851853E-2</v>
      </c>
      <c r="H405" s="65">
        <v>54</v>
      </c>
      <c r="I405" s="13">
        <f t="shared" si="109"/>
        <v>3.8649140211640216E-3</v>
      </c>
      <c r="J405" s="84">
        <f t="shared" si="110"/>
        <v>5</v>
      </c>
      <c r="K405" s="84">
        <f>IF(J405=0,0,IF(B405="F",VLOOKUP(I405,Barem!$G$2:$H$11,2,1),VLOOKUP(I405,Barem!$G$12:$H$21,2,1)))</f>
        <v>1.5</v>
      </c>
      <c r="L405" s="63">
        <v>3.5</v>
      </c>
      <c r="M405" s="149" t="s">
        <v>220</v>
      </c>
      <c r="N405" s="10">
        <f t="shared" si="107"/>
        <v>0.25</v>
      </c>
      <c r="O405" s="10">
        <f t="shared" si="107"/>
        <v>0.25</v>
      </c>
      <c r="P405" s="10">
        <f t="shared" si="107"/>
        <v>0.5</v>
      </c>
      <c r="Q405" s="47">
        <f t="shared" si="111"/>
        <v>3.5999999999999997E-2</v>
      </c>
      <c r="R405" s="25">
        <f>IF(D405&gt;21,VLOOKUP(D405,Barem!$T$1:$U$141,2,1),0)</f>
        <v>0.1</v>
      </c>
      <c r="S405" s="25">
        <f>IF(D405&lt;1.609,0,IF(B405="F",VLOOKUP(I405,Barem!$X$2:$Z$13,2,1),VLOOKUP(I405,Barem!$X$14:$Z$25,2,1)))</f>
        <v>0</v>
      </c>
      <c r="T405" s="25">
        <f>VLOOKUP(A405,Participanti!A:C,3,0)</f>
        <v>0</v>
      </c>
      <c r="U405" s="20">
        <f t="shared" si="112"/>
        <v>3.5110000000000001</v>
      </c>
      <c r="V405" s="76">
        <v>44674</v>
      </c>
      <c r="W405" s="101">
        <f>COUNTIFS(A:A,A405,C:C,C405)</f>
        <v>1</v>
      </c>
      <c r="X405" s="74" t="str">
        <f>VLOOKUP(A405,Data_echipe!A:R,18,0)</f>
        <v>Road</v>
      </c>
      <c r="Z405" s="106">
        <f t="shared" si="102"/>
        <v>1</v>
      </c>
    </row>
    <row r="406" spans="1:26" x14ac:dyDescent="0.25">
      <c r="A406" s="61" t="s">
        <v>257</v>
      </c>
      <c r="B406" s="74" t="str">
        <f>VLOOKUP(A406,Participanti!A:B,2,0)</f>
        <v>M</v>
      </c>
      <c r="C406" s="98">
        <v>15</v>
      </c>
      <c r="D406" s="63">
        <v>25.25</v>
      </c>
      <c r="E406" s="64">
        <v>0.12248842592592592</v>
      </c>
      <c r="F406" s="64">
        <v>0.13350694444444444</v>
      </c>
      <c r="G406" s="90">
        <f t="shared" si="108"/>
        <v>0.12799768518518517</v>
      </c>
      <c r="H406" s="65">
        <v>1019</v>
      </c>
      <c r="I406" s="13">
        <f t="shared" si="109"/>
        <v>5.0692152548588191E-3</v>
      </c>
      <c r="J406" s="84">
        <f t="shared" si="110"/>
        <v>5</v>
      </c>
      <c r="K406" s="84">
        <f>IF(J406=0,0,IF(B406="F",VLOOKUP(I406,Barem!$G$2:$H$11,2,1),VLOOKUP(I406,Barem!$G$12:$H$21,2,1)))</f>
        <v>1</v>
      </c>
      <c r="L406" s="63">
        <v>3</v>
      </c>
      <c r="M406" s="149" t="s">
        <v>220</v>
      </c>
      <c r="N406" s="10">
        <f t="shared" si="107"/>
        <v>0.25</v>
      </c>
      <c r="O406" s="10">
        <f t="shared" si="107"/>
        <v>0.25</v>
      </c>
      <c r="P406" s="10">
        <f t="shared" si="107"/>
        <v>0.5</v>
      </c>
      <c r="Q406" s="47">
        <f t="shared" si="111"/>
        <v>0.67933333333333334</v>
      </c>
      <c r="R406" s="25">
        <f>IF(D406&gt;21,VLOOKUP(D406,Barem!$T$1:$U$141,2,1),0)</f>
        <v>0.2</v>
      </c>
      <c r="S406" s="25">
        <f>IF(D406&lt;1.609,0,IF(B406="F",VLOOKUP(I406,Barem!$X$2:$Z$13,2,1),VLOOKUP(I406,Barem!$X$14:$Z$25,2,1)))</f>
        <v>0</v>
      </c>
      <c r="T406" s="25">
        <f>VLOOKUP(A406,Participanti!A:C,3,0)</f>
        <v>0</v>
      </c>
      <c r="U406" s="20">
        <f t="shared" si="112"/>
        <v>3.8793333333333333</v>
      </c>
      <c r="V406" s="76">
        <v>44675</v>
      </c>
      <c r="W406" s="101">
        <f>COUNTIFS(A:A,A406,C:C,C406)</f>
        <v>1</v>
      </c>
      <c r="X406" s="74" t="str">
        <f>VLOOKUP(A406,Data_echipe!A:R,18,0)</f>
        <v>Road</v>
      </c>
      <c r="Z406" s="106">
        <f t="shared" si="102"/>
        <v>1</v>
      </c>
    </row>
    <row r="407" spans="1:26" x14ac:dyDescent="0.25">
      <c r="A407" s="61" t="s">
        <v>179</v>
      </c>
      <c r="B407" s="74" t="str">
        <f>VLOOKUP(A407,Participanti!A:B,2,0)</f>
        <v>F</v>
      </c>
      <c r="C407" s="98">
        <v>15</v>
      </c>
      <c r="D407" s="63">
        <v>19</v>
      </c>
      <c r="E407" s="64">
        <v>7.8912037037037031E-2</v>
      </c>
      <c r="F407" s="64">
        <v>0.10418981481481482</v>
      </c>
      <c r="G407" s="90">
        <f t="shared" si="108"/>
        <v>9.1550925925925924E-2</v>
      </c>
      <c r="H407" s="65">
        <v>55</v>
      </c>
      <c r="I407" s="13">
        <f t="shared" si="109"/>
        <v>4.8184697855750483E-3</v>
      </c>
      <c r="J407" s="84">
        <f t="shared" si="110"/>
        <v>4.75</v>
      </c>
      <c r="K407" s="84">
        <f>IF(J407=0,0,IF(B407="F",VLOOKUP(I407,Barem!$G$2:$H$11,2,1),VLOOKUP(I407,Barem!$G$12:$H$21,2,1)))</f>
        <v>1</v>
      </c>
      <c r="L407" s="63">
        <v>3.5</v>
      </c>
      <c r="M407" s="149" t="s">
        <v>220</v>
      </c>
      <c r="N407" s="10">
        <f t="shared" ref="N407:P413" si="113">IF($M407=N$1,50%,25%)</f>
        <v>0.25</v>
      </c>
      <c r="O407" s="10">
        <f t="shared" si="113"/>
        <v>0.25</v>
      </c>
      <c r="P407" s="10">
        <f t="shared" si="113"/>
        <v>0.5</v>
      </c>
      <c r="Q407" s="47">
        <f t="shared" si="111"/>
        <v>3.6666666666666667E-2</v>
      </c>
      <c r="R407" s="25">
        <f>IF(D407&gt;21,VLOOKUP(D407,Barem!$T$1:$U$141,2,1),0)</f>
        <v>0</v>
      </c>
      <c r="S407" s="25">
        <f>IF(D407&lt;1.609,0,IF(B407="F",VLOOKUP(I407,Barem!$X$2:$Z$13,2,1),VLOOKUP(I407,Barem!$X$14:$Z$25,2,1)))</f>
        <v>0</v>
      </c>
      <c r="T407" s="25">
        <f>VLOOKUP(A407,Participanti!A:C,3,0)</f>
        <v>0</v>
      </c>
      <c r="U407" s="20">
        <f t="shared" si="112"/>
        <v>3.2241666666666666</v>
      </c>
      <c r="V407" s="76">
        <v>44675</v>
      </c>
      <c r="W407" s="101">
        <f>COUNTIFS(A:A,A407,C:C,C407)</f>
        <v>1</v>
      </c>
      <c r="X407" s="74" t="str">
        <f>VLOOKUP(A407,Data_echipe!A:R,18,0)</f>
        <v>Trail</v>
      </c>
      <c r="Z407" s="106">
        <f t="shared" si="102"/>
        <v>1</v>
      </c>
    </row>
    <row r="408" spans="1:26" x14ac:dyDescent="0.25">
      <c r="A408" s="61" t="s">
        <v>102</v>
      </c>
      <c r="B408" s="74" t="str">
        <f>VLOOKUP(A408,Participanti!A:B,2,0)</f>
        <v>F</v>
      </c>
      <c r="C408" s="98">
        <v>15</v>
      </c>
      <c r="D408" s="63">
        <v>11.01</v>
      </c>
      <c r="E408" s="64">
        <v>4.6504629629629625E-2</v>
      </c>
      <c r="F408" s="64">
        <v>5.1319444444444445E-2</v>
      </c>
      <c r="G408" s="90">
        <f t="shared" si="108"/>
        <v>4.8912037037037032E-2</v>
      </c>
      <c r="H408" s="65">
        <v>18</v>
      </c>
      <c r="I408" s="13">
        <f t="shared" si="109"/>
        <v>4.442510175934335E-3</v>
      </c>
      <c r="J408" s="84">
        <f t="shared" si="110"/>
        <v>2.7524999999999999</v>
      </c>
      <c r="K408" s="84">
        <f>IF(J408=0,0,IF(B408="F",VLOOKUP(I408,Barem!$G$2:$H$11,2,1),VLOOKUP(I408,Barem!$G$12:$H$21,2,1)))</f>
        <v>1.5</v>
      </c>
      <c r="L408" s="63">
        <v>3</v>
      </c>
      <c r="M408" s="149" t="s">
        <v>220</v>
      </c>
      <c r="N408" s="10">
        <f t="shared" si="113"/>
        <v>0.25</v>
      </c>
      <c r="O408" s="10">
        <f t="shared" si="113"/>
        <v>0.25</v>
      </c>
      <c r="P408" s="10">
        <f t="shared" si="113"/>
        <v>0.5</v>
      </c>
      <c r="Q408" s="47">
        <f t="shared" si="111"/>
        <v>0</v>
      </c>
      <c r="R408" s="25">
        <f>IF(D408&gt;21,VLOOKUP(D408,Barem!$T$1:$U$141,2,1),0)</f>
        <v>0</v>
      </c>
      <c r="S408" s="25">
        <f>IF(D408&lt;1.609,0,IF(B408="F",VLOOKUP(I408,Barem!$X$2:$Z$13,2,1),VLOOKUP(I408,Barem!$X$14:$Z$25,2,1)))</f>
        <v>0</v>
      </c>
      <c r="T408" s="25">
        <f>VLOOKUP(A408,Participanti!A:C,3,0)</f>
        <v>0</v>
      </c>
      <c r="U408" s="20">
        <f t="shared" si="112"/>
        <v>2.5631249999999999</v>
      </c>
      <c r="V408" s="76">
        <v>44674</v>
      </c>
      <c r="W408" s="101">
        <f>COUNTIFS(A:A,A408,C:C,C408)</f>
        <v>1</v>
      </c>
      <c r="X408" s="74" t="str">
        <f>VLOOKUP(A408,Data_echipe!A:R,18,0)</f>
        <v>Trail</v>
      </c>
      <c r="Z408" s="106">
        <f t="shared" si="102"/>
        <v>1</v>
      </c>
    </row>
    <row r="409" spans="1:26" x14ac:dyDescent="0.25">
      <c r="A409" s="61" t="s">
        <v>217</v>
      </c>
      <c r="B409" s="74" t="str">
        <f>VLOOKUP(A409,Participanti!A:B,2,0)</f>
        <v>M</v>
      </c>
      <c r="C409" s="98">
        <v>15</v>
      </c>
      <c r="D409" s="63">
        <v>7</v>
      </c>
      <c r="E409" s="64">
        <v>2.5150462962962961E-2</v>
      </c>
      <c r="F409" s="64">
        <v>2.6006944444444447E-2</v>
      </c>
      <c r="G409" s="90">
        <f t="shared" si="108"/>
        <v>2.5578703703703704E-2</v>
      </c>
      <c r="H409" s="65">
        <v>13</v>
      </c>
      <c r="I409" s="13">
        <f t="shared" si="109"/>
        <v>3.654100529100529E-3</v>
      </c>
      <c r="J409" s="84">
        <f t="shared" si="110"/>
        <v>1.6666666666666665</v>
      </c>
      <c r="K409" s="84">
        <f>IF(J409=0,0,IF(B409="F",VLOOKUP(I409,Barem!$G$2:$H$11,2,1),VLOOKUP(I409,Barem!$G$12:$H$21,2,1)))</f>
        <v>2.5</v>
      </c>
      <c r="L409" s="63">
        <v>2.5</v>
      </c>
      <c r="M409" s="149" t="s">
        <v>220</v>
      </c>
      <c r="N409" s="10">
        <f t="shared" si="113"/>
        <v>0.25</v>
      </c>
      <c r="O409" s="10">
        <f t="shared" si="113"/>
        <v>0.25</v>
      </c>
      <c r="P409" s="10">
        <f t="shared" si="113"/>
        <v>0.5</v>
      </c>
      <c r="Q409" s="47">
        <f t="shared" si="111"/>
        <v>0</v>
      </c>
      <c r="R409" s="25">
        <f>IF(D409&gt;21,VLOOKUP(D409,Barem!$T$1:$U$141,2,1),0)</f>
        <v>0</v>
      </c>
      <c r="S409" s="25">
        <f>IF(D409&lt;1.609,0,IF(B409="F",VLOOKUP(I409,Barem!$X$2:$Z$13,2,1),VLOOKUP(I409,Barem!$X$14:$Z$25,2,1)))</f>
        <v>0</v>
      </c>
      <c r="T409" s="25">
        <f>VLOOKUP(A409,Participanti!A:C,3,0)</f>
        <v>0</v>
      </c>
      <c r="U409" s="20">
        <f t="shared" si="112"/>
        <v>2.2916666666666665</v>
      </c>
      <c r="V409" s="76">
        <v>44672</v>
      </c>
      <c r="W409" s="101">
        <f>COUNTIFS(A:A,A409,C:C,C409)</f>
        <v>1</v>
      </c>
      <c r="X409" s="74" t="e">
        <f>VLOOKUP(A409,Data_echipe!A:R,18,0)</f>
        <v>#N/A</v>
      </c>
      <c r="Z409" s="106">
        <f t="shared" si="102"/>
        <v>1</v>
      </c>
    </row>
    <row r="410" spans="1:26" x14ac:dyDescent="0.25">
      <c r="A410" s="61" t="s">
        <v>48</v>
      </c>
      <c r="B410" s="74" t="str">
        <f>VLOOKUP(A410,Participanti!A:B,2,0)</f>
        <v>M</v>
      </c>
      <c r="C410" s="98">
        <v>15</v>
      </c>
      <c r="D410" s="63">
        <v>16</v>
      </c>
      <c r="E410" s="64">
        <v>5.5312499999999994E-2</v>
      </c>
      <c r="F410" s="64">
        <v>5.5312499999999994E-2</v>
      </c>
      <c r="G410" s="90">
        <f t="shared" si="108"/>
        <v>5.5312499999999994E-2</v>
      </c>
      <c r="H410" s="65">
        <v>234</v>
      </c>
      <c r="I410" s="13">
        <f t="shared" si="109"/>
        <v>3.4570312499999996E-3</v>
      </c>
      <c r="J410" s="84">
        <f t="shared" si="110"/>
        <v>3.8095238095238093</v>
      </c>
      <c r="K410" s="84">
        <f>IF(J410=0,0,IF(B410="F",VLOOKUP(I410,Barem!$G$2:$H$11,2,1),VLOOKUP(I410,Barem!$G$12:$H$21,2,1)))</f>
        <v>3</v>
      </c>
      <c r="L410" s="63">
        <v>1</v>
      </c>
      <c r="M410" s="62" t="str">
        <f>VLOOKUP(C410,Barem!L:R,7,0)</f>
        <v>D</v>
      </c>
      <c r="N410" s="10">
        <f t="shared" si="113"/>
        <v>0.5</v>
      </c>
      <c r="O410" s="10">
        <f t="shared" si="113"/>
        <v>0.25</v>
      </c>
      <c r="P410" s="10">
        <f t="shared" si="113"/>
        <v>0.25</v>
      </c>
      <c r="Q410" s="47">
        <f t="shared" si="111"/>
        <v>0.156</v>
      </c>
      <c r="R410" s="25">
        <f>IF(D410&gt;21,VLOOKUP(D410,Barem!$T$1:$U$141,2,1),0)</f>
        <v>0</v>
      </c>
      <c r="S410" s="25">
        <f>IF(D410&lt;1.609,0,IF(B410="F",VLOOKUP(I410,Barem!$X$2:$Z$13,2,1),VLOOKUP(I410,Barem!$X$14:$Z$25,2,1)))</f>
        <v>0</v>
      </c>
      <c r="T410" s="25">
        <f>VLOOKUP(A410,Participanti!A:C,3,0)</f>
        <v>0</v>
      </c>
      <c r="U410" s="20">
        <f t="shared" si="112"/>
        <v>3.0607619047619048</v>
      </c>
      <c r="V410" s="76">
        <v>44673</v>
      </c>
      <c r="W410" s="101">
        <f>COUNTIFS(A:A,A410,C:C,C410)</f>
        <v>1</v>
      </c>
      <c r="X410" s="74" t="str">
        <f>VLOOKUP(A410,Data_echipe!A:R,18,0)</f>
        <v>Road</v>
      </c>
      <c r="Z410" s="106">
        <f t="shared" si="102"/>
        <v>1</v>
      </c>
    </row>
    <row r="411" spans="1:26" x14ac:dyDescent="0.25">
      <c r="A411" s="61" t="s">
        <v>138</v>
      </c>
      <c r="B411" s="74" t="str">
        <f>VLOOKUP(A411,Participanti!A:B,2,0)</f>
        <v>F</v>
      </c>
      <c r="C411" s="98">
        <v>15</v>
      </c>
      <c r="D411" s="63">
        <v>5.0199999999999996</v>
      </c>
      <c r="E411" s="64">
        <v>2.0810185185185185E-2</v>
      </c>
      <c r="F411" s="64">
        <v>2.0868055555555556E-2</v>
      </c>
      <c r="G411" s="90">
        <f t="shared" si="108"/>
        <v>2.0839120370370369E-2</v>
      </c>
      <c r="H411" s="65">
        <v>47</v>
      </c>
      <c r="I411" s="13">
        <f t="shared" si="109"/>
        <v>4.1512191972849343E-3</v>
      </c>
      <c r="J411" s="84">
        <f t="shared" si="110"/>
        <v>1.2549999999999999</v>
      </c>
      <c r="K411" s="84">
        <f>IF(J411=0,0,IF(B411="F",VLOOKUP(I411,Barem!$G$2:$H$11,2,1),VLOOKUP(I411,Barem!$G$12:$H$21,2,1)))</f>
        <v>2</v>
      </c>
      <c r="L411" s="63">
        <v>3.5</v>
      </c>
      <c r="M411" s="62" t="str">
        <f>VLOOKUP(C411,Barem!L:R,7,0)</f>
        <v>D</v>
      </c>
      <c r="N411" s="10">
        <f t="shared" si="113"/>
        <v>0.5</v>
      </c>
      <c r="O411" s="10">
        <f t="shared" si="113"/>
        <v>0.25</v>
      </c>
      <c r="P411" s="10">
        <f t="shared" si="113"/>
        <v>0.25</v>
      </c>
      <c r="Q411" s="47">
        <f t="shared" si="111"/>
        <v>0</v>
      </c>
      <c r="R411" s="25">
        <f>IF(D411&gt;21,VLOOKUP(D411,Barem!$T$1:$U$141,2,1),0)</f>
        <v>0</v>
      </c>
      <c r="S411" s="25">
        <f>IF(D411&lt;1.609,0,IF(B411="F",VLOOKUP(I411,Barem!$X$2:$Z$13,2,1),VLOOKUP(I411,Barem!$X$14:$Z$25,2,1)))</f>
        <v>0</v>
      </c>
      <c r="T411" s="25">
        <f>VLOOKUP(A411,Participanti!A:C,3,0)</f>
        <v>0</v>
      </c>
      <c r="U411" s="20">
        <f t="shared" si="112"/>
        <v>2.0024999999999999</v>
      </c>
      <c r="V411" s="76">
        <v>44673</v>
      </c>
      <c r="W411" s="101">
        <f>COUNTIFS(A:A,A411,C:C,C411)</f>
        <v>1</v>
      </c>
      <c r="X411" s="74" t="str">
        <f>VLOOKUP(A411,Data_echipe!A:R,18,0)</f>
        <v>Road</v>
      </c>
      <c r="Z411" s="106">
        <f t="shared" si="102"/>
        <v>1</v>
      </c>
    </row>
    <row r="412" spans="1:26" x14ac:dyDescent="0.25">
      <c r="A412" s="61" t="s">
        <v>116</v>
      </c>
      <c r="B412" s="74" t="str">
        <f>VLOOKUP(A412,Participanti!A:B,2,0)</f>
        <v>M</v>
      </c>
      <c r="C412" s="98">
        <v>15</v>
      </c>
      <c r="D412" s="63">
        <v>5.01</v>
      </c>
      <c r="E412" s="64">
        <v>2.3379629629629629E-2</v>
      </c>
      <c r="F412" s="64">
        <v>2.3379629629629629E-2</v>
      </c>
      <c r="G412" s="90">
        <f t="shared" si="108"/>
        <v>2.3379629629629629E-2</v>
      </c>
      <c r="H412" s="65">
        <v>2</v>
      </c>
      <c r="I412" s="13">
        <f t="shared" si="109"/>
        <v>4.6665927404450358E-3</v>
      </c>
      <c r="J412" s="84">
        <f t="shared" si="110"/>
        <v>1.1928571428571428</v>
      </c>
      <c r="K412" s="84">
        <f>IF(J412=0,0,IF(B412="F",VLOOKUP(I412,Barem!$G$2:$H$11,2,1),VLOOKUP(I412,Barem!$G$12:$H$21,2,1)))</f>
        <v>1</v>
      </c>
      <c r="L412" s="63">
        <v>3.75</v>
      </c>
      <c r="M412" s="149" t="s">
        <v>220</v>
      </c>
      <c r="N412" s="10">
        <f t="shared" si="113"/>
        <v>0.25</v>
      </c>
      <c r="O412" s="10">
        <f t="shared" si="113"/>
        <v>0.25</v>
      </c>
      <c r="P412" s="10">
        <f t="shared" si="113"/>
        <v>0.5</v>
      </c>
      <c r="Q412" s="47">
        <f t="shared" si="111"/>
        <v>0</v>
      </c>
      <c r="R412" s="25">
        <f>IF(D412&gt;21,VLOOKUP(D412,Barem!$T$1:$U$141,2,1),0)</f>
        <v>0</v>
      </c>
      <c r="S412" s="25">
        <f>IF(D412&lt;1.609,0,IF(B412="F",VLOOKUP(I412,Barem!$X$2:$Z$13,2,1),VLOOKUP(I412,Barem!$X$14:$Z$25,2,1)))</f>
        <v>0</v>
      </c>
      <c r="T412" s="25">
        <f>VLOOKUP(A412,Participanti!A:C,3,0)</f>
        <v>0</v>
      </c>
      <c r="U412" s="20">
        <f t="shared" si="112"/>
        <v>2.4232142857142858</v>
      </c>
      <c r="V412" s="76">
        <v>44675</v>
      </c>
      <c r="W412" s="101">
        <f>COUNTIFS(A:A,A412,C:C,C412)</f>
        <v>1</v>
      </c>
      <c r="X412" s="74" t="str">
        <f>VLOOKUP(A412,Data_echipe!A:R,18,0)</f>
        <v>Trail</v>
      </c>
      <c r="Z412" s="106">
        <f t="shared" si="102"/>
        <v>1</v>
      </c>
    </row>
    <row r="413" spans="1:26" s="146" customFormat="1" ht="12.6" thickBot="1" x14ac:dyDescent="0.3">
      <c r="A413" s="130" t="s">
        <v>60</v>
      </c>
      <c r="B413" s="131" t="str">
        <f>VLOOKUP(A413,Participanti!A:B,2,0)</f>
        <v>M</v>
      </c>
      <c r="C413" s="132">
        <v>15</v>
      </c>
      <c r="D413" s="133">
        <v>5.09</v>
      </c>
      <c r="E413" s="134">
        <v>1.4525462962962964E-2</v>
      </c>
      <c r="F413" s="134">
        <v>1.4525462962962964E-2</v>
      </c>
      <c r="G413" s="135">
        <f t="shared" si="108"/>
        <v>1.4525462962962964E-2</v>
      </c>
      <c r="H413" s="136">
        <v>0</v>
      </c>
      <c r="I413" s="137">
        <f t="shared" si="109"/>
        <v>2.8537255329986176E-3</v>
      </c>
      <c r="J413" s="138">
        <f t="shared" si="110"/>
        <v>1.2119047619047618</v>
      </c>
      <c r="K413" s="138">
        <f>IF(J413=0,0,IF(B413="F",VLOOKUP(I413,Barem!$G$2:$H$11,2,1),VLOOKUP(I413,Barem!$G$12:$H$21,2,1)))</f>
        <v>4.5</v>
      </c>
      <c r="L413" s="133">
        <v>2.5</v>
      </c>
      <c r="M413" s="149" t="s">
        <v>220</v>
      </c>
      <c r="N413" s="140">
        <f t="shared" si="113"/>
        <v>0.25</v>
      </c>
      <c r="O413" s="140">
        <f t="shared" si="113"/>
        <v>0.25</v>
      </c>
      <c r="P413" s="140">
        <f t="shared" si="113"/>
        <v>0.5</v>
      </c>
      <c r="Q413" s="141">
        <f t="shared" si="111"/>
        <v>0</v>
      </c>
      <c r="R413" s="142">
        <f>IF(D413&gt;21,VLOOKUP(D413,Barem!$T$1:$U$141,2,1),0)</f>
        <v>0</v>
      </c>
      <c r="S413" s="142">
        <f>IF(D413&lt;1.609,0,IF(B413="F",VLOOKUP(I413,Barem!$X$2:$Z$13,2,1),VLOOKUP(I413,Barem!$X$14:$Z$25,2,1)))</f>
        <v>0</v>
      </c>
      <c r="T413" s="142">
        <f>VLOOKUP(A413,Participanti!A:C,3,0)</f>
        <v>0</v>
      </c>
      <c r="U413" s="143">
        <f t="shared" si="112"/>
        <v>2.6779761904761905</v>
      </c>
      <c r="V413" s="144">
        <v>44672</v>
      </c>
      <c r="W413" s="145">
        <f>COUNTIFS(A:A,A413,C:C,C413)</f>
        <v>1</v>
      </c>
      <c r="X413" s="131" t="str">
        <f>VLOOKUP(A413,Data_echipe!A:R,18,0)</f>
        <v>Road</v>
      </c>
      <c r="Z413" s="106">
        <f t="shared" si="102"/>
        <v>1</v>
      </c>
    </row>
  </sheetData>
  <autoFilter ref="A1:X392"/>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V36"/>
  <sheetViews>
    <sheetView tabSelected="1" zoomScaleNormal="100" workbookViewId="0">
      <pane ySplit="1" topLeftCell="A2" activePane="bottomLeft" state="frozen"/>
      <selection pane="bottomLeft" activeCell="I19" sqref="I19"/>
    </sheetView>
  </sheetViews>
  <sheetFormatPr defaultColWidth="9.109375" defaultRowHeight="12" x14ac:dyDescent="0.25"/>
  <cols>
    <col min="1" max="1" width="7.88671875" style="104" bestFit="1" customWidth="1"/>
    <col min="2" max="2" width="23.6640625" style="27" bestFit="1" customWidth="1"/>
    <col min="3" max="10" width="7.44140625" style="28" customWidth="1"/>
    <col min="11" max="11" width="7.88671875" style="28" customWidth="1"/>
    <col min="12" max="12" width="6.6640625" style="28" customWidth="1"/>
    <col min="13" max="13" width="7" style="28" customWidth="1"/>
    <col min="14" max="17" width="5.33203125" style="28" customWidth="1"/>
    <col min="18" max="18" width="9.33203125" style="28" customWidth="1"/>
    <col min="19" max="19" width="10.44140625" style="28" bestFit="1" customWidth="1"/>
    <col min="20" max="20" width="10.77734375" style="28" customWidth="1"/>
    <col min="21" max="21" width="6.44140625" style="38" bestFit="1" customWidth="1"/>
    <col min="22" max="22" width="9.21875" style="38" customWidth="1"/>
    <col min="23" max="16384" width="9.109375" style="38"/>
  </cols>
  <sheetData>
    <row r="1" spans="1:22" ht="13.8" x14ac:dyDescent="0.3">
      <c r="A1" s="102" t="s">
        <v>68</v>
      </c>
      <c r="B1" s="34" t="s">
        <v>32</v>
      </c>
      <c r="C1" s="43">
        <v>1</v>
      </c>
      <c r="D1" s="43">
        <v>2</v>
      </c>
      <c r="E1" s="43">
        <v>3</v>
      </c>
      <c r="F1" s="43">
        <v>4</v>
      </c>
      <c r="G1" s="43">
        <v>5</v>
      </c>
      <c r="H1" s="43">
        <v>6</v>
      </c>
      <c r="I1" s="43">
        <v>7</v>
      </c>
      <c r="J1" s="43">
        <v>8</v>
      </c>
      <c r="K1" s="43">
        <v>9</v>
      </c>
      <c r="L1" s="43">
        <v>10</v>
      </c>
      <c r="M1" s="43">
        <v>11</v>
      </c>
      <c r="N1" s="43">
        <v>12</v>
      </c>
      <c r="O1" s="43">
        <v>13</v>
      </c>
      <c r="P1" s="43">
        <v>14</v>
      </c>
      <c r="Q1" s="43">
        <v>15</v>
      </c>
      <c r="R1" s="91" t="s">
        <v>84</v>
      </c>
      <c r="S1" s="35" t="s">
        <v>70</v>
      </c>
      <c r="T1" s="35" t="s">
        <v>69</v>
      </c>
      <c r="U1" s="42" t="s">
        <v>105</v>
      </c>
      <c r="V1" s="38" t="s">
        <v>189</v>
      </c>
    </row>
    <row r="2" spans="1:22" ht="13.8" x14ac:dyDescent="0.3">
      <c r="A2" s="103">
        <v>1</v>
      </c>
      <c r="B2" s="36" t="s">
        <v>218</v>
      </c>
      <c r="C2" s="37">
        <f>IF(SUMIFS(Data!$U:$U,Data!$A:$A,$B2,Data!$C:$C,C$1)=0,"",SUMIFS(Data!$U:$U,Data!$A:$A,$B2,Data!$C:$C,C$1))</f>
        <v>6.2554999999999996</v>
      </c>
      <c r="D2" s="37">
        <f>IF(SUMIFS(Data!$U:$U,Data!$A:$A,$B2,Data!$C:$C,D$1)=0,"",SUMIFS(Data!$U:$U,Data!$A:$A,$B2,Data!$C:$C,D$1))</f>
        <v>5.692166666666667</v>
      </c>
      <c r="E2" s="37">
        <f>IF(SUMIFS(Data!$U:$U,Data!$A:$A,$B2,Data!$C:$C,E$1)=0,"",SUMIFS(Data!$U:$U,Data!$A:$A,$B2,Data!$C:$C,E$1))</f>
        <v>4.0529999999999999</v>
      </c>
      <c r="F2" s="37">
        <f>IF(SUMIFS(Data!$U:$U,Data!$A:$A,$B2,Data!$C:$C,F$1)=0,"",SUMIFS(Data!$U:$U,Data!$A:$A,$B2,Data!$C:$C,F$1))</f>
        <v>5.3010000000000002</v>
      </c>
      <c r="G2" s="37">
        <f>IF(SUMIFS(Data!$U:$U,Data!$A:$A,$B2,Data!$C:$C,G$1)=0,"",SUMIFS(Data!$U:$U,Data!$A:$A,$B2,Data!$C:$C,G$1))</f>
        <v>7.1562380952380957</v>
      </c>
      <c r="H2" s="37">
        <f>IF(SUMIFS(Data!$U:$U,Data!$A:$A,$B2,Data!$C:$C,H$1)=0,"",SUMIFS(Data!$U:$U,Data!$A:$A,$B2,Data!$C:$C,H$1))</f>
        <v>4.7150000000000007</v>
      </c>
      <c r="I2" s="37">
        <f>IF(SUMIFS(Data!$U:$U,Data!$A:$A,$B2,Data!$C:$C,I$1)=0,"",SUMIFS(Data!$U:$U,Data!$A:$A,$B2,Data!$C:$C,I$1))</f>
        <v>7.9634999999999998</v>
      </c>
      <c r="J2" s="37">
        <f>IF(SUMIFS(Data!$U:$U,Data!$A:$A,$B2,Data!$C:$C,J$1)=0,"",SUMIFS(Data!$U:$U,Data!$A:$A,$B2,Data!$C:$C,J$1))</f>
        <v>5.1996666666666664</v>
      </c>
      <c r="K2" s="37">
        <f>IF(SUMIFS(Data!$U:$U,Data!$A:$A,$B2,Data!$C:$C,K$1)=0,"",SUMIFS(Data!$U:$U,Data!$A:$A,$B2,Data!$C:$C,K$1))</f>
        <v>4.8540000000000001</v>
      </c>
      <c r="L2" s="37">
        <f>IF(SUMIFS(Data!$U:$U,Data!$A:$A,$B2,Data!$C:$C,L$1)=0,"",SUMIFS(Data!$U:$U,Data!$A:$A,$B2,Data!$C:$C,L$1))</f>
        <v>4.8616666666666664</v>
      </c>
      <c r="M2" s="37">
        <f>IF(SUMIFS(Data!$U:$U,Data!$A:$A,$B2,Data!$C:$C,M$1)=0,"",SUMIFS(Data!$U:$U,Data!$A:$A,$B2,Data!$C:$C,M$1))</f>
        <v>8.2333333333333325</v>
      </c>
      <c r="N2" s="37">
        <f>IF(SUMIFS(Data!$U:$U,Data!$A:$A,$B2,Data!$C:$C,N$1)=0,"",SUMIFS(Data!$U:$U,Data!$A:$A,$B2,Data!$C:$C,N$1))</f>
        <v>4.8808571428571428</v>
      </c>
      <c r="O2" s="37">
        <f>IF(SUMIFS(Data!$U:$U,Data!$A:$A,$B2,Data!$C:$C,O$1)=0,"",SUMIFS(Data!$U:$U,Data!$A:$A,$B2,Data!$C:$C,O$1))</f>
        <v>4.8773333333333335</v>
      </c>
      <c r="P2" s="37">
        <f>IF(SUMIFS(Data!$U:$U,Data!$A:$A,$B2,Data!$C:$C,P$1)=0,"",SUMIFS(Data!$U:$U,Data!$A:$A,$B2,Data!$C:$C,P$1))</f>
        <v>8.8996666666666648</v>
      </c>
      <c r="Q2" s="37">
        <f>IF(SUMIFS(Data!$U:$U,Data!$A:$A,$B2,Data!$C:$C,Q$1)=0,"",SUMIFS(Data!$U:$U,Data!$A:$A,$B2,Data!$C:$C,Q$1))</f>
        <v>6.7336666666666662</v>
      </c>
      <c r="R2" s="37">
        <f>IF(SUMIFS(Data!Z:Z,Data!A:A,'#ligaSYR'!B2)&lt;5,0,IF(SUMIFS(Data!Z:Z,Data!A:A,'#ligaSYR'!B2)&gt;14,10,SUMIFS(Data!Z:Z,Data!A:A,'#ligaSYR'!B2)-4))</f>
        <v>10</v>
      </c>
      <c r="S2" s="37">
        <f>SUM(C2:R2)</f>
        <v>99.676595238095231</v>
      </c>
      <c r="T2" s="37">
        <f>SUMIFS(Data!D:D,Data!A:A,'#ligaSYR'!B2)</f>
        <v>357.28999999999991</v>
      </c>
      <c r="U2" s="38" t="str">
        <f>IF(VLOOKUP(B2,Participanti!A:D,4,0)=0," ","New")</f>
        <v xml:space="preserve"> </v>
      </c>
      <c r="V2" s="89">
        <f>MEDIAN(C2:Q2)</f>
        <v>5.3010000000000002</v>
      </c>
    </row>
    <row r="3" spans="1:22" ht="13.8" x14ac:dyDescent="0.3">
      <c r="A3" s="103">
        <v>2</v>
      </c>
      <c r="B3" s="36" t="s">
        <v>110</v>
      </c>
      <c r="C3" s="37">
        <f>IF(SUMIFS(Data!$U:$U,Data!$A:$A,$B3,Data!$C:$C,C$1)=0,"",SUMIFS(Data!$U:$U,Data!$A:$A,$B3,Data!$C:$C,C$1))</f>
        <v>3.100595238095238</v>
      </c>
      <c r="D3" s="37">
        <f>IF(SUMIFS(Data!$U:$U,Data!$A:$A,$B3,Data!$C:$C,D$1)=0,"",SUMIFS(Data!$U:$U,Data!$A:$A,$B3,Data!$C:$C,D$1))</f>
        <v>5.0739999999999998</v>
      </c>
      <c r="E3" s="37">
        <f>IF(SUMIFS(Data!$U:$U,Data!$A:$A,$B3,Data!$C:$C,E$1)=0,"",SUMIFS(Data!$U:$U,Data!$A:$A,$B3,Data!$C:$C,E$1))</f>
        <v>5.0613333333333328</v>
      </c>
      <c r="F3" s="37" t="str">
        <f>IF(SUMIFS(Data!$U:$U,Data!$A:$A,$B3,Data!$C:$C,F$1)=0,"",SUMIFS(Data!$U:$U,Data!$A:$A,$B3,Data!$C:$C,F$1))</f>
        <v/>
      </c>
      <c r="G3" s="37">
        <f>IF(SUMIFS(Data!$U:$U,Data!$A:$A,$B3,Data!$C:$C,G$1)=0,"",SUMIFS(Data!$U:$U,Data!$A:$A,$B3,Data!$C:$C,G$1))</f>
        <v>5.3736666666666668</v>
      </c>
      <c r="H3" s="37">
        <f>IF(SUMIFS(Data!$U:$U,Data!$A:$A,$B3,Data!$C:$C,H$1)=0,"",SUMIFS(Data!$U:$U,Data!$A:$A,$B3,Data!$C:$C,H$1))</f>
        <v>5.1513333333333327</v>
      </c>
      <c r="I3" s="37">
        <f>IF(SUMIFS(Data!$U:$U,Data!$A:$A,$B3,Data!$C:$C,I$1)=0,"",SUMIFS(Data!$U:$U,Data!$A:$A,$B3,Data!$C:$C,I$1))</f>
        <v>3.3630952380952381</v>
      </c>
      <c r="J3" s="37">
        <f>IF(SUMIFS(Data!$U:$U,Data!$A:$A,$B3,Data!$C:$C,J$1)=0,"",SUMIFS(Data!$U:$U,Data!$A:$A,$B3,Data!$C:$C,J$1))</f>
        <v>5.1931666666666665</v>
      </c>
      <c r="K3" s="37">
        <f>IF(SUMIFS(Data!$U:$U,Data!$A:$A,$B3,Data!$C:$C,K$1)=0,"",SUMIFS(Data!$U:$U,Data!$A:$A,$B3,Data!$C:$C,K$1))</f>
        <v>6.4546666666666672</v>
      </c>
      <c r="L3" s="37">
        <f>IF(SUMIFS(Data!$U:$U,Data!$A:$A,$B3,Data!$C:$C,L$1)=0,"",SUMIFS(Data!$U:$U,Data!$A:$A,$B3,Data!$C:$C,L$1))</f>
        <v>3.3690476190476191</v>
      </c>
      <c r="M3" s="37">
        <f>IF(SUMIFS(Data!$U:$U,Data!$A:$A,$B3,Data!$C:$C,M$1)=0,"",SUMIFS(Data!$U:$U,Data!$A:$A,$B3,Data!$C:$C,M$1))</f>
        <v>4.6663333333333332</v>
      </c>
      <c r="N3" s="37">
        <f>IF(SUMIFS(Data!$U:$U,Data!$A:$A,$B3,Data!$C:$C,N$1)=0,"",SUMIFS(Data!$U:$U,Data!$A:$A,$B3,Data!$C:$C,N$1))</f>
        <v>3.3690476190476191</v>
      </c>
      <c r="O3" s="37">
        <f>IF(SUMIFS(Data!$U:$U,Data!$A:$A,$B3,Data!$C:$C,O$1)=0,"",SUMIFS(Data!$U:$U,Data!$A:$A,$B3,Data!$C:$C,O$1))</f>
        <v>5.7523333333333326</v>
      </c>
      <c r="P3" s="37">
        <f>IF(SUMIFS(Data!$U:$U,Data!$A:$A,$B3,Data!$C:$C,P$1)=0,"",SUMIFS(Data!$U:$U,Data!$A:$A,$B3,Data!$C:$C,P$1))</f>
        <v>8.2051666666666669</v>
      </c>
      <c r="Q3" s="37">
        <f>IF(SUMIFS(Data!$U:$U,Data!$A:$A,$B3,Data!$C:$C,Q$1)=0,"",SUMIFS(Data!$U:$U,Data!$A:$A,$B3,Data!$C:$C,Q$1))</f>
        <v>2.9821428571428572</v>
      </c>
      <c r="R3" s="37">
        <f>IF(SUMIFS(Data!Z:Z,Data!A:A,'#ligaSYR'!B3)&lt;5,0,IF(SUMIFS(Data!Z:Z,Data!A:A,'#ligaSYR'!B3)&gt;14,10,SUMIFS(Data!Z:Z,Data!A:A,'#ligaSYR'!B3)-4))</f>
        <v>6</v>
      </c>
      <c r="S3" s="37">
        <f t="shared" ref="S3:S36" si="0">SUM(C3:R3)</f>
        <v>73.115928571428583</v>
      </c>
      <c r="T3" s="37">
        <f>SUMIFS(Data!D:D,Data!A:A,'#ligaSYR'!B3)</f>
        <v>468.2700000000001</v>
      </c>
      <c r="U3" s="38" t="str">
        <f>IF(VLOOKUP(B3,Participanti!A:D,4,0)=0," ","New")</f>
        <v xml:space="preserve"> </v>
      </c>
      <c r="V3" s="89">
        <f t="shared" ref="V3:V36" si="1">MEDIAN(C3:Q3)</f>
        <v>5.0676666666666659</v>
      </c>
    </row>
    <row r="4" spans="1:22" ht="13.8" x14ac:dyDescent="0.3">
      <c r="A4" s="103">
        <v>3</v>
      </c>
      <c r="B4" s="36" t="s">
        <v>50</v>
      </c>
      <c r="C4" s="37">
        <f>IF(SUMIFS(Data!$U:$U,Data!$A:$A,$B4,Data!$C:$C,C$1)=0,"",SUMIFS(Data!$U:$U,Data!$A:$A,$B4,Data!$C:$C,C$1))</f>
        <v>6.0256666666666661</v>
      </c>
      <c r="D4" s="37">
        <f>IF(SUMIFS(Data!$U:$U,Data!$A:$A,$B4,Data!$C:$C,D$1)=0,"",SUMIFS(Data!$U:$U,Data!$A:$A,$B4,Data!$C:$C,D$1))</f>
        <v>3.6545714285714288</v>
      </c>
      <c r="E4" s="37">
        <f>IF(SUMIFS(Data!$U:$U,Data!$A:$A,$B4,Data!$C:$C,E$1)=0,"",SUMIFS(Data!$U:$U,Data!$A:$A,$B4,Data!$C:$C,E$1))</f>
        <v>4.7216666666666667</v>
      </c>
      <c r="F4" s="37">
        <f>IF(SUMIFS(Data!$U:$U,Data!$A:$A,$B4,Data!$C:$C,F$1)=0,"",SUMIFS(Data!$U:$U,Data!$A:$A,$B4,Data!$C:$C,F$1))</f>
        <v>5.9558333333333335</v>
      </c>
      <c r="G4" s="37">
        <f>IF(SUMIFS(Data!$U:$U,Data!$A:$A,$B4,Data!$C:$C,G$1)=0,"",SUMIFS(Data!$U:$U,Data!$A:$A,$B4,Data!$C:$C,G$1))</f>
        <v>5.2173333333333334</v>
      </c>
      <c r="H4" s="37">
        <f>IF(SUMIFS(Data!$U:$U,Data!$A:$A,$B4,Data!$C:$C,H$1)=0,"",SUMIFS(Data!$U:$U,Data!$A:$A,$B4,Data!$C:$C,H$1))</f>
        <v>3.9834999999999998</v>
      </c>
      <c r="I4" s="37">
        <f>IF(SUMIFS(Data!$U:$U,Data!$A:$A,$B4,Data!$C:$C,I$1)=0,"",SUMIFS(Data!$U:$U,Data!$A:$A,$B4,Data!$C:$C,I$1))</f>
        <v>5.8979999999999997</v>
      </c>
      <c r="J4" s="37">
        <f>IF(SUMIFS(Data!$U:$U,Data!$A:$A,$B4,Data!$C:$C,J$1)=0,"",SUMIFS(Data!$U:$U,Data!$A:$A,$B4,Data!$C:$C,J$1))</f>
        <v>3.9982142857142855</v>
      </c>
      <c r="K4" s="37">
        <f>IF(SUMIFS(Data!$U:$U,Data!$A:$A,$B4,Data!$C:$C,K$1)=0,"",SUMIFS(Data!$U:$U,Data!$A:$A,$B4,Data!$C:$C,K$1))</f>
        <v>3.8048809523809521</v>
      </c>
      <c r="L4" s="37">
        <f>IF(SUMIFS(Data!$U:$U,Data!$A:$A,$B4,Data!$C:$C,L$1)=0,"",SUMIFS(Data!$U:$U,Data!$A:$A,$B4,Data!$C:$C,L$1))</f>
        <v>6.4074999999999998</v>
      </c>
      <c r="M4" s="37">
        <f>IF(SUMIFS(Data!$U:$U,Data!$A:$A,$B4,Data!$C:$C,M$1)=0,"",SUMIFS(Data!$U:$U,Data!$A:$A,$B4,Data!$C:$C,M$1))</f>
        <v>5.3426666666666662</v>
      </c>
      <c r="N4" s="37">
        <f>IF(SUMIFS(Data!$U:$U,Data!$A:$A,$B4,Data!$C:$C,N$1)=0,"",SUMIFS(Data!$U:$U,Data!$A:$A,$B4,Data!$C:$C,N$1))</f>
        <v>3.6316428571428574</v>
      </c>
      <c r="O4" s="37">
        <f>IF(SUMIFS(Data!$U:$U,Data!$A:$A,$B4,Data!$C:$C,O$1)=0,"",SUMIFS(Data!$U:$U,Data!$A:$A,$B4,Data!$C:$C,O$1))</f>
        <v>3.8851190476190474</v>
      </c>
      <c r="P4" s="37">
        <f>IF(SUMIFS(Data!$U:$U,Data!$A:$A,$B4,Data!$C:$C,P$1)=0,"",SUMIFS(Data!$U:$U,Data!$A:$A,$B4,Data!$C:$C,P$1))</f>
        <v>3.8934523809523811</v>
      </c>
      <c r="Q4" s="37">
        <f>IF(SUMIFS(Data!$U:$U,Data!$A:$A,$B4,Data!$C:$C,Q$1)=0,"",SUMIFS(Data!$U:$U,Data!$A:$A,$B4,Data!$C:$C,Q$1))</f>
        <v>3.4267857142857143</v>
      </c>
      <c r="R4" s="37">
        <f>IF(SUMIFS(Data!Z:Z,Data!A:A,'#ligaSYR'!B4)&lt;5,0,IF(SUMIFS(Data!Z:Z,Data!A:A,'#ligaSYR'!B4)&gt;14,10,SUMIFS(Data!Z:Z,Data!A:A,'#ligaSYR'!B4)-4))</f>
        <v>3</v>
      </c>
      <c r="S4" s="37">
        <f t="shared" si="0"/>
        <v>72.846833333333336</v>
      </c>
      <c r="T4" s="37">
        <f>SUMIFS(Data!D:D,Data!A:A,'#ligaSYR'!B4)</f>
        <v>408.70000000000005</v>
      </c>
      <c r="U4" s="38" t="str">
        <f>IF(VLOOKUP(B4,Participanti!A:D,4,0)=0," ","New")</f>
        <v xml:space="preserve"> </v>
      </c>
      <c r="V4" s="89">
        <f t="shared" si="1"/>
        <v>3.9982142857142855</v>
      </c>
    </row>
    <row r="5" spans="1:22" ht="13.8" x14ac:dyDescent="0.3">
      <c r="A5" s="103">
        <v>4</v>
      </c>
      <c r="B5" s="36" t="s">
        <v>117</v>
      </c>
      <c r="C5" s="37">
        <f>IF(SUMIFS(Data!$U:$U,Data!$A:$A,$B5,Data!$C:$C,C$1)=0,"",SUMIFS(Data!$U:$U,Data!$A:$A,$B5,Data!$C:$C,C$1))</f>
        <v>4.1989999999999998</v>
      </c>
      <c r="D5" s="37">
        <f>IF(SUMIFS(Data!$U:$U,Data!$A:$A,$B5,Data!$C:$C,D$1)=0,"",SUMIFS(Data!$U:$U,Data!$A:$A,$B5,Data!$C:$C,D$1))</f>
        <v>4.4219999999999997</v>
      </c>
      <c r="E5" s="37">
        <f>IF(SUMIFS(Data!$U:$U,Data!$A:$A,$B5,Data!$C:$C,E$1)=0,"",SUMIFS(Data!$U:$U,Data!$A:$A,$B5,Data!$C:$C,E$1))</f>
        <v>3.202142857142857</v>
      </c>
      <c r="F5" s="37">
        <f>IF(SUMIFS(Data!$U:$U,Data!$A:$A,$B5,Data!$C:$C,F$1)=0,"",SUMIFS(Data!$U:$U,Data!$A:$A,$B5,Data!$C:$C,F$1))</f>
        <v>3.5059523809523809</v>
      </c>
      <c r="G5" s="37">
        <f>IF(SUMIFS(Data!$U:$U,Data!$A:$A,$B5,Data!$C:$C,G$1)=0,"",SUMIFS(Data!$U:$U,Data!$A:$A,$B5,Data!$C:$C,G$1))</f>
        <v>3.9136666666666668</v>
      </c>
      <c r="H5" s="37">
        <f>IF(SUMIFS(Data!$U:$U,Data!$A:$A,$B5,Data!$C:$C,H$1)=0,"",SUMIFS(Data!$U:$U,Data!$A:$A,$B5,Data!$C:$C,H$1))</f>
        <v>4.5393333333333334</v>
      </c>
      <c r="I5" s="37">
        <f>IF(SUMIFS(Data!$U:$U,Data!$A:$A,$B5,Data!$C:$C,I$1)=0,"",SUMIFS(Data!$U:$U,Data!$A:$A,$B5,Data!$C:$C,I$1))</f>
        <v>3.2662142857142857</v>
      </c>
      <c r="J5" s="37">
        <f>IF(SUMIFS(Data!$U:$U,Data!$A:$A,$B5,Data!$C:$C,J$1)=0,"",SUMIFS(Data!$U:$U,Data!$A:$A,$B5,Data!$C:$C,J$1))</f>
        <v>3.75</v>
      </c>
      <c r="K5" s="37">
        <f>IF(SUMIFS(Data!$U:$U,Data!$A:$A,$B5,Data!$C:$C,K$1)=0,"",SUMIFS(Data!$U:$U,Data!$A:$A,$B5,Data!$C:$C,K$1))</f>
        <v>3.1072619047619048</v>
      </c>
      <c r="L5" s="37">
        <f>IF(SUMIFS(Data!$U:$U,Data!$A:$A,$B5,Data!$C:$C,L$1)=0,"",SUMIFS(Data!$U:$U,Data!$A:$A,$B5,Data!$C:$C,L$1))</f>
        <v>3.625</v>
      </c>
      <c r="M5" s="37">
        <f>IF(SUMIFS(Data!$U:$U,Data!$A:$A,$B5,Data!$C:$C,M$1)=0,"",SUMIFS(Data!$U:$U,Data!$A:$A,$B5,Data!$C:$C,M$1))</f>
        <v>4.375</v>
      </c>
      <c r="N5" s="37">
        <f>IF(SUMIFS(Data!$U:$U,Data!$A:$A,$B5,Data!$C:$C,N$1)=0,"",SUMIFS(Data!$U:$U,Data!$A:$A,$B5,Data!$C:$C,N$1))</f>
        <v>1.9368809523809523</v>
      </c>
      <c r="O5" s="37">
        <f>IF(SUMIFS(Data!$U:$U,Data!$A:$A,$B5,Data!$C:$C,O$1)=0,"",SUMIFS(Data!$U:$U,Data!$A:$A,$B5,Data!$C:$C,O$1))</f>
        <v>5.13</v>
      </c>
      <c r="P5" s="37">
        <f>IF(SUMIFS(Data!$U:$U,Data!$A:$A,$B5,Data!$C:$C,P$1)=0,"",SUMIFS(Data!$U:$U,Data!$A:$A,$B5,Data!$C:$C,P$1))</f>
        <v>7.8544999999999998</v>
      </c>
      <c r="Q5" s="37">
        <f>IF(SUMIFS(Data!$U:$U,Data!$A:$A,$B5,Data!$C:$C,Q$1)=0,"",SUMIFS(Data!$U:$U,Data!$A:$A,$B5,Data!$C:$C,Q$1))</f>
        <v>2.9285714285714284</v>
      </c>
      <c r="R5" s="37">
        <f>IF(SUMIFS(Data!Z:Z,Data!A:A,'#ligaSYR'!B5)&lt;5,0,IF(SUMIFS(Data!Z:Z,Data!A:A,'#ligaSYR'!B5)&gt;14,10,SUMIFS(Data!Z:Z,Data!A:A,'#ligaSYR'!B5)-4))</f>
        <v>9</v>
      </c>
      <c r="S5" s="37">
        <f t="shared" si="0"/>
        <v>68.755523809523822</v>
      </c>
      <c r="T5" s="37">
        <f>SUMIFS(Data!D:D,Data!A:A,'#ligaSYR'!B5)</f>
        <v>428.02000000000004</v>
      </c>
      <c r="U5" s="38" t="str">
        <f>IF(VLOOKUP(B5,Participanti!A:D,4,0)=0," ","New")</f>
        <v xml:space="preserve"> </v>
      </c>
      <c r="V5" s="89">
        <f t="shared" si="1"/>
        <v>3.75</v>
      </c>
    </row>
    <row r="6" spans="1:22" ht="13.8" x14ac:dyDescent="0.3">
      <c r="A6" s="103">
        <v>5</v>
      </c>
      <c r="B6" s="36" t="s">
        <v>141</v>
      </c>
      <c r="C6" s="37">
        <f>IF(SUMIFS(Data!$U:$U,Data!$A:$A,$B6,Data!$C:$C,C$1)=0,"",SUMIFS(Data!$U:$U,Data!$A:$A,$B6,Data!$C:$C,C$1))</f>
        <v>2.7548750000000002</v>
      </c>
      <c r="D6" s="37">
        <f>IF(SUMIFS(Data!$U:$U,Data!$A:$A,$B6,Data!$C:$C,D$1)=0,"",SUMIFS(Data!$U:$U,Data!$A:$A,$B6,Data!$C:$C,D$1))</f>
        <v>4.2009999999999996</v>
      </c>
      <c r="E6" s="37">
        <f>IF(SUMIFS(Data!$U:$U,Data!$A:$A,$B6,Data!$C:$C,E$1)=0,"",SUMIFS(Data!$U:$U,Data!$A:$A,$B6,Data!$C:$C,E$1))</f>
        <v>2.3807916666666666</v>
      </c>
      <c r="F6" s="37">
        <f>IF(SUMIFS(Data!$U:$U,Data!$A:$A,$B6,Data!$C:$C,F$1)=0,"",SUMIFS(Data!$U:$U,Data!$A:$A,$B6,Data!$C:$C,F$1))</f>
        <v>3.7485833333333334</v>
      </c>
      <c r="G6" s="37">
        <f>IF(SUMIFS(Data!$U:$U,Data!$A:$A,$B6,Data!$C:$C,G$1)=0,"",SUMIFS(Data!$U:$U,Data!$A:$A,$B6,Data!$C:$C,G$1))</f>
        <v>4.8193333333333337</v>
      </c>
      <c r="H6" s="37">
        <f>IF(SUMIFS(Data!$U:$U,Data!$A:$A,$B6,Data!$C:$C,H$1)=0,"",SUMIFS(Data!$U:$U,Data!$A:$A,$B6,Data!$C:$C,H$1))</f>
        <v>4.1375000000000002</v>
      </c>
      <c r="I6" s="37">
        <f>IF(SUMIFS(Data!$U:$U,Data!$A:$A,$B6,Data!$C:$C,I$1)=0,"",SUMIFS(Data!$U:$U,Data!$A:$A,$B6,Data!$C:$C,I$1))</f>
        <v>3.9939999999999998</v>
      </c>
      <c r="J6" s="37">
        <f>IF(SUMIFS(Data!$U:$U,Data!$A:$A,$B6,Data!$C:$C,J$1)=0,"",SUMIFS(Data!$U:$U,Data!$A:$A,$B6,Data!$C:$C,J$1))</f>
        <v>3.7573333333333334</v>
      </c>
      <c r="K6" s="37">
        <f>IF(SUMIFS(Data!$U:$U,Data!$A:$A,$B6,Data!$C:$C,K$1)=0,"",SUMIFS(Data!$U:$U,Data!$A:$A,$B6,Data!$C:$C,K$1))</f>
        <v>3.9006249999999998</v>
      </c>
      <c r="L6" s="37">
        <f>IF(SUMIFS(Data!$U:$U,Data!$A:$A,$B6,Data!$C:$C,L$1)=0,"",SUMIFS(Data!$U:$U,Data!$A:$A,$B6,Data!$C:$C,L$1))</f>
        <v>5.1568749999999994</v>
      </c>
      <c r="M6" s="37">
        <f>IF(SUMIFS(Data!$U:$U,Data!$A:$A,$B6,Data!$C:$C,M$1)=0,"",SUMIFS(Data!$U:$U,Data!$A:$A,$B6,Data!$C:$C,M$1))</f>
        <v>3.3125</v>
      </c>
      <c r="N6" s="37">
        <f>IF(SUMIFS(Data!$U:$U,Data!$A:$A,$B6,Data!$C:$C,N$1)=0,"",SUMIFS(Data!$U:$U,Data!$A:$A,$B6,Data!$C:$C,N$1))</f>
        <v>3.5</v>
      </c>
      <c r="O6" s="37">
        <f>IF(SUMIFS(Data!$U:$U,Data!$A:$A,$B6,Data!$C:$C,O$1)=0,"",SUMIFS(Data!$U:$U,Data!$A:$A,$B6,Data!$C:$C,O$1))</f>
        <v>4.453333333333334</v>
      </c>
      <c r="P6" s="37">
        <f>IF(SUMIFS(Data!$U:$U,Data!$A:$A,$B6,Data!$C:$C,P$1)=0,"",SUMIFS(Data!$U:$U,Data!$A:$A,$B6,Data!$C:$C,P$1))</f>
        <v>4.1660000000000004</v>
      </c>
      <c r="Q6" s="37">
        <f>IF(SUMIFS(Data!$U:$U,Data!$A:$A,$B6,Data!$C:$C,Q$1)=0,"",SUMIFS(Data!$U:$U,Data!$A:$A,$B6,Data!$C:$C,Q$1))</f>
        <v>3.875</v>
      </c>
      <c r="R6" s="37">
        <f>IF(SUMIFS(Data!Z:Z,Data!A:A,'#ligaSYR'!B6)&lt;5,0,IF(SUMIFS(Data!Z:Z,Data!A:A,'#ligaSYR'!B6)&gt;14,10,SUMIFS(Data!Z:Z,Data!A:A,'#ligaSYR'!B6)-4))</f>
        <v>10</v>
      </c>
      <c r="S6" s="37">
        <f t="shared" si="0"/>
        <v>68.157749999999993</v>
      </c>
      <c r="T6" s="37">
        <f>SUMIFS(Data!D:D,Data!A:A,'#ligaSYR'!B6)</f>
        <v>242.19999999999996</v>
      </c>
      <c r="U6" s="38" t="str">
        <f>IF(VLOOKUP(B6,Participanti!A:D,4,0)=0," ","New")</f>
        <v xml:space="preserve"> </v>
      </c>
      <c r="V6" s="89">
        <f t="shared" si="1"/>
        <v>3.9006249999999998</v>
      </c>
    </row>
    <row r="7" spans="1:22" ht="13.8" x14ac:dyDescent="0.3">
      <c r="A7" s="103">
        <v>6</v>
      </c>
      <c r="B7" s="36" t="s">
        <v>254</v>
      </c>
      <c r="C7" s="37">
        <f>IF(SUMIFS(Data!$U:$U,Data!$A:$A,$B7,Data!$C:$C,C$1)=0,"",SUMIFS(Data!$U:$U,Data!$A:$A,$B7,Data!$C:$C,C$1))</f>
        <v>3.9436666666666667</v>
      </c>
      <c r="D7" s="37">
        <f>IF(SUMIFS(Data!$U:$U,Data!$A:$A,$B7,Data!$C:$C,D$1)=0,"",SUMIFS(Data!$U:$U,Data!$A:$A,$B7,Data!$C:$C,D$1))</f>
        <v>3.4312380952380952</v>
      </c>
      <c r="E7" s="37">
        <f>IF(SUMIFS(Data!$U:$U,Data!$A:$A,$B7,Data!$C:$C,E$1)=0,"",SUMIFS(Data!$U:$U,Data!$A:$A,$B7,Data!$C:$C,E$1))</f>
        <v>2.9833333333333334</v>
      </c>
      <c r="F7" s="37">
        <f>IF(SUMIFS(Data!$U:$U,Data!$A:$A,$B7,Data!$C:$C,F$1)=0,"",SUMIFS(Data!$U:$U,Data!$A:$A,$B7,Data!$C:$C,F$1))</f>
        <v>4.3886666666666665</v>
      </c>
      <c r="G7" s="37">
        <f>IF(SUMIFS(Data!$U:$U,Data!$A:$A,$B7,Data!$C:$C,G$1)=0,"",SUMIFS(Data!$U:$U,Data!$A:$A,$B7,Data!$C:$C,G$1))</f>
        <v>4.4156428571428572</v>
      </c>
      <c r="H7" s="37">
        <f>IF(SUMIFS(Data!$U:$U,Data!$A:$A,$B7,Data!$C:$C,H$1)=0,"",SUMIFS(Data!$U:$U,Data!$A:$A,$B7,Data!$C:$C,H$1))</f>
        <v>2.9238571428571429</v>
      </c>
      <c r="I7" s="37">
        <f>IF(SUMIFS(Data!$U:$U,Data!$A:$A,$B7,Data!$C:$C,I$1)=0,"",SUMIFS(Data!$U:$U,Data!$A:$A,$B7,Data!$C:$C,I$1))</f>
        <v>4.0371666666666668</v>
      </c>
      <c r="J7" s="37">
        <f>IF(SUMIFS(Data!$U:$U,Data!$A:$A,$B7,Data!$C:$C,J$1)=0,"",SUMIFS(Data!$U:$U,Data!$A:$A,$B7,Data!$C:$C,J$1))</f>
        <v>3.4133809523809524</v>
      </c>
      <c r="K7" s="37">
        <f>IF(SUMIFS(Data!$U:$U,Data!$A:$A,$B7,Data!$C:$C,K$1)=0,"",SUMIFS(Data!$U:$U,Data!$A:$A,$B7,Data!$C:$C,K$1))</f>
        <v>3.9220000000000002</v>
      </c>
      <c r="L7" s="37">
        <f>IF(SUMIFS(Data!$U:$U,Data!$A:$A,$B7,Data!$C:$C,L$1)=0,"",SUMIFS(Data!$U:$U,Data!$A:$A,$B7,Data!$C:$C,L$1))</f>
        <v>3.4529999999999998</v>
      </c>
      <c r="M7" s="37">
        <f>IF(SUMIFS(Data!$U:$U,Data!$A:$A,$B7,Data!$C:$C,M$1)=0,"",SUMIFS(Data!$U:$U,Data!$A:$A,$B7,Data!$C:$C,M$1))</f>
        <v>4.1966666666666663</v>
      </c>
      <c r="N7" s="37">
        <f>IF(SUMIFS(Data!$U:$U,Data!$A:$A,$B7,Data!$C:$C,N$1)=0,"",SUMIFS(Data!$U:$U,Data!$A:$A,$B7,Data!$C:$C,N$1))</f>
        <v>3.4249999999999998</v>
      </c>
      <c r="O7" s="37">
        <f>IF(SUMIFS(Data!$U:$U,Data!$A:$A,$B7,Data!$C:$C,O$1)=0,"",SUMIFS(Data!$U:$U,Data!$A:$A,$B7,Data!$C:$C,O$1))</f>
        <v>4.3546666666666667</v>
      </c>
      <c r="P7" s="37">
        <f>IF(SUMIFS(Data!$U:$U,Data!$A:$A,$B7,Data!$C:$C,P$1)=0,"",SUMIFS(Data!$U:$U,Data!$A:$A,$B7,Data!$C:$C,P$1))</f>
        <v>3.2220238095238094</v>
      </c>
      <c r="Q7" s="37">
        <f>IF(SUMIFS(Data!$U:$U,Data!$A:$A,$B7,Data!$C:$C,Q$1)=0,"",SUMIFS(Data!$U:$U,Data!$A:$A,$B7,Data!$C:$C,Q$1))</f>
        <v>4.9213333333333331</v>
      </c>
      <c r="R7" s="37">
        <f>IF(SUMIFS(Data!Z:Z,Data!A:A,'#ligaSYR'!B7)&lt;5,0,IF(SUMIFS(Data!Z:Z,Data!A:A,'#ligaSYR'!B7)&gt;14,10,SUMIFS(Data!Z:Z,Data!A:A,'#ligaSYR'!B7)-4))</f>
        <v>9</v>
      </c>
      <c r="S7" s="37">
        <f t="shared" si="0"/>
        <v>66.031642857142856</v>
      </c>
      <c r="T7" s="37">
        <f>SUMIFS(Data!D:D,Data!A:A,'#ligaSYR'!B7)</f>
        <v>307.17999999999995</v>
      </c>
      <c r="U7" s="38" t="str">
        <f>IF(VLOOKUP(B7,Participanti!A:D,4,0)=0," ","New")</f>
        <v>New</v>
      </c>
      <c r="V7" s="89">
        <f t="shared" si="1"/>
        <v>3.9220000000000002</v>
      </c>
    </row>
    <row r="8" spans="1:22" ht="13.8" x14ac:dyDescent="0.3">
      <c r="A8" s="103">
        <v>7</v>
      </c>
      <c r="B8" s="36" t="s">
        <v>64</v>
      </c>
      <c r="C8" s="37">
        <f>IF(SUMIFS(Data!$U:$U,Data!$A:$A,$B8,Data!$C:$C,C$1)=0,"",SUMIFS(Data!$U:$U,Data!$A:$A,$B8,Data!$C:$C,C$1))</f>
        <v>5.9260000000000002</v>
      </c>
      <c r="D8" s="37">
        <f>IF(SUMIFS(Data!$U:$U,Data!$A:$A,$B8,Data!$C:$C,D$1)=0,"",SUMIFS(Data!$U:$U,Data!$A:$A,$B8,Data!$C:$C,D$1))</f>
        <v>2.7755952380952382</v>
      </c>
      <c r="E8" s="37">
        <f>IF(SUMIFS(Data!$U:$U,Data!$A:$A,$B8,Data!$C:$C,E$1)=0,"",SUMIFS(Data!$U:$U,Data!$A:$A,$B8,Data!$C:$C,E$1))</f>
        <v>4.0659999999999998</v>
      </c>
      <c r="F8" s="37">
        <f>IF(SUMIFS(Data!$U:$U,Data!$A:$A,$B8,Data!$C:$C,F$1)=0,"",SUMIFS(Data!$U:$U,Data!$A:$A,$B8,Data!$C:$C,F$1))</f>
        <v>6.1396666666666668</v>
      </c>
      <c r="G8" s="37">
        <f>IF(SUMIFS(Data!$U:$U,Data!$A:$A,$B8,Data!$C:$C,G$1)=0,"",SUMIFS(Data!$U:$U,Data!$A:$A,$B8,Data!$C:$C,G$1))</f>
        <v>4.3259999999999996</v>
      </c>
      <c r="H8" s="37">
        <f>IF(SUMIFS(Data!$U:$U,Data!$A:$A,$B8,Data!$C:$C,H$1)=0,"",SUMIFS(Data!$U:$U,Data!$A:$A,$B8,Data!$C:$C,H$1))</f>
        <v>3.0964285714285715</v>
      </c>
      <c r="I8" s="37">
        <f>IF(SUMIFS(Data!$U:$U,Data!$A:$A,$B8,Data!$C:$C,I$1)=0,"",SUMIFS(Data!$U:$U,Data!$A:$A,$B8,Data!$C:$C,I$1))</f>
        <v>5.4033333333333324</v>
      </c>
      <c r="J8" s="37">
        <f>IF(SUMIFS(Data!$U:$U,Data!$A:$A,$B8,Data!$C:$C,J$1)=0,"",SUMIFS(Data!$U:$U,Data!$A:$A,$B8,Data!$C:$C,J$1))</f>
        <v>4.4793333333333338</v>
      </c>
      <c r="K8" s="37">
        <f>IF(SUMIFS(Data!$U:$U,Data!$A:$A,$B8,Data!$C:$C,K$1)=0,"",SUMIFS(Data!$U:$U,Data!$A:$A,$B8,Data!$C:$C,K$1))</f>
        <v>3.7886666666666668</v>
      </c>
      <c r="L8" s="37">
        <f>IF(SUMIFS(Data!$U:$U,Data!$A:$A,$B8,Data!$C:$C,L$1)=0,"",SUMIFS(Data!$U:$U,Data!$A:$A,$B8,Data!$C:$C,L$1))</f>
        <v>2.1047619047619048</v>
      </c>
      <c r="M8" s="37">
        <f>IF(SUMIFS(Data!$U:$U,Data!$A:$A,$B8,Data!$C:$C,M$1)=0,"",SUMIFS(Data!$U:$U,Data!$A:$A,$B8,Data!$C:$C,M$1))</f>
        <v>2.875</v>
      </c>
      <c r="N8" s="37" t="str">
        <f>IF(SUMIFS(Data!$U:$U,Data!$A:$A,$B8,Data!$C:$C,N$1)=0,"",SUMIFS(Data!$U:$U,Data!$A:$A,$B8,Data!$C:$C,N$1))</f>
        <v/>
      </c>
      <c r="O8" s="37" t="str">
        <f>IF(SUMIFS(Data!$U:$U,Data!$A:$A,$B8,Data!$C:$C,O$1)=0,"",SUMIFS(Data!$U:$U,Data!$A:$A,$B8,Data!$C:$C,O$1))</f>
        <v/>
      </c>
      <c r="P8" s="37">
        <f>IF(SUMIFS(Data!$U:$U,Data!$A:$A,$B8,Data!$C:$C,P$1)=0,"",SUMIFS(Data!$U:$U,Data!$A:$A,$B8,Data!$C:$C,P$1))</f>
        <v>8.563833333333335</v>
      </c>
      <c r="Q8" s="37">
        <f>IF(SUMIFS(Data!$U:$U,Data!$A:$A,$B8,Data!$C:$C,Q$1)=0,"",SUMIFS(Data!$U:$U,Data!$A:$A,$B8,Data!$C:$C,Q$1))</f>
        <v>4.6254999999999997</v>
      </c>
      <c r="R8" s="37">
        <f>IF(SUMIFS(Data!Z:Z,Data!A:A,'#ligaSYR'!B8)&lt;5,0,IF(SUMIFS(Data!Z:Z,Data!A:A,'#ligaSYR'!B8)&gt;14,10,SUMIFS(Data!Z:Z,Data!A:A,'#ligaSYR'!B8)-4))</f>
        <v>2</v>
      </c>
      <c r="S8" s="37">
        <f t="shared" si="0"/>
        <v>60.170119047619053</v>
      </c>
      <c r="T8" s="37">
        <f>SUMIFS(Data!D:D,Data!A:A,'#ligaSYR'!B8)</f>
        <v>437.45000000000005</v>
      </c>
      <c r="U8" s="38" t="str">
        <f>IF(VLOOKUP(B8,Participanti!A:D,4,0)=0," ","New")</f>
        <v xml:space="preserve"> </v>
      </c>
      <c r="V8" s="89">
        <f t="shared" si="1"/>
        <v>4.3259999999999996</v>
      </c>
    </row>
    <row r="9" spans="1:22" ht="13.8" x14ac:dyDescent="0.3">
      <c r="A9" s="103">
        <v>8</v>
      </c>
      <c r="B9" s="36" t="s">
        <v>216</v>
      </c>
      <c r="C9" s="37">
        <f>IF(SUMIFS(Data!$U:$U,Data!$A:$A,$B9,Data!$C:$C,C$1)=0,"",SUMIFS(Data!$U:$U,Data!$A:$A,$B9,Data!$C:$C,C$1))</f>
        <v>2.2267857142857141</v>
      </c>
      <c r="D9" s="37">
        <f>IF(SUMIFS(Data!$U:$U,Data!$A:$A,$B9,Data!$C:$C,D$1)=0,"",SUMIFS(Data!$U:$U,Data!$A:$A,$B9,Data!$C:$C,D$1))</f>
        <v>2.6666666666666665</v>
      </c>
      <c r="E9" s="37">
        <f>IF(SUMIFS(Data!$U:$U,Data!$A:$A,$B9,Data!$C:$C,E$1)=0,"",SUMIFS(Data!$U:$U,Data!$A:$A,$B9,Data!$C:$C,E$1))</f>
        <v>3.8593571428571427</v>
      </c>
      <c r="F9" s="37">
        <f>IF(SUMIFS(Data!$U:$U,Data!$A:$A,$B9,Data!$C:$C,F$1)=0,"",SUMIFS(Data!$U:$U,Data!$A:$A,$B9,Data!$C:$C,F$1))</f>
        <v>2.7392857142857143</v>
      </c>
      <c r="G9" s="37">
        <f>IF(SUMIFS(Data!$U:$U,Data!$A:$A,$B9,Data!$C:$C,G$1)=0,"",SUMIFS(Data!$U:$U,Data!$A:$A,$B9,Data!$C:$C,G$1))</f>
        <v>4.3499999999999996</v>
      </c>
      <c r="H9" s="37">
        <f>IF(SUMIFS(Data!$U:$U,Data!$A:$A,$B9,Data!$C:$C,H$1)=0,"",SUMIFS(Data!$U:$U,Data!$A:$A,$B9,Data!$C:$C,H$1))</f>
        <v>3.3339285714285714</v>
      </c>
      <c r="I9" s="37">
        <f>IF(SUMIFS(Data!$U:$U,Data!$A:$A,$B9,Data!$C:$C,I$1)=0,"",SUMIFS(Data!$U:$U,Data!$A:$A,$B9,Data!$C:$C,I$1))</f>
        <v>3.5327380952380953</v>
      </c>
      <c r="J9" s="37">
        <f>IF(SUMIFS(Data!$U:$U,Data!$A:$A,$B9,Data!$C:$C,J$1)=0,"",SUMIFS(Data!$U:$U,Data!$A:$A,$B9,Data!$C:$C,J$1))</f>
        <v>3.2738095238095237</v>
      </c>
      <c r="K9" s="37">
        <f>IF(SUMIFS(Data!$U:$U,Data!$A:$A,$B9,Data!$C:$C,K$1)=0,"",SUMIFS(Data!$U:$U,Data!$A:$A,$B9,Data!$C:$C,K$1))</f>
        <v>2.9255952380952381</v>
      </c>
      <c r="L9" s="37">
        <f>IF(SUMIFS(Data!$U:$U,Data!$A:$A,$B9,Data!$C:$C,L$1)=0,"",SUMIFS(Data!$U:$U,Data!$A:$A,$B9,Data!$C:$C,L$1))</f>
        <v>4.375</v>
      </c>
      <c r="M9" s="37">
        <f>IF(SUMIFS(Data!$U:$U,Data!$A:$A,$B9,Data!$C:$C,M$1)=0,"",SUMIFS(Data!$U:$U,Data!$A:$A,$B9,Data!$C:$C,M$1))</f>
        <v>3.3041666666666667</v>
      </c>
      <c r="N9" s="37">
        <f>IF(SUMIFS(Data!$U:$U,Data!$A:$A,$B9,Data!$C:$C,N$1)=0,"",SUMIFS(Data!$U:$U,Data!$A:$A,$B9,Data!$C:$C,N$1))</f>
        <v>3.9080238095238098</v>
      </c>
      <c r="O9" s="37">
        <f>IF(SUMIFS(Data!$U:$U,Data!$A:$A,$B9,Data!$C:$C,O$1)=0,"",SUMIFS(Data!$U:$U,Data!$A:$A,$B9,Data!$C:$C,O$1))</f>
        <v>1.7749999999999999</v>
      </c>
      <c r="P9" s="37">
        <f>IF(SUMIFS(Data!$U:$U,Data!$A:$A,$B9,Data!$C:$C,P$1)=0,"",SUMIFS(Data!$U:$U,Data!$A:$A,$B9,Data!$C:$C,P$1))</f>
        <v>2.673976190476191</v>
      </c>
      <c r="Q9" s="37">
        <f>IF(SUMIFS(Data!$U:$U,Data!$A:$A,$B9,Data!$C:$C,Q$1)=0,"",SUMIFS(Data!$U:$U,Data!$A:$A,$B9,Data!$C:$C,Q$1))</f>
        <v>3.7113095238095237</v>
      </c>
      <c r="R9" s="37">
        <f>IF(SUMIFS(Data!Z:Z,Data!A:A,'#ligaSYR'!B9)&lt;5,0,IF(SUMIFS(Data!Z:Z,Data!A:A,'#ligaSYR'!B9)&gt;14,10,SUMIFS(Data!Z:Z,Data!A:A,'#ligaSYR'!B9)-4))</f>
        <v>10</v>
      </c>
      <c r="S9" s="37">
        <f t="shared" si="0"/>
        <v>58.655642857142851</v>
      </c>
      <c r="T9" s="37">
        <f>SUMIFS(Data!D:D,Data!A:A,'#ligaSYR'!B9)</f>
        <v>196.5</v>
      </c>
      <c r="U9" s="38" t="str">
        <f>IF(VLOOKUP(B9,Participanti!A:D,4,0)=0," ","New")</f>
        <v xml:space="preserve"> </v>
      </c>
      <c r="V9" s="89">
        <f t="shared" si="1"/>
        <v>3.3041666666666667</v>
      </c>
    </row>
    <row r="10" spans="1:22" ht="13.8" x14ac:dyDescent="0.3">
      <c r="A10" s="103">
        <v>9</v>
      </c>
      <c r="B10" s="36" t="s">
        <v>255</v>
      </c>
      <c r="C10" s="37">
        <f>IF(SUMIFS(Data!$U:$U,Data!$A:$A,$B10,Data!$C:$C,C$1)=0,"",SUMIFS(Data!$U:$U,Data!$A:$A,$B10,Data!$C:$C,C$1))</f>
        <v>3.3289166666666667</v>
      </c>
      <c r="D10" s="37">
        <f>IF(SUMIFS(Data!$U:$U,Data!$A:$A,$B10,Data!$C:$C,D$1)=0,"",SUMIFS(Data!$U:$U,Data!$A:$A,$B10,Data!$C:$C,D$1))</f>
        <v>3.0937916666666667</v>
      </c>
      <c r="E10" s="37">
        <f>IF(SUMIFS(Data!$U:$U,Data!$A:$A,$B10,Data!$C:$C,E$1)=0,"",SUMIFS(Data!$U:$U,Data!$A:$A,$B10,Data!$C:$C,E$1))</f>
        <v>3.9403333333333332</v>
      </c>
      <c r="F10" s="37">
        <f>IF(SUMIFS(Data!$U:$U,Data!$A:$A,$B10,Data!$C:$C,F$1)=0,"",SUMIFS(Data!$U:$U,Data!$A:$A,$B10,Data!$C:$C,F$1))</f>
        <v>2.2506249999999999</v>
      </c>
      <c r="G10" s="37">
        <f>IF(SUMIFS(Data!$U:$U,Data!$A:$A,$B10,Data!$C:$C,G$1)=0,"",SUMIFS(Data!$U:$U,Data!$A:$A,$B10,Data!$C:$C,G$1))</f>
        <v>3.8756250000000003</v>
      </c>
      <c r="H10" s="37">
        <f>IF(SUMIFS(Data!$U:$U,Data!$A:$A,$B10,Data!$C:$C,H$1)=0,"",SUMIFS(Data!$U:$U,Data!$A:$A,$B10,Data!$C:$C,H$1))</f>
        <v>3.5640833333333335</v>
      </c>
      <c r="I10" s="37">
        <f>IF(SUMIFS(Data!$U:$U,Data!$A:$A,$B10,Data!$C:$C,I$1)=0,"",SUMIFS(Data!$U:$U,Data!$A:$A,$B10,Data!$C:$C,I$1))</f>
        <v>2.9222916666666672</v>
      </c>
      <c r="J10" s="37">
        <f>IF(SUMIFS(Data!$U:$U,Data!$A:$A,$B10,Data!$C:$C,J$1)=0,"",SUMIFS(Data!$U:$U,Data!$A:$A,$B10,Data!$C:$C,J$1))</f>
        <v>3.1741249999999996</v>
      </c>
      <c r="K10" s="37">
        <f>IF(SUMIFS(Data!$U:$U,Data!$A:$A,$B10,Data!$C:$C,K$1)=0,"",SUMIFS(Data!$U:$U,Data!$A:$A,$B10,Data!$C:$C,K$1))</f>
        <v>3.2126666666666668</v>
      </c>
      <c r="L10" s="37">
        <f>IF(SUMIFS(Data!$U:$U,Data!$A:$A,$B10,Data!$C:$C,L$1)=0,"",SUMIFS(Data!$U:$U,Data!$A:$A,$B10,Data!$C:$C,L$1))</f>
        <v>3.0006249999999999</v>
      </c>
      <c r="M10" s="37">
        <f>IF(SUMIFS(Data!$U:$U,Data!$A:$A,$B10,Data!$C:$C,M$1)=0,"",SUMIFS(Data!$U:$U,Data!$A:$A,$B10,Data!$C:$C,M$1))</f>
        <v>3.8443333333333332</v>
      </c>
      <c r="N10" s="37">
        <f>IF(SUMIFS(Data!$U:$U,Data!$A:$A,$B10,Data!$C:$C,N$1)=0,"",SUMIFS(Data!$U:$U,Data!$A:$A,$B10,Data!$C:$C,N$1))</f>
        <v>2.4381249999999999</v>
      </c>
      <c r="O10" s="37">
        <f>IF(SUMIFS(Data!$U:$U,Data!$A:$A,$B10,Data!$C:$C,O$1)=0,"",SUMIFS(Data!$U:$U,Data!$A:$A,$B10,Data!$C:$C,O$1))</f>
        <v>3.3695833333333334</v>
      </c>
      <c r="P10" s="37">
        <f>IF(SUMIFS(Data!$U:$U,Data!$A:$A,$B10,Data!$C:$C,P$1)=0,"",SUMIFS(Data!$U:$U,Data!$A:$A,$B10,Data!$C:$C,P$1))</f>
        <v>2.980083333333333</v>
      </c>
      <c r="Q10" s="37">
        <f>IF(SUMIFS(Data!$U:$U,Data!$A:$A,$B10,Data!$C:$C,Q$1)=0,"",SUMIFS(Data!$U:$U,Data!$A:$A,$B10,Data!$C:$C,Q$1))</f>
        <v>3.5012500000000002</v>
      </c>
      <c r="R10" s="37">
        <f>IF(SUMIFS(Data!Z:Z,Data!A:A,'#ligaSYR'!B10)&lt;5,0,IF(SUMIFS(Data!Z:Z,Data!A:A,'#ligaSYR'!B10)&gt;14,10,SUMIFS(Data!Z:Z,Data!A:A,'#ligaSYR'!B10)-4))</f>
        <v>10</v>
      </c>
      <c r="S10" s="37">
        <f t="shared" si="0"/>
        <v>58.496458333333329</v>
      </c>
      <c r="T10" s="37">
        <f>SUMIFS(Data!D:D,Data!A:A,'#ligaSYR'!B10)</f>
        <v>224.82</v>
      </c>
      <c r="U10" s="38" t="str">
        <f>IF(VLOOKUP(B10,Participanti!A:D,4,0)=0," ","New")</f>
        <v>New</v>
      </c>
      <c r="V10" s="89">
        <f t="shared" si="1"/>
        <v>3.2126666666666668</v>
      </c>
    </row>
    <row r="11" spans="1:22" ht="13.8" x14ac:dyDescent="0.3">
      <c r="A11" s="103">
        <v>10</v>
      </c>
      <c r="B11" s="36" t="s">
        <v>52</v>
      </c>
      <c r="C11" s="37">
        <f>IF(SUMIFS(Data!$U:$U,Data!$A:$A,$B11,Data!$C:$C,C$1)=0,"",SUMIFS(Data!$U:$U,Data!$A:$A,$B11,Data!$C:$C,C$1))</f>
        <v>4.8716666666666661</v>
      </c>
      <c r="D11" s="37">
        <f>IF(SUMIFS(Data!$U:$U,Data!$A:$A,$B11,Data!$C:$C,D$1)=0,"",SUMIFS(Data!$U:$U,Data!$A:$A,$B11,Data!$C:$C,D$1))</f>
        <v>4.2539523809523807</v>
      </c>
      <c r="E11" s="37">
        <f>IF(SUMIFS(Data!$U:$U,Data!$A:$A,$B11,Data!$C:$C,E$1)=0,"",SUMIFS(Data!$U:$U,Data!$A:$A,$B11,Data!$C:$C,E$1))</f>
        <v>3.7374999999999998</v>
      </c>
      <c r="F11" s="37">
        <f>IF(SUMIFS(Data!$U:$U,Data!$A:$A,$B11,Data!$C:$C,F$1)=0,"",SUMIFS(Data!$U:$U,Data!$A:$A,$B11,Data!$C:$C,F$1))</f>
        <v>3.8262142857142858</v>
      </c>
      <c r="G11" s="37">
        <f>IF(SUMIFS(Data!$U:$U,Data!$A:$A,$B11,Data!$C:$C,G$1)=0,"",SUMIFS(Data!$U:$U,Data!$A:$A,$B11,Data!$C:$C,G$1))</f>
        <v>3.9559523809523811</v>
      </c>
      <c r="H11" s="37">
        <f>IF(SUMIFS(Data!$U:$U,Data!$A:$A,$B11,Data!$C:$C,H$1)=0,"",SUMIFS(Data!$U:$U,Data!$A:$A,$B11,Data!$C:$C,H$1))</f>
        <v>3.7669285714285712</v>
      </c>
      <c r="I11" s="37">
        <f>IF(SUMIFS(Data!$U:$U,Data!$A:$A,$B11,Data!$C:$C,I$1)=0,"",SUMIFS(Data!$U:$U,Data!$A:$A,$B11,Data!$C:$C,I$1))</f>
        <v>5.1290000000000004</v>
      </c>
      <c r="J11" s="37">
        <f>IF(SUMIFS(Data!$U:$U,Data!$A:$A,$B11,Data!$C:$C,J$1)=0,"",SUMIFS(Data!$U:$U,Data!$A:$A,$B11,Data!$C:$C,J$1))</f>
        <v>5.0946666666666669</v>
      </c>
      <c r="K11" s="37">
        <f>IF(SUMIFS(Data!$U:$U,Data!$A:$A,$B11,Data!$C:$C,K$1)=0,"",SUMIFS(Data!$U:$U,Data!$A:$A,$B11,Data!$C:$C,K$1))</f>
        <v>4.7726666666666668</v>
      </c>
      <c r="L11" s="37">
        <f>IF(SUMIFS(Data!$U:$U,Data!$A:$A,$B11,Data!$C:$C,L$1)=0,"",SUMIFS(Data!$U:$U,Data!$A:$A,$B11,Data!$C:$C,L$1))</f>
        <v>3.399404761904762</v>
      </c>
      <c r="M11" s="37">
        <f>IF(SUMIFS(Data!$U:$U,Data!$A:$A,$B11,Data!$C:$C,M$1)=0,"",SUMIFS(Data!$U:$U,Data!$A:$A,$B11,Data!$C:$C,M$1))</f>
        <v>3.5235714285714286</v>
      </c>
      <c r="N11" s="37">
        <f>IF(SUMIFS(Data!$U:$U,Data!$A:$A,$B11,Data!$C:$C,N$1)=0,"",SUMIFS(Data!$U:$U,Data!$A:$A,$B11,Data!$C:$C,N$1))</f>
        <v>1.5</v>
      </c>
      <c r="O11" s="37" t="str">
        <f>IF(SUMIFS(Data!$U:$U,Data!$A:$A,$B11,Data!$C:$C,O$1)=0,"",SUMIFS(Data!$U:$U,Data!$A:$A,$B11,Data!$C:$C,O$1))</f>
        <v/>
      </c>
      <c r="P11" s="37" t="str">
        <f>IF(SUMIFS(Data!$U:$U,Data!$A:$A,$B11,Data!$C:$C,P$1)=0,"",SUMIFS(Data!$U:$U,Data!$A:$A,$B11,Data!$C:$C,P$1))</f>
        <v/>
      </c>
      <c r="Q11" s="37" t="str">
        <f>IF(SUMIFS(Data!$U:$U,Data!$A:$A,$B11,Data!$C:$C,Q$1)=0,"",SUMIFS(Data!$U:$U,Data!$A:$A,$B11,Data!$C:$C,Q$1))</f>
        <v/>
      </c>
      <c r="R11" s="37">
        <f>IF(SUMIFS(Data!Z:Z,Data!A:A,'#ligaSYR'!B11)&lt;5,0,IF(SUMIFS(Data!Z:Z,Data!A:A,'#ligaSYR'!B11)&gt;14,10,SUMIFS(Data!Z:Z,Data!A:A,'#ligaSYR'!B11)-4))</f>
        <v>6</v>
      </c>
      <c r="S11" s="37">
        <f t="shared" si="0"/>
        <v>53.831523809523816</v>
      </c>
      <c r="T11" s="37">
        <f>SUMIFS(Data!D:D,Data!A:A,'#ligaSYR'!B11)</f>
        <v>236.47</v>
      </c>
      <c r="U11" s="38" t="str">
        <f>IF(VLOOKUP(B11,Participanti!A:D,4,0)=0," ","New")</f>
        <v xml:space="preserve"> </v>
      </c>
      <c r="V11" s="89">
        <f t="shared" si="1"/>
        <v>3.8910833333333334</v>
      </c>
    </row>
    <row r="12" spans="1:22" ht="13.8" x14ac:dyDescent="0.3">
      <c r="A12" s="103">
        <v>11</v>
      </c>
      <c r="B12" s="36" t="s">
        <v>215</v>
      </c>
      <c r="C12" s="37">
        <f>IF(SUMIFS(Data!$U:$U,Data!$A:$A,$B12,Data!$C:$C,C$1)=0,"",SUMIFS(Data!$U:$U,Data!$A:$A,$B12,Data!$C:$C,C$1))</f>
        <v>2.7472142857142861</v>
      </c>
      <c r="D12" s="37">
        <f>IF(SUMIFS(Data!$U:$U,Data!$A:$A,$B12,Data!$C:$C,D$1)=0,"",SUMIFS(Data!$U:$U,Data!$A:$A,$B12,Data!$C:$C,D$1))</f>
        <v>2.5445952380952379</v>
      </c>
      <c r="E12" s="37">
        <f>IF(SUMIFS(Data!$U:$U,Data!$A:$A,$B12,Data!$C:$C,E$1)=0,"",SUMIFS(Data!$U:$U,Data!$A:$A,$B12,Data!$C:$C,E$1))</f>
        <v>2.9078571428571429</v>
      </c>
      <c r="F12" s="37">
        <f>IF(SUMIFS(Data!$U:$U,Data!$A:$A,$B12,Data!$C:$C,F$1)=0,"",SUMIFS(Data!$U:$U,Data!$A:$A,$B12,Data!$C:$C,F$1))</f>
        <v>2.8356666666666666</v>
      </c>
      <c r="G12" s="37">
        <f>IF(SUMIFS(Data!$U:$U,Data!$A:$A,$B12,Data!$C:$C,G$1)=0,"",SUMIFS(Data!$U:$U,Data!$A:$A,$B12,Data!$C:$C,G$1))</f>
        <v>3.393642857142857</v>
      </c>
      <c r="H12" s="37" t="str">
        <f>IF(SUMIFS(Data!$U:$U,Data!$A:$A,$B12,Data!$C:$C,H$1)=0,"",SUMIFS(Data!$U:$U,Data!$A:$A,$B12,Data!$C:$C,H$1))</f>
        <v/>
      </c>
      <c r="I12" s="37">
        <f>IF(SUMIFS(Data!$U:$U,Data!$A:$A,$B12,Data!$C:$C,I$1)=0,"",SUMIFS(Data!$U:$U,Data!$A:$A,$B12,Data!$C:$C,I$1))</f>
        <v>2.6665476190476194</v>
      </c>
      <c r="J12" s="37">
        <f>IF(SUMIFS(Data!$U:$U,Data!$A:$A,$B12,Data!$C:$C,J$1)=0,"",SUMIFS(Data!$U:$U,Data!$A:$A,$B12,Data!$C:$C,J$1))</f>
        <v>4.2486666666666668</v>
      </c>
      <c r="K12" s="37">
        <f>IF(SUMIFS(Data!$U:$U,Data!$A:$A,$B12,Data!$C:$C,K$1)=0,"",SUMIFS(Data!$U:$U,Data!$A:$A,$B12,Data!$C:$C,K$1))</f>
        <v>3.2214285714285715</v>
      </c>
      <c r="L12" s="37" t="str">
        <f>IF(SUMIFS(Data!$U:$U,Data!$A:$A,$B12,Data!$C:$C,L$1)=0,"",SUMIFS(Data!$U:$U,Data!$A:$A,$B12,Data!$C:$C,L$1))</f>
        <v/>
      </c>
      <c r="M12" s="37">
        <f>IF(SUMIFS(Data!$U:$U,Data!$A:$A,$B12,Data!$C:$C,M$1)=0,"",SUMIFS(Data!$U:$U,Data!$A:$A,$B12,Data!$C:$C,M$1))</f>
        <v>2.6482142857142859</v>
      </c>
      <c r="N12" s="37">
        <f>IF(SUMIFS(Data!$U:$U,Data!$A:$A,$B12,Data!$C:$C,N$1)=0,"",SUMIFS(Data!$U:$U,Data!$A:$A,$B12,Data!$C:$C,N$1))</f>
        <v>3.4443333333333332</v>
      </c>
      <c r="O12" s="37">
        <f>IF(SUMIFS(Data!$U:$U,Data!$A:$A,$B12,Data!$C:$C,O$1)=0,"",SUMIFS(Data!$U:$U,Data!$A:$A,$B12,Data!$C:$C,O$1))</f>
        <v>4.073666666666667</v>
      </c>
      <c r="P12" s="37">
        <f>IF(SUMIFS(Data!$U:$U,Data!$A:$A,$B12,Data!$C:$C,P$1)=0,"",SUMIFS(Data!$U:$U,Data!$A:$A,$B12,Data!$C:$C,P$1))</f>
        <v>3.7726666666666664</v>
      </c>
      <c r="Q12" s="37">
        <f>IF(SUMIFS(Data!$U:$U,Data!$A:$A,$B12,Data!$C:$C,Q$1)=0,"",SUMIFS(Data!$U:$U,Data!$A:$A,$B12,Data!$C:$C,Q$1))</f>
        <v>2.79152380952381</v>
      </c>
      <c r="R12" s="37">
        <f>IF(SUMIFS(Data!Z:Z,Data!A:A,'#ligaSYR'!B12)&lt;5,0,IF(SUMIFS(Data!Z:Z,Data!A:A,'#ligaSYR'!B12)&gt;14,10,SUMIFS(Data!Z:Z,Data!A:A,'#ligaSYR'!B12)-4))</f>
        <v>9</v>
      </c>
      <c r="S12" s="37">
        <f t="shared" si="0"/>
        <v>50.29602380952381</v>
      </c>
      <c r="T12" s="37">
        <f>SUMIFS(Data!D:D,Data!A:A,'#ligaSYR'!B12)</f>
        <v>227.7</v>
      </c>
      <c r="U12" s="38" t="str">
        <f>IF(VLOOKUP(B12,Participanti!A:D,4,0)=0," ","New")</f>
        <v xml:space="preserve"> </v>
      </c>
      <c r="V12" s="89">
        <f t="shared" si="1"/>
        <v>2.9078571428571429</v>
      </c>
    </row>
    <row r="13" spans="1:22" ht="13.8" x14ac:dyDescent="0.3">
      <c r="A13" s="103">
        <v>12</v>
      </c>
      <c r="B13" s="36" t="s">
        <v>143</v>
      </c>
      <c r="C13" s="37">
        <f>IF(SUMIFS(Data!$U:$U,Data!$A:$A,$B13,Data!$C:$C,C$1)=0,"",SUMIFS(Data!$U:$U,Data!$A:$A,$B13,Data!$C:$C,C$1))</f>
        <v>1.7214285714285715</v>
      </c>
      <c r="D13" s="37">
        <f>IF(SUMIFS(Data!$U:$U,Data!$A:$A,$B13,Data!$C:$C,D$1)=0,"",SUMIFS(Data!$U:$U,Data!$A:$A,$B13,Data!$C:$C,D$1))</f>
        <v>2.5773809523809526</v>
      </c>
      <c r="E13" s="37">
        <f>IF(SUMIFS(Data!$U:$U,Data!$A:$A,$B13,Data!$C:$C,E$1)=0,"",SUMIFS(Data!$U:$U,Data!$A:$A,$B13,Data!$C:$C,E$1))</f>
        <v>3.311666666666667</v>
      </c>
      <c r="F13" s="37">
        <f>IF(SUMIFS(Data!$U:$U,Data!$A:$A,$B13,Data!$C:$C,F$1)=0,"",SUMIFS(Data!$U:$U,Data!$A:$A,$B13,Data!$C:$C,F$1))</f>
        <v>4.3753333333333337</v>
      </c>
      <c r="G13" s="37">
        <f>IF(SUMIFS(Data!$U:$U,Data!$A:$A,$B13,Data!$C:$C,G$1)=0,"",SUMIFS(Data!$U:$U,Data!$A:$A,$B13,Data!$C:$C,G$1))</f>
        <v>1.6583333333333332</v>
      </c>
      <c r="H13" s="37">
        <f>IF(SUMIFS(Data!$U:$U,Data!$A:$A,$B13,Data!$C:$C,H$1)=0,"",SUMIFS(Data!$U:$U,Data!$A:$A,$B13,Data!$C:$C,H$1))</f>
        <v>2.0926666666666667</v>
      </c>
      <c r="I13" s="37">
        <f>IF(SUMIFS(Data!$U:$U,Data!$A:$A,$B13,Data!$C:$C,I$1)=0,"",SUMIFS(Data!$U:$U,Data!$A:$A,$B13,Data!$C:$C,I$1))</f>
        <v>2.0577380952380953</v>
      </c>
      <c r="J13" s="37">
        <f>IF(SUMIFS(Data!$U:$U,Data!$A:$A,$B13,Data!$C:$C,J$1)=0,"",SUMIFS(Data!$U:$U,Data!$A:$A,$B13,Data!$C:$C,J$1))</f>
        <v>1.655357142857143</v>
      </c>
      <c r="K13" s="37">
        <f>IF(SUMIFS(Data!$U:$U,Data!$A:$A,$B13,Data!$C:$C,K$1)=0,"",SUMIFS(Data!$U:$U,Data!$A:$A,$B13,Data!$C:$C,K$1))</f>
        <v>2.3017857142857143</v>
      </c>
      <c r="L13" s="37">
        <f>IF(SUMIFS(Data!$U:$U,Data!$A:$A,$B13,Data!$C:$C,L$1)=0,"",SUMIFS(Data!$U:$U,Data!$A:$A,$B13,Data!$C:$C,L$1))</f>
        <v>3.662666666666667</v>
      </c>
      <c r="M13" s="37">
        <f>IF(SUMIFS(Data!$U:$U,Data!$A:$A,$B13,Data!$C:$C,M$1)=0,"",SUMIFS(Data!$U:$U,Data!$A:$A,$B13,Data!$C:$C,M$1))</f>
        <v>2.6212619047619046</v>
      </c>
      <c r="N13" s="37">
        <f>IF(SUMIFS(Data!$U:$U,Data!$A:$A,$B13,Data!$C:$C,N$1)=0,"",SUMIFS(Data!$U:$U,Data!$A:$A,$B13,Data!$C:$C,N$1))</f>
        <v>1.9726190476190475</v>
      </c>
      <c r="O13" s="37">
        <f>IF(SUMIFS(Data!$U:$U,Data!$A:$A,$B13,Data!$C:$C,O$1)=0,"",SUMIFS(Data!$U:$U,Data!$A:$A,$B13,Data!$C:$C,O$1))</f>
        <v>2.9376666666666669</v>
      </c>
      <c r="P13" s="37">
        <f>IF(SUMIFS(Data!$U:$U,Data!$A:$A,$B13,Data!$C:$C,P$1)=0,"",SUMIFS(Data!$U:$U,Data!$A:$A,$B13,Data!$C:$C,P$1))</f>
        <v>3.4303333333333335</v>
      </c>
      <c r="Q13" s="37">
        <f>IF(SUMIFS(Data!$U:$U,Data!$A:$A,$B13,Data!$C:$C,Q$1)=0,"",SUMIFS(Data!$U:$U,Data!$A:$A,$B13,Data!$C:$C,Q$1))</f>
        <v>3.5110000000000001</v>
      </c>
      <c r="R13" s="37">
        <f>IF(SUMIFS(Data!Z:Z,Data!A:A,'#ligaSYR'!B13)&lt;5,0,IF(SUMIFS(Data!Z:Z,Data!A:A,'#ligaSYR'!B13)&gt;14,10,SUMIFS(Data!Z:Z,Data!A:A,'#ligaSYR'!B13)-4))</f>
        <v>10</v>
      </c>
      <c r="S13" s="37">
        <f t="shared" si="0"/>
        <v>49.887238095238096</v>
      </c>
      <c r="T13" s="37">
        <f>SUMIFS(Data!D:D,Data!A:A,'#ligaSYR'!B13)</f>
        <v>272.68999999999994</v>
      </c>
      <c r="U13" s="38" t="str">
        <f>IF(VLOOKUP(B13,Participanti!A:D,4,0)=0," ","New")</f>
        <v xml:space="preserve"> </v>
      </c>
      <c r="V13" s="89">
        <f t="shared" si="1"/>
        <v>2.5773809523809526</v>
      </c>
    </row>
    <row r="14" spans="1:22" ht="13.8" x14ac:dyDescent="0.3">
      <c r="A14" s="103">
        <v>13</v>
      </c>
      <c r="B14" s="36" t="s">
        <v>57</v>
      </c>
      <c r="C14" s="37">
        <f>IF(SUMIFS(Data!$U:$U,Data!$A:$A,$B14,Data!$C:$C,C$1)=0,"",SUMIFS(Data!$U:$U,Data!$A:$A,$B14,Data!$C:$C,C$1))</f>
        <v>2.456</v>
      </c>
      <c r="D14" s="37">
        <f>IF(SUMIFS(Data!$U:$U,Data!$A:$A,$B14,Data!$C:$C,D$1)=0,"",SUMIFS(Data!$U:$U,Data!$A:$A,$B14,Data!$C:$C,D$1))</f>
        <v>2.8638809523809523</v>
      </c>
      <c r="E14" s="37">
        <f>IF(SUMIFS(Data!$U:$U,Data!$A:$A,$B14,Data!$C:$C,E$1)=0,"",SUMIFS(Data!$U:$U,Data!$A:$A,$B14,Data!$C:$C,E$1))</f>
        <v>2.325595238095238</v>
      </c>
      <c r="F14" s="37">
        <f>IF(SUMIFS(Data!$U:$U,Data!$A:$A,$B14,Data!$C:$C,F$1)=0,"",SUMIFS(Data!$U:$U,Data!$A:$A,$B14,Data!$C:$C,F$1))</f>
        <v>2.7308571428571424</v>
      </c>
      <c r="G14" s="37">
        <f>IF(SUMIFS(Data!$U:$U,Data!$A:$A,$B14,Data!$C:$C,G$1)=0,"",SUMIFS(Data!$U:$U,Data!$A:$A,$B14,Data!$C:$C,G$1))</f>
        <v>2.4898809523809522</v>
      </c>
      <c r="H14" s="37">
        <f>IF(SUMIFS(Data!$U:$U,Data!$A:$A,$B14,Data!$C:$C,H$1)=0,"",SUMIFS(Data!$U:$U,Data!$A:$A,$B14,Data!$C:$C,H$1))</f>
        <v>2.940833333333333</v>
      </c>
      <c r="I14" s="37">
        <f>IF(SUMIFS(Data!$U:$U,Data!$A:$A,$B14,Data!$C:$C,I$1)=0,"",SUMIFS(Data!$U:$U,Data!$A:$A,$B14,Data!$C:$C,I$1))</f>
        <v>3.0547619047619046</v>
      </c>
      <c r="J14" s="37">
        <f>IF(SUMIFS(Data!$U:$U,Data!$A:$A,$B14,Data!$C:$C,J$1)=0,"",SUMIFS(Data!$U:$U,Data!$A:$A,$B14,Data!$C:$C,J$1))</f>
        <v>3.3673333333333328</v>
      </c>
      <c r="K14" s="37">
        <f>IF(SUMIFS(Data!$U:$U,Data!$A:$A,$B14,Data!$C:$C,K$1)=0,"",SUMIFS(Data!$U:$U,Data!$A:$A,$B14,Data!$C:$C,K$1))</f>
        <v>3.8363333333333332</v>
      </c>
      <c r="L14" s="37">
        <f>IF(SUMIFS(Data!$U:$U,Data!$A:$A,$B14,Data!$C:$C,L$1)=0,"",SUMIFS(Data!$U:$U,Data!$A:$A,$B14,Data!$C:$C,L$1))</f>
        <v>2.3041666666666667</v>
      </c>
      <c r="M14" s="37">
        <f>IF(SUMIFS(Data!$U:$U,Data!$A:$A,$B14,Data!$C:$C,M$1)=0,"",SUMIFS(Data!$U:$U,Data!$A:$A,$B14,Data!$C:$C,M$1))</f>
        <v>3.0971666666666668</v>
      </c>
      <c r="N14" s="37">
        <f>IF(SUMIFS(Data!$U:$U,Data!$A:$A,$B14,Data!$C:$C,N$1)=0,"",SUMIFS(Data!$U:$U,Data!$A:$A,$B14,Data!$C:$C,N$1))</f>
        <v>3.8171190476190473</v>
      </c>
      <c r="O14" s="37">
        <f>IF(SUMIFS(Data!$U:$U,Data!$A:$A,$B14,Data!$C:$C,O$1)=0,"",SUMIFS(Data!$U:$U,Data!$A:$A,$B14,Data!$C:$C,O$1))</f>
        <v>3.2351190476190474</v>
      </c>
      <c r="P14" s="37">
        <f>IF(SUMIFS(Data!$U:$U,Data!$A:$A,$B14,Data!$C:$C,P$1)=0,"",SUMIFS(Data!$U:$U,Data!$A:$A,$B14,Data!$C:$C,P$1))</f>
        <v>2.6160714285714288</v>
      </c>
      <c r="Q14" s="37">
        <f>IF(SUMIFS(Data!$U:$U,Data!$A:$A,$B14,Data!$C:$C,Q$1)=0,"",SUMIFS(Data!$U:$U,Data!$A:$A,$B14,Data!$C:$C,Q$1))</f>
        <v>3.6316190476190475</v>
      </c>
      <c r="R14" s="37">
        <f>IF(SUMIFS(Data!Z:Z,Data!A:A,'#ligaSYR'!B14)&lt;5,0,IF(SUMIFS(Data!Z:Z,Data!A:A,'#ligaSYR'!B14)&gt;14,10,SUMIFS(Data!Z:Z,Data!A:A,'#ligaSYR'!B14)-4))</f>
        <v>4</v>
      </c>
      <c r="S14" s="37">
        <f t="shared" si="0"/>
        <v>48.76673809523809</v>
      </c>
      <c r="T14" s="37">
        <f>SUMIFS(Data!D:D,Data!A:A,'#ligaSYR'!B14)</f>
        <v>158.71</v>
      </c>
      <c r="U14" s="38" t="str">
        <f>IF(VLOOKUP(B14,Participanti!A:D,4,0)=0," ","New")</f>
        <v xml:space="preserve"> </v>
      </c>
      <c r="V14" s="89">
        <f t="shared" si="1"/>
        <v>2.940833333333333</v>
      </c>
    </row>
    <row r="15" spans="1:22" ht="13.8" x14ac:dyDescent="0.3">
      <c r="A15" s="103">
        <v>14</v>
      </c>
      <c r="B15" s="36" t="s">
        <v>185</v>
      </c>
      <c r="C15" s="37">
        <f>IF(SUMIFS(Data!$U:$U,Data!$A:$A,$B15,Data!$C:$C,C$1)=0,"",SUMIFS(Data!$U:$U,Data!$A:$A,$B15,Data!$C:$C,C$1))</f>
        <v>1.8125</v>
      </c>
      <c r="D15" s="37">
        <f>IF(SUMIFS(Data!$U:$U,Data!$A:$A,$B15,Data!$C:$C,D$1)=0,"",SUMIFS(Data!$U:$U,Data!$A:$A,$B15,Data!$C:$C,D$1))</f>
        <v>2.4449999999999998</v>
      </c>
      <c r="E15" s="37">
        <f>IF(SUMIFS(Data!$U:$U,Data!$A:$A,$B15,Data!$C:$C,E$1)=0,"",SUMIFS(Data!$U:$U,Data!$A:$A,$B15,Data!$C:$C,E$1))</f>
        <v>1.8774999999999999</v>
      </c>
      <c r="F15" s="37">
        <f>IF(SUMIFS(Data!$U:$U,Data!$A:$A,$B15,Data!$C:$C,F$1)=0,"",SUMIFS(Data!$U:$U,Data!$A:$A,$B15,Data!$C:$C,F$1))</f>
        <v>1.7825</v>
      </c>
      <c r="G15" s="37">
        <f>IF(SUMIFS(Data!$U:$U,Data!$A:$A,$B15,Data!$C:$C,G$1)=0,"",SUMIFS(Data!$U:$U,Data!$A:$A,$B15,Data!$C:$C,G$1))</f>
        <v>3.56</v>
      </c>
      <c r="H15" s="37">
        <f>IF(SUMIFS(Data!$U:$U,Data!$A:$A,$B15,Data!$C:$C,H$1)=0,"",SUMIFS(Data!$U:$U,Data!$A:$A,$B15,Data!$C:$C,H$1))</f>
        <v>3</v>
      </c>
      <c r="I15" s="37">
        <f>IF(SUMIFS(Data!$U:$U,Data!$A:$A,$B15,Data!$C:$C,I$1)=0,"",SUMIFS(Data!$U:$U,Data!$A:$A,$B15,Data!$C:$C,I$1))</f>
        <v>2.4631249999999998</v>
      </c>
      <c r="J15" s="37">
        <f>IF(SUMIFS(Data!$U:$U,Data!$A:$A,$B15,Data!$C:$C,J$1)=0,"",SUMIFS(Data!$U:$U,Data!$A:$A,$B15,Data!$C:$C,J$1))</f>
        <v>2.5625</v>
      </c>
      <c r="K15" s="37">
        <f>IF(SUMIFS(Data!$U:$U,Data!$A:$A,$B15,Data!$C:$C,K$1)=0,"",SUMIFS(Data!$U:$U,Data!$A:$A,$B15,Data!$C:$C,K$1))</f>
        <v>3.25</v>
      </c>
      <c r="L15" s="37">
        <f>IF(SUMIFS(Data!$U:$U,Data!$A:$A,$B15,Data!$C:$C,L$1)=0,"",SUMIFS(Data!$U:$U,Data!$A:$A,$B15,Data!$C:$C,L$1))</f>
        <v>2.5625</v>
      </c>
      <c r="M15" s="37">
        <f>IF(SUMIFS(Data!$U:$U,Data!$A:$A,$B15,Data!$C:$C,M$1)=0,"",SUMIFS(Data!$U:$U,Data!$A:$A,$B15,Data!$C:$C,M$1))</f>
        <v>2.875</v>
      </c>
      <c r="N15" s="37">
        <f>IF(SUMIFS(Data!$U:$U,Data!$A:$A,$B15,Data!$C:$C,N$1)=0,"",SUMIFS(Data!$U:$U,Data!$A:$A,$B15,Data!$C:$C,N$1))</f>
        <v>1.93875</v>
      </c>
      <c r="O15" s="37">
        <f>IF(SUMIFS(Data!$U:$U,Data!$A:$A,$B15,Data!$C:$C,O$1)=0,"",SUMIFS(Data!$U:$U,Data!$A:$A,$B15,Data!$C:$C,O$1))</f>
        <v>3.8125</v>
      </c>
      <c r="P15" s="37">
        <f>IF(SUMIFS(Data!$U:$U,Data!$A:$A,$B15,Data!$C:$C,P$1)=0,"",SUMIFS(Data!$U:$U,Data!$A:$A,$B15,Data!$C:$C,P$1))</f>
        <v>2.4518750000000002</v>
      </c>
      <c r="Q15" s="37">
        <f>IF(SUMIFS(Data!$U:$U,Data!$A:$A,$B15,Data!$C:$C,Q$1)=0,"",SUMIFS(Data!$U:$U,Data!$A:$A,$B15,Data!$C:$C,Q$1))</f>
        <v>2.1256249999999999</v>
      </c>
      <c r="R15" s="37">
        <f>IF(SUMIFS(Data!Z:Z,Data!A:A,'#ligaSYR'!B15)&lt;5,0,IF(SUMIFS(Data!Z:Z,Data!A:A,'#ligaSYR'!B15)&gt;14,10,SUMIFS(Data!Z:Z,Data!A:A,'#ligaSYR'!B15)-4))</f>
        <v>10</v>
      </c>
      <c r="S15" s="37">
        <f t="shared" si="0"/>
        <v>48.519374999999997</v>
      </c>
      <c r="T15" s="37">
        <f>SUMIFS(Data!D:D,Data!A:A,'#ligaSYR'!B15)</f>
        <v>136.88</v>
      </c>
      <c r="U15" s="38" t="str">
        <f>IF(VLOOKUP(B15,Participanti!A:D,4,0)=0," ","New")</f>
        <v xml:space="preserve"> </v>
      </c>
      <c r="V15" s="89">
        <f t="shared" si="1"/>
        <v>2.4631249999999998</v>
      </c>
    </row>
    <row r="16" spans="1:22" ht="13.8" x14ac:dyDescent="0.3">
      <c r="A16" s="103">
        <v>15</v>
      </c>
      <c r="B16" s="36" t="s">
        <v>256</v>
      </c>
      <c r="C16" s="37">
        <f>IF(SUMIFS(Data!$U:$U,Data!$A:$A,$B16,Data!$C:$C,C$1)=0,"",SUMIFS(Data!$U:$U,Data!$A:$A,$B16,Data!$C:$C,C$1))</f>
        <v>1.5011904761904762</v>
      </c>
      <c r="D16" s="37">
        <f>IF(SUMIFS(Data!$U:$U,Data!$A:$A,$B16,Data!$C:$C,D$1)=0,"",SUMIFS(Data!$U:$U,Data!$A:$A,$B16,Data!$C:$C,D$1))</f>
        <v>2.5</v>
      </c>
      <c r="E16" s="37">
        <f>IF(SUMIFS(Data!$U:$U,Data!$A:$A,$B16,Data!$C:$C,E$1)=0,"",SUMIFS(Data!$U:$U,Data!$A:$A,$B16,Data!$C:$C,E$1))</f>
        <v>4.5</v>
      </c>
      <c r="F16" s="37">
        <f>IF(SUMIFS(Data!$U:$U,Data!$A:$A,$B16,Data!$C:$C,F$1)=0,"",SUMIFS(Data!$U:$U,Data!$A:$A,$B16,Data!$C:$C,F$1))</f>
        <v>4.9333333333333336</v>
      </c>
      <c r="G16" s="37">
        <f>IF(SUMIFS(Data!$U:$U,Data!$A:$A,$B16,Data!$C:$C,G$1)=0,"",SUMIFS(Data!$U:$U,Data!$A:$A,$B16,Data!$C:$C,G$1))</f>
        <v>2.0440476190476189</v>
      </c>
      <c r="H16" s="37">
        <f>IF(SUMIFS(Data!$U:$U,Data!$A:$A,$B16,Data!$C:$C,H$1)=0,"",SUMIFS(Data!$U:$U,Data!$A:$A,$B16,Data!$C:$C,H$1))</f>
        <v>1.825</v>
      </c>
      <c r="I16" s="37">
        <f>IF(SUMIFS(Data!$U:$U,Data!$A:$A,$B16,Data!$C:$C,I$1)=0,"",SUMIFS(Data!$U:$U,Data!$A:$A,$B16,Data!$C:$C,I$1))</f>
        <v>2.5791666666666666</v>
      </c>
      <c r="J16" s="37">
        <f>IF(SUMIFS(Data!$U:$U,Data!$A:$A,$B16,Data!$C:$C,J$1)=0,"",SUMIFS(Data!$U:$U,Data!$A:$A,$B16,Data!$C:$C,J$1))</f>
        <v>1.8869047619047619</v>
      </c>
      <c r="K16" s="37">
        <f>IF(SUMIFS(Data!$U:$U,Data!$A:$A,$B16,Data!$C:$C,K$1)=0,"",SUMIFS(Data!$U:$U,Data!$A:$A,$B16,Data!$C:$C,K$1))</f>
        <v>2.2464285714285714</v>
      </c>
      <c r="L16" s="37">
        <f>IF(SUMIFS(Data!$U:$U,Data!$A:$A,$B16,Data!$C:$C,L$1)=0,"",SUMIFS(Data!$U:$U,Data!$A:$A,$B16,Data!$C:$C,L$1))</f>
        <v>2.3504999999999998</v>
      </c>
      <c r="M16" s="37">
        <f>IF(SUMIFS(Data!$U:$U,Data!$A:$A,$B16,Data!$C:$C,M$1)=0,"",SUMIFS(Data!$U:$U,Data!$A:$A,$B16,Data!$C:$C,M$1))</f>
        <v>1.9404761904761905</v>
      </c>
      <c r="N16" s="37">
        <f>IF(SUMIFS(Data!$U:$U,Data!$A:$A,$B16,Data!$C:$C,N$1)=0,"",SUMIFS(Data!$U:$U,Data!$A:$A,$B16,Data!$C:$C,N$1))</f>
        <v>2.9892857142857143</v>
      </c>
      <c r="O16" s="37">
        <f>IF(SUMIFS(Data!$U:$U,Data!$A:$A,$B16,Data!$C:$C,O$1)=0,"",SUMIFS(Data!$U:$U,Data!$A:$A,$B16,Data!$C:$C,O$1))</f>
        <v>6.4249999999999998</v>
      </c>
      <c r="P16" s="37" t="str">
        <f>IF(SUMIFS(Data!$U:$U,Data!$A:$A,$B16,Data!$C:$C,P$1)=0,"",SUMIFS(Data!$U:$U,Data!$A:$A,$B16,Data!$C:$C,P$1))</f>
        <v/>
      </c>
      <c r="Q16" s="37" t="str">
        <f>IF(SUMIFS(Data!$U:$U,Data!$A:$A,$B16,Data!$C:$C,Q$1)=0,"",SUMIFS(Data!$U:$U,Data!$A:$A,$B16,Data!$C:$C,Q$1))</f>
        <v/>
      </c>
      <c r="R16" s="37">
        <f>IF(SUMIFS(Data!Z:Z,Data!A:A,'#ligaSYR'!B16)&lt;5,0,IF(SUMIFS(Data!Z:Z,Data!A:A,'#ligaSYR'!B16)&gt;14,10,SUMIFS(Data!Z:Z,Data!A:A,'#ligaSYR'!B16)-4))</f>
        <v>9</v>
      </c>
      <c r="S16" s="37">
        <f t="shared" si="0"/>
        <v>46.721333333333334</v>
      </c>
      <c r="T16" s="37">
        <f>SUMIFS(Data!D:D,Data!A:A,'#ligaSYR'!B16)</f>
        <v>359.37</v>
      </c>
      <c r="U16" s="38" t="str">
        <f>IF(VLOOKUP(B16,Participanti!A:D,4,0)=0," ","New")</f>
        <v>New</v>
      </c>
      <c r="V16" s="89">
        <f t="shared" si="1"/>
        <v>2.3504999999999998</v>
      </c>
    </row>
    <row r="17" spans="1:22" ht="13.8" x14ac:dyDescent="0.3">
      <c r="A17" s="103">
        <v>16</v>
      </c>
      <c r="B17" s="36" t="s">
        <v>179</v>
      </c>
      <c r="C17" s="37" t="str">
        <f>IF(SUMIFS(Data!$U:$U,Data!$A:$A,$B17,Data!$C:$C,C$1)=0,"",SUMIFS(Data!$U:$U,Data!$A:$A,$B17,Data!$C:$C,C$1))</f>
        <v/>
      </c>
      <c r="D17" s="37">
        <f>IF(SUMIFS(Data!$U:$U,Data!$A:$A,$B17,Data!$C:$C,D$1)=0,"",SUMIFS(Data!$U:$U,Data!$A:$A,$B17,Data!$C:$C,D$1))</f>
        <v>2.1262499999999998</v>
      </c>
      <c r="E17" s="37">
        <f>IF(SUMIFS(Data!$U:$U,Data!$A:$A,$B17,Data!$C:$C,E$1)=0,"",SUMIFS(Data!$U:$U,Data!$A:$A,$B17,Data!$C:$C,E$1))</f>
        <v>2.7512499999999998</v>
      </c>
      <c r="F17" s="37">
        <f>IF(SUMIFS(Data!$U:$U,Data!$A:$A,$B17,Data!$C:$C,F$1)=0,"",SUMIFS(Data!$U:$U,Data!$A:$A,$B17,Data!$C:$C,F$1))</f>
        <v>2.3108333333333331</v>
      </c>
      <c r="G17" s="37">
        <f>IF(SUMIFS(Data!$U:$U,Data!$A:$A,$B17,Data!$C:$C,G$1)=0,"",SUMIFS(Data!$U:$U,Data!$A:$A,$B17,Data!$C:$C,G$1))</f>
        <v>3.31175</v>
      </c>
      <c r="H17" s="37">
        <f>IF(SUMIFS(Data!$U:$U,Data!$A:$A,$B17,Data!$C:$C,H$1)=0,"",SUMIFS(Data!$U:$U,Data!$A:$A,$B17,Data!$C:$C,H$1))</f>
        <v>1.3440000000000001</v>
      </c>
      <c r="I17" s="37">
        <f>IF(SUMIFS(Data!$U:$U,Data!$A:$A,$B17,Data!$C:$C,I$1)=0,"",SUMIFS(Data!$U:$U,Data!$A:$A,$B17,Data!$C:$C,I$1))</f>
        <v>2</v>
      </c>
      <c r="J17" s="37">
        <f>IF(SUMIFS(Data!$U:$U,Data!$A:$A,$B17,Data!$C:$C,J$1)=0,"",SUMIFS(Data!$U:$U,Data!$A:$A,$B17,Data!$C:$C,J$1))</f>
        <v>2.2506250000000003</v>
      </c>
      <c r="K17" s="37">
        <f>IF(SUMIFS(Data!$U:$U,Data!$A:$A,$B17,Data!$C:$C,K$1)=0,"",SUMIFS(Data!$U:$U,Data!$A:$A,$B17,Data!$C:$C,K$1))</f>
        <v>3.7469999999999999</v>
      </c>
      <c r="L17" s="37">
        <f>IF(SUMIFS(Data!$U:$U,Data!$A:$A,$B17,Data!$C:$C,L$1)=0,"",SUMIFS(Data!$U:$U,Data!$A:$A,$B17,Data!$C:$C,L$1))</f>
        <v>2.691875</v>
      </c>
      <c r="M17" s="37">
        <f>IF(SUMIFS(Data!$U:$U,Data!$A:$A,$B17,Data!$C:$C,M$1)=0,"",SUMIFS(Data!$U:$U,Data!$A:$A,$B17,Data!$C:$C,M$1))</f>
        <v>4.674666666666667</v>
      </c>
      <c r="N17" s="37">
        <f>IF(SUMIFS(Data!$U:$U,Data!$A:$A,$B17,Data!$C:$C,N$1)=0,"",SUMIFS(Data!$U:$U,Data!$A:$A,$B17,Data!$C:$C,N$1))</f>
        <v>2.629375</v>
      </c>
      <c r="O17" s="37">
        <f>IF(SUMIFS(Data!$U:$U,Data!$A:$A,$B17,Data!$C:$C,O$1)=0,"",SUMIFS(Data!$U:$U,Data!$A:$A,$B17,Data!$C:$C,O$1))</f>
        <v>2.3643749999999999</v>
      </c>
      <c r="P17" s="37">
        <f>IF(SUMIFS(Data!$U:$U,Data!$A:$A,$B17,Data!$C:$C,P$1)=0,"",SUMIFS(Data!$U:$U,Data!$A:$A,$B17,Data!$C:$C,P$1))</f>
        <v>2.2531249999999998</v>
      </c>
      <c r="Q17" s="37">
        <f>IF(SUMIFS(Data!$U:$U,Data!$A:$A,$B17,Data!$C:$C,Q$1)=0,"",SUMIFS(Data!$U:$U,Data!$A:$A,$B17,Data!$C:$C,Q$1))</f>
        <v>3.2241666666666666</v>
      </c>
      <c r="R17" s="37">
        <f>IF(SUMIFS(Data!Z:Z,Data!A:A,'#ligaSYR'!B17)&lt;5,0,IF(SUMIFS(Data!Z:Z,Data!A:A,'#ligaSYR'!B17)&gt;14,10,SUMIFS(Data!Z:Z,Data!A:A,'#ligaSYR'!B17)-4))</f>
        <v>9</v>
      </c>
      <c r="S17" s="37">
        <f t="shared" si="0"/>
        <v>46.679291666666664</v>
      </c>
      <c r="T17" s="37">
        <f>SUMIFS(Data!D:D,Data!A:A,'#ligaSYR'!B17)</f>
        <v>214.36000000000004</v>
      </c>
      <c r="U17" s="38" t="str">
        <f>IF(VLOOKUP(B17,Participanti!A:D,4,0)=0," ","New")</f>
        <v xml:space="preserve"> </v>
      </c>
      <c r="V17" s="89">
        <f t="shared" si="1"/>
        <v>2.4968750000000002</v>
      </c>
    </row>
    <row r="18" spans="1:22" ht="13.8" x14ac:dyDescent="0.3">
      <c r="A18" s="103">
        <v>17</v>
      </c>
      <c r="B18" s="36" t="s">
        <v>102</v>
      </c>
      <c r="C18" s="37">
        <f>IF(SUMIFS(Data!$U:$U,Data!$A:$A,$B18,Data!$C:$C,C$1)=0,"",SUMIFS(Data!$U:$U,Data!$A:$A,$B18,Data!$C:$C,C$1))</f>
        <v>2.3125</v>
      </c>
      <c r="D18" s="37">
        <f>IF(SUMIFS(Data!$U:$U,Data!$A:$A,$B18,Data!$C:$C,D$1)=0,"",SUMIFS(Data!$U:$U,Data!$A:$A,$B18,Data!$C:$C,D$1))</f>
        <v>2.4381249999999999</v>
      </c>
      <c r="E18" s="37">
        <f>IF(SUMIFS(Data!$U:$U,Data!$A:$A,$B18,Data!$C:$C,E$1)=0,"",SUMIFS(Data!$U:$U,Data!$A:$A,$B18,Data!$C:$C,E$1))</f>
        <v>2.1262499999999998</v>
      </c>
      <c r="F18" s="37">
        <f>IF(SUMIFS(Data!$U:$U,Data!$A:$A,$B18,Data!$C:$C,F$1)=0,"",SUMIFS(Data!$U:$U,Data!$A:$A,$B18,Data!$C:$C,F$1))</f>
        <v>2.3131249999999999</v>
      </c>
      <c r="G18" s="37">
        <f>IF(SUMIFS(Data!$U:$U,Data!$A:$A,$B18,Data!$C:$C,G$1)=0,"",SUMIFS(Data!$U:$U,Data!$A:$A,$B18,Data!$C:$C,G$1))</f>
        <v>2.8341666666666665</v>
      </c>
      <c r="H18" s="37">
        <f>IF(SUMIFS(Data!$U:$U,Data!$A:$A,$B18,Data!$C:$C,H$1)=0,"",SUMIFS(Data!$U:$U,Data!$A:$A,$B18,Data!$C:$C,H$1))</f>
        <v>2.1881249999999999</v>
      </c>
      <c r="I18" s="37">
        <f>IF(SUMIFS(Data!$U:$U,Data!$A:$A,$B18,Data!$C:$C,I$1)=0,"",SUMIFS(Data!$U:$U,Data!$A:$A,$B18,Data!$C:$C,I$1))</f>
        <v>2.3762499999999998</v>
      </c>
      <c r="J18" s="37">
        <f>IF(SUMIFS(Data!$U:$U,Data!$A:$A,$B18,Data!$C:$C,J$1)=0,"",SUMIFS(Data!$U:$U,Data!$A:$A,$B18,Data!$C:$C,J$1))</f>
        <v>2.8762499999999998</v>
      </c>
      <c r="K18" s="37">
        <f>IF(SUMIFS(Data!$U:$U,Data!$A:$A,$B18,Data!$C:$C,K$1)=0,"",SUMIFS(Data!$U:$U,Data!$A:$A,$B18,Data!$C:$C,K$1))</f>
        <v>2.1881249999999999</v>
      </c>
      <c r="L18" s="37">
        <f>IF(SUMIFS(Data!$U:$U,Data!$A:$A,$B18,Data!$C:$C,L$1)=0,"",SUMIFS(Data!$U:$U,Data!$A:$A,$B18,Data!$C:$C,L$1))</f>
        <v>2.3591249999999997</v>
      </c>
      <c r="M18" s="37">
        <f>IF(SUMIFS(Data!$U:$U,Data!$A:$A,$B18,Data!$C:$C,M$1)=0,"",SUMIFS(Data!$U:$U,Data!$A:$A,$B18,Data!$C:$C,M$1))</f>
        <v>2.832583333333333</v>
      </c>
      <c r="N18" s="37">
        <f>IF(SUMIFS(Data!$U:$U,Data!$A:$A,$B18,Data!$C:$C,N$1)=0,"",SUMIFS(Data!$U:$U,Data!$A:$A,$B18,Data!$C:$C,N$1))</f>
        <v>1.8149999999999999</v>
      </c>
      <c r="O18" s="37">
        <f>IF(SUMIFS(Data!$U:$U,Data!$A:$A,$B18,Data!$C:$C,O$1)=0,"",SUMIFS(Data!$U:$U,Data!$A:$A,$B18,Data!$C:$C,O$1))</f>
        <v>2.8436249999999998</v>
      </c>
      <c r="P18" s="37">
        <f>IF(SUMIFS(Data!$U:$U,Data!$A:$A,$B18,Data!$C:$C,P$1)=0,"",SUMIFS(Data!$U:$U,Data!$A:$A,$B18,Data!$C:$C,P$1))</f>
        <v>2.5631249999999999</v>
      </c>
      <c r="Q18" s="37">
        <f>IF(SUMIFS(Data!$U:$U,Data!$A:$A,$B18,Data!$C:$C,Q$1)=0,"",SUMIFS(Data!$U:$U,Data!$A:$A,$B18,Data!$C:$C,Q$1))</f>
        <v>2.5631249999999999</v>
      </c>
      <c r="R18" s="37">
        <f>IF(SUMIFS(Data!Z:Z,Data!A:A,'#ligaSYR'!B18)&lt;5,0,IF(SUMIFS(Data!Z:Z,Data!A:A,'#ligaSYR'!B18)&gt;14,10,SUMIFS(Data!Z:Z,Data!A:A,'#ligaSYR'!B18)-4))</f>
        <v>10</v>
      </c>
      <c r="S18" s="37">
        <f t="shared" si="0"/>
        <v>46.629499999999993</v>
      </c>
      <c r="T18" s="37">
        <f>SUMIFS(Data!D:D,Data!A:A,'#ligaSYR'!B18)</f>
        <v>122.14000000000003</v>
      </c>
      <c r="U18" s="38" t="str">
        <f>IF(VLOOKUP(B18,Participanti!A:D,4,0)=0," ","New")</f>
        <v xml:space="preserve"> </v>
      </c>
      <c r="V18" s="89">
        <f t="shared" si="1"/>
        <v>2.3762499999999998</v>
      </c>
    </row>
    <row r="19" spans="1:22" ht="13.8" x14ac:dyDescent="0.3">
      <c r="A19" s="103">
        <v>18</v>
      </c>
      <c r="B19" s="36" t="s">
        <v>257</v>
      </c>
      <c r="C19" s="37">
        <f>IF(SUMIFS(Data!$U:$U,Data!$A:$A,$B19,Data!$C:$C,C$1)=0,"",SUMIFS(Data!$U:$U,Data!$A:$A,$B19,Data!$C:$C,C$1))</f>
        <v>3.7349999999999999</v>
      </c>
      <c r="D19" s="37">
        <f>IF(SUMIFS(Data!$U:$U,Data!$A:$A,$B19,Data!$C:$C,D$1)=0,"",SUMIFS(Data!$U:$U,Data!$A:$A,$B19,Data!$C:$C,D$1))</f>
        <v>4.7430000000000003</v>
      </c>
      <c r="E19" s="37" t="str">
        <f>IF(SUMIFS(Data!$U:$U,Data!$A:$A,$B19,Data!$C:$C,E$1)=0,"",SUMIFS(Data!$U:$U,Data!$A:$A,$B19,Data!$C:$C,E$1))</f>
        <v/>
      </c>
      <c r="F19" s="37">
        <f>IF(SUMIFS(Data!$U:$U,Data!$A:$A,$B19,Data!$C:$C,F$1)=0,"",SUMIFS(Data!$U:$U,Data!$A:$A,$B19,Data!$C:$C,F$1))</f>
        <v>3.3558333333333334</v>
      </c>
      <c r="G19" s="37" t="str">
        <f>IF(SUMIFS(Data!$U:$U,Data!$A:$A,$B19,Data!$C:$C,G$1)=0,"",SUMIFS(Data!$U:$U,Data!$A:$A,$B19,Data!$C:$C,G$1))</f>
        <v/>
      </c>
      <c r="H19" s="37">
        <f>IF(SUMIFS(Data!$U:$U,Data!$A:$A,$B19,Data!$C:$C,H$1)=0,"",SUMIFS(Data!$U:$U,Data!$A:$A,$B19,Data!$C:$C,H$1))</f>
        <v>3.241047619047619</v>
      </c>
      <c r="I19" s="37">
        <f>IF(SUMIFS(Data!$U:$U,Data!$A:$A,$B19,Data!$C:$C,I$1)=0,"",SUMIFS(Data!$U:$U,Data!$A:$A,$B19,Data!$C:$C,I$1))</f>
        <v>3.241047619047619</v>
      </c>
      <c r="J19" s="37">
        <f>IF(SUMIFS(Data!$U:$U,Data!$A:$A,$B19,Data!$C:$C,J$1)=0,"",SUMIFS(Data!$U:$U,Data!$A:$A,$B19,Data!$C:$C,J$1))</f>
        <v>2.4263333333333335</v>
      </c>
      <c r="K19" s="37">
        <f>IF(SUMIFS(Data!$U:$U,Data!$A:$A,$B19,Data!$C:$C,K$1)=0,"",SUMIFS(Data!$U:$U,Data!$A:$A,$B19,Data!$C:$C,K$1))</f>
        <v>2.6365476190476187</v>
      </c>
      <c r="L19" s="37" t="str">
        <f>IF(SUMIFS(Data!$U:$U,Data!$A:$A,$B19,Data!$C:$C,L$1)=0,"",SUMIFS(Data!$U:$U,Data!$A:$A,$B19,Data!$C:$C,L$1))</f>
        <v/>
      </c>
      <c r="M19" s="37">
        <f>IF(SUMIFS(Data!$U:$U,Data!$A:$A,$B19,Data!$C:$C,M$1)=0,"",SUMIFS(Data!$U:$U,Data!$A:$A,$B19,Data!$C:$C,M$1))</f>
        <v>5.8606666666666669</v>
      </c>
      <c r="N19" s="37">
        <f>IF(SUMIFS(Data!$U:$U,Data!$A:$A,$B19,Data!$C:$C,N$1)=0,"",SUMIFS(Data!$U:$U,Data!$A:$A,$B19,Data!$C:$C,N$1))</f>
        <v>3.1933333333333334</v>
      </c>
      <c r="O19" s="37">
        <f>IF(SUMIFS(Data!$U:$U,Data!$A:$A,$B19,Data!$C:$C,O$1)=0,"",SUMIFS(Data!$U:$U,Data!$A:$A,$B19,Data!$C:$C,O$1))</f>
        <v>2.9523333333333333</v>
      </c>
      <c r="P19" s="37" t="str">
        <f>IF(SUMIFS(Data!$U:$U,Data!$A:$A,$B19,Data!$C:$C,P$1)=0,"",SUMIFS(Data!$U:$U,Data!$A:$A,$B19,Data!$C:$C,P$1))</f>
        <v/>
      </c>
      <c r="Q19" s="37">
        <f>IF(SUMIFS(Data!$U:$U,Data!$A:$A,$B19,Data!$C:$C,Q$1)=0,"",SUMIFS(Data!$U:$U,Data!$A:$A,$B19,Data!$C:$C,Q$1))</f>
        <v>3.8793333333333333</v>
      </c>
      <c r="R19" s="37">
        <f>IF(SUMIFS(Data!Z:Z,Data!A:A,'#ligaSYR'!B19)&lt;5,0,IF(SUMIFS(Data!Z:Z,Data!A:A,'#ligaSYR'!B19)&gt;14,10,SUMIFS(Data!Z:Z,Data!A:A,'#ligaSYR'!B19)-4))</f>
        <v>6</v>
      </c>
      <c r="S19" s="37">
        <f t="shared" si="0"/>
        <v>45.264476190476195</v>
      </c>
      <c r="T19" s="37">
        <f>SUMIFS(Data!D:D,Data!A:A,'#ligaSYR'!B19)</f>
        <v>285.64999999999998</v>
      </c>
      <c r="U19" s="38" t="str">
        <f>IF(VLOOKUP(B19,Participanti!A:D,4,0)=0," ","New")</f>
        <v>New</v>
      </c>
      <c r="V19" s="89">
        <f t="shared" si="1"/>
        <v>3.241047619047619</v>
      </c>
    </row>
    <row r="20" spans="1:22" ht="13.8" x14ac:dyDescent="0.3">
      <c r="A20" s="103">
        <v>19</v>
      </c>
      <c r="B20" s="36" t="s">
        <v>217</v>
      </c>
      <c r="C20" s="37">
        <f>IF(SUMIFS(Data!$U:$U,Data!$A:$A,$B20,Data!$C:$C,C$1)=0,"",SUMIFS(Data!$U:$U,Data!$A:$A,$B20,Data!$C:$C,C$1))</f>
        <v>0.375</v>
      </c>
      <c r="D20" s="37">
        <f>IF(SUMIFS(Data!$U:$U,Data!$A:$A,$B20,Data!$C:$C,D$1)=0,"",SUMIFS(Data!$U:$U,Data!$A:$A,$B20,Data!$C:$C,D$1))</f>
        <v>2.8630952380952381</v>
      </c>
      <c r="E20" s="37">
        <f>IF(SUMIFS(Data!$U:$U,Data!$A:$A,$B20,Data!$C:$C,E$1)=0,"",SUMIFS(Data!$U:$U,Data!$A:$A,$B20,Data!$C:$C,E$1))</f>
        <v>2.3511904761904763</v>
      </c>
      <c r="F20" s="37">
        <f>IF(SUMIFS(Data!$U:$U,Data!$A:$A,$B20,Data!$C:$C,F$1)=0,"",SUMIFS(Data!$U:$U,Data!$A:$A,$B20,Data!$C:$C,F$1))</f>
        <v>2.6785714285714284</v>
      </c>
      <c r="G20" s="37">
        <f>IF(SUMIFS(Data!$U:$U,Data!$A:$A,$B20,Data!$C:$C,G$1)=0,"",SUMIFS(Data!$U:$U,Data!$A:$A,$B20,Data!$C:$C,G$1))</f>
        <v>1.7285714285714286</v>
      </c>
      <c r="H20" s="37">
        <f>IF(SUMIFS(Data!$U:$U,Data!$A:$A,$B20,Data!$C:$C,H$1)=0,"",SUMIFS(Data!$U:$U,Data!$A:$A,$B20,Data!$C:$C,H$1))</f>
        <v>2.8392857142857144</v>
      </c>
      <c r="I20" s="37">
        <f>IF(SUMIFS(Data!$U:$U,Data!$A:$A,$B20,Data!$C:$C,I$1)=0,"",SUMIFS(Data!$U:$U,Data!$A:$A,$B20,Data!$C:$C,I$1))</f>
        <v>3.0696428571428571</v>
      </c>
      <c r="J20" s="37">
        <f>IF(SUMIFS(Data!$U:$U,Data!$A:$A,$B20,Data!$C:$C,J$1)=0,"",SUMIFS(Data!$U:$U,Data!$A:$A,$B20,Data!$C:$C,J$1))</f>
        <v>1.9922619047619048</v>
      </c>
      <c r="K20" s="37">
        <f>IF(SUMIFS(Data!$U:$U,Data!$A:$A,$B20,Data!$C:$C,K$1)=0,"",SUMIFS(Data!$U:$U,Data!$A:$A,$B20,Data!$C:$C,K$1))</f>
        <v>2.8095238095238093</v>
      </c>
      <c r="L20" s="37">
        <f>IF(SUMIFS(Data!$U:$U,Data!$A:$A,$B20,Data!$C:$C,L$1)=0,"",SUMIFS(Data!$U:$U,Data!$A:$A,$B20,Data!$C:$C,L$1))</f>
        <v>2.3833333333333329</v>
      </c>
      <c r="M20" s="37">
        <f>IF(SUMIFS(Data!$U:$U,Data!$A:$A,$B20,Data!$C:$C,M$1)=0,"",SUMIFS(Data!$U:$U,Data!$A:$A,$B20,Data!$C:$C,M$1))</f>
        <v>3.75</v>
      </c>
      <c r="N20" s="37">
        <f>IF(SUMIFS(Data!$U:$U,Data!$A:$A,$B20,Data!$C:$C,N$1)=0,"",SUMIFS(Data!$U:$U,Data!$A:$A,$B20,Data!$C:$C,N$1))</f>
        <v>1.625</v>
      </c>
      <c r="O20" s="37">
        <f>IF(SUMIFS(Data!$U:$U,Data!$A:$A,$B20,Data!$C:$C,O$1)=0,"",SUMIFS(Data!$U:$U,Data!$A:$A,$B20,Data!$C:$C,O$1))</f>
        <v>2.6345238095238095</v>
      </c>
      <c r="P20" s="37">
        <f>IF(SUMIFS(Data!$U:$U,Data!$A:$A,$B20,Data!$C:$C,P$1)=0,"",SUMIFS(Data!$U:$U,Data!$A:$A,$B20,Data!$C:$C,P$1))</f>
        <v>1.6672619047619048</v>
      </c>
      <c r="Q20" s="37">
        <f>IF(SUMIFS(Data!$U:$U,Data!$A:$A,$B20,Data!$C:$C,Q$1)=0,"",SUMIFS(Data!$U:$U,Data!$A:$A,$B20,Data!$C:$C,Q$1))</f>
        <v>2.2916666666666665</v>
      </c>
      <c r="R20" s="37">
        <f>IF(SUMIFS(Data!Z:Z,Data!A:A,'#ligaSYR'!B20)&lt;5,0,IF(SUMIFS(Data!Z:Z,Data!A:A,'#ligaSYR'!B20)&gt;14,10,SUMIFS(Data!Z:Z,Data!A:A,'#ligaSYR'!B20)-4))</f>
        <v>10</v>
      </c>
      <c r="S20" s="37">
        <f t="shared" si="0"/>
        <v>45.058928571428567</v>
      </c>
      <c r="T20" s="37">
        <f>SUMIFS(Data!D:D,Data!A:A,'#ligaSYR'!B20)</f>
        <v>135.02000000000001</v>
      </c>
      <c r="U20" s="38" t="str">
        <f>IF(VLOOKUP(B20,Participanti!A:D,4,0)=0," ","New")</f>
        <v xml:space="preserve"> </v>
      </c>
      <c r="V20" s="89">
        <f t="shared" si="1"/>
        <v>2.3833333333333329</v>
      </c>
    </row>
    <row r="21" spans="1:22" ht="13.8" x14ac:dyDescent="0.3">
      <c r="A21" s="103">
        <v>20</v>
      </c>
      <c r="B21" s="36" t="s">
        <v>49</v>
      </c>
      <c r="C21" s="37">
        <f>IF(SUMIFS(Data!$U:$U,Data!$A:$A,$B21,Data!$C:$C,C$1)=0,"",SUMIFS(Data!$U:$U,Data!$A:$A,$B21,Data!$C:$C,C$1))</f>
        <v>2.9464285714285712</v>
      </c>
      <c r="D21" s="37">
        <f>IF(SUMIFS(Data!$U:$U,Data!$A:$A,$B21,Data!$C:$C,D$1)=0,"",SUMIFS(Data!$U:$U,Data!$A:$A,$B21,Data!$C:$C,D$1))</f>
        <v>2.9762142857142857</v>
      </c>
      <c r="E21" s="37">
        <f>IF(SUMIFS(Data!$U:$U,Data!$A:$A,$B21,Data!$C:$C,E$1)=0,"",SUMIFS(Data!$U:$U,Data!$A:$A,$B21,Data!$C:$C,E$1))</f>
        <v>2.8372380952380949</v>
      </c>
      <c r="F21" s="37">
        <f>IF(SUMIFS(Data!$U:$U,Data!$A:$A,$B21,Data!$C:$C,F$1)=0,"",SUMIFS(Data!$U:$U,Data!$A:$A,$B21,Data!$C:$C,F$1))</f>
        <v>2.9430476190476194</v>
      </c>
      <c r="G21" s="37">
        <f>IF(SUMIFS(Data!$U:$U,Data!$A:$A,$B21,Data!$C:$C,G$1)=0,"",SUMIFS(Data!$U:$U,Data!$A:$A,$B21,Data!$C:$C,G$1))</f>
        <v>3.0477619047619045</v>
      </c>
      <c r="H21" s="37">
        <f>IF(SUMIFS(Data!$U:$U,Data!$A:$A,$B21,Data!$C:$C,H$1)=0,"",SUMIFS(Data!$U:$U,Data!$A:$A,$B21,Data!$C:$C,H$1))</f>
        <v>2.4356904761904761</v>
      </c>
      <c r="I21" s="37">
        <f>IF(SUMIFS(Data!$U:$U,Data!$A:$A,$B21,Data!$C:$C,I$1)=0,"",SUMIFS(Data!$U:$U,Data!$A:$A,$B21,Data!$C:$C,I$1))</f>
        <v>3.4926666666666666</v>
      </c>
      <c r="J21" s="37">
        <f>IF(SUMIFS(Data!$U:$U,Data!$A:$A,$B21,Data!$C:$C,J$1)=0,"",SUMIFS(Data!$U:$U,Data!$A:$A,$B21,Data!$C:$C,J$1))</f>
        <v>3.0724047619047621</v>
      </c>
      <c r="K21" s="37">
        <f>IF(SUMIFS(Data!$U:$U,Data!$A:$A,$B21,Data!$C:$C,K$1)=0,"",SUMIFS(Data!$U:$U,Data!$A:$A,$B21,Data!$C:$C,K$1))</f>
        <v>3.3652380952380949</v>
      </c>
      <c r="L21" s="37">
        <f>IF(SUMIFS(Data!$U:$U,Data!$A:$A,$B21,Data!$C:$C,L$1)=0,"",SUMIFS(Data!$U:$U,Data!$A:$A,$B21,Data!$C:$C,L$1))</f>
        <v>2.3625714285714285</v>
      </c>
      <c r="M21" s="37">
        <f>IF(SUMIFS(Data!$U:$U,Data!$A:$A,$B21,Data!$C:$C,M$1)=0,"",SUMIFS(Data!$U:$U,Data!$A:$A,$B21,Data!$C:$C,M$1))</f>
        <v>2.8044523809523807</v>
      </c>
      <c r="N21" s="37">
        <f>IF(SUMIFS(Data!$U:$U,Data!$A:$A,$B21,Data!$C:$C,N$1)=0,"",SUMIFS(Data!$U:$U,Data!$A:$A,$B21,Data!$C:$C,N$1))</f>
        <v>2.8469523809523807</v>
      </c>
      <c r="O21" s="37">
        <f>IF(SUMIFS(Data!$U:$U,Data!$A:$A,$B21,Data!$C:$C,O$1)=0,"",SUMIFS(Data!$U:$U,Data!$A:$A,$B21,Data!$C:$C,O$1))</f>
        <v>2.5083333333333333</v>
      </c>
      <c r="P21" s="37" t="str">
        <f>IF(SUMIFS(Data!$U:$U,Data!$A:$A,$B21,Data!$C:$C,P$1)=0,"",SUMIFS(Data!$U:$U,Data!$A:$A,$B21,Data!$C:$C,P$1))</f>
        <v/>
      </c>
      <c r="Q21" s="37" t="str">
        <f>IF(SUMIFS(Data!$U:$U,Data!$A:$A,$B21,Data!$C:$C,Q$1)=0,"",SUMIFS(Data!$U:$U,Data!$A:$A,$B21,Data!$C:$C,Q$1))</f>
        <v/>
      </c>
      <c r="R21" s="37">
        <f>IF(SUMIFS(Data!Z:Z,Data!A:A,'#ligaSYR'!B21)&lt;5,0,IF(SUMIFS(Data!Z:Z,Data!A:A,'#ligaSYR'!B21)&gt;14,10,SUMIFS(Data!Z:Z,Data!A:A,'#ligaSYR'!B21)-4))</f>
        <v>7</v>
      </c>
      <c r="S21" s="37">
        <f t="shared" si="0"/>
        <v>44.638999999999996</v>
      </c>
      <c r="T21" s="37">
        <f>SUMIFS(Data!D:D,Data!A:A,'#ligaSYR'!B21)</f>
        <v>167.23000000000002</v>
      </c>
      <c r="U21" s="38" t="str">
        <f>IF(VLOOKUP(B21,Participanti!A:D,4,0)=0," ","New")</f>
        <v xml:space="preserve"> </v>
      </c>
      <c r="V21" s="89">
        <f t="shared" si="1"/>
        <v>2.9430476190476194</v>
      </c>
    </row>
    <row r="22" spans="1:22" ht="13.8" x14ac:dyDescent="0.3">
      <c r="A22" s="103">
        <v>21</v>
      </c>
      <c r="B22" s="36" t="s">
        <v>119</v>
      </c>
      <c r="C22" s="37">
        <f>IF(SUMIFS(Data!$U:$U,Data!$A:$A,$B22,Data!$C:$C,C$1)=0,"",SUMIFS(Data!$U:$U,Data!$A:$A,$B22,Data!$C:$C,C$1))</f>
        <v>2.4424999999999999</v>
      </c>
      <c r="D22" s="37">
        <f>IF(SUMIFS(Data!$U:$U,Data!$A:$A,$B22,Data!$C:$C,D$1)=0,"",SUMIFS(Data!$U:$U,Data!$A:$A,$B22,Data!$C:$C,D$1))</f>
        <v>2.2986666666666666</v>
      </c>
      <c r="E22" s="37">
        <f>IF(SUMIFS(Data!$U:$U,Data!$A:$A,$B22,Data!$C:$C,E$1)=0,"",SUMIFS(Data!$U:$U,Data!$A:$A,$B22,Data!$C:$C,E$1))</f>
        <v>2.8908333333333331</v>
      </c>
      <c r="F22" s="37">
        <f>IF(SUMIFS(Data!$U:$U,Data!$A:$A,$B22,Data!$C:$C,F$1)=0,"",SUMIFS(Data!$U:$U,Data!$A:$A,$B22,Data!$C:$C,F$1))</f>
        <v>2.6262499999999998</v>
      </c>
      <c r="G22" s="37">
        <f>IF(SUMIFS(Data!$U:$U,Data!$A:$A,$B22,Data!$C:$C,G$1)=0,"",SUMIFS(Data!$U:$U,Data!$A:$A,$B22,Data!$C:$C,G$1))</f>
        <v>2.4575</v>
      </c>
      <c r="H22" s="37">
        <f>IF(SUMIFS(Data!$U:$U,Data!$A:$A,$B22,Data!$C:$C,H$1)=0,"",SUMIFS(Data!$U:$U,Data!$A:$A,$B22,Data!$C:$C,H$1))</f>
        <v>2.6881249999999999</v>
      </c>
      <c r="I22" s="37">
        <f>IF(SUMIFS(Data!$U:$U,Data!$A:$A,$B22,Data!$C:$C,I$1)=0,"",SUMIFS(Data!$U:$U,Data!$A:$A,$B22,Data!$C:$C,I$1))</f>
        <v>2.3562500000000002</v>
      </c>
      <c r="J22" s="37">
        <f>IF(SUMIFS(Data!$U:$U,Data!$A:$A,$B22,Data!$C:$C,J$1)=0,"",SUMIFS(Data!$U:$U,Data!$A:$A,$B22,Data!$C:$C,J$1))</f>
        <v>2.2675000000000001</v>
      </c>
      <c r="K22" s="37">
        <f>IF(SUMIFS(Data!$U:$U,Data!$A:$A,$B22,Data!$C:$C,K$1)=0,"",SUMIFS(Data!$U:$U,Data!$A:$A,$B22,Data!$C:$C,K$1))</f>
        <v>2.4381249999999999</v>
      </c>
      <c r="L22" s="37">
        <f>IF(SUMIFS(Data!$U:$U,Data!$A:$A,$B22,Data!$C:$C,L$1)=0,"",SUMIFS(Data!$U:$U,Data!$A:$A,$B22,Data!$C:$C,L$1))</f>
        <v>2.4024999999999999</v>
      </c>
      <c r="M22" s="37">
        <f>IF(SUMIFS(Data!$U:$U,Data!$A:$A,$B22,Data!$C:$C,M$1)=0,"",SUMIFS(Data!$U:$U,Data!$A:$A,$B22,Data!$C:$C,M$1))</f>
        <v>2.6937500000000001</v>
      </c>
      <c r="N22" s="37">
        <f>IF(SUMIFS(Data!$U:$U,Data!$A:$A,$B22,Data!$C:$C,N$1)=0,"",SUMIFS(Data!$U:$U,Data!$A:$A,$B22,Data!$C:$C,N$1))</f>
        <v>1.5</v>
      </c>
      <c r="O22" s="37">
        <f>IF(SUMIFS(Data!$U:$U,Data!$A:$A,$B22,Data!$C:$C,O$1)=0,"",SUMIFS(Data!$U:$U,Data!$A:$A,$B22,Data!$C:$C,O$1))</f>
        <v>2.9056250000000001</v>
      </c>
      <c r="P22" s="37">
        <f>IF(SUMIFS(Data!$U:$U,Data!$A:$A,$B22,Data!$C:$C,P$1)=0,"",SUMIFS(Data!$U:$U,Data!$A:$A,$B22,Data!$C:$C,P$1))</f>
        <v>1.4975000000000001</v>
      </c>
      <c r="Q22" s="37" t="str">
        <f>IF(SUMIFS(Data!$U:$U,Data!$A:$A,$B22,Data!$C:$C,Q$1)=0,"",SUMIFS(Data!$U:$U,Data!$A:$A,$B22,Data!$C:$C,Q$1))</f>
        <v/>
      </c>
      <c r="R22" s="37">
        <f>IF(SUMIFS(Data!Z:Z,Data!A:A,'#ligaSYR'!B22)&lt;5,0,IF(SUMIFS(Data!Z:Z,Data!A:A,'#ligaSYR'!B22)&gt;14,10,SUMIFS(Data!Z:Z,Data!A:A,'#ligaSYR'!B22)-4))</f>
        <v>9</v>
      </c>
      <c r="S22" s="37">
        <f t="shared" si="0"/>
        <v>42.465125</v>
      </c>
      <c r="T22" s="37">
        <f>SUMIFS(Data!D:D,Data!A:A,'#ligaSYR'!B22)</f>
        <v>98.32</v>
      </c>
      <c r="U22" s="38" t="str">
        <f>IF(VLOOKUP(B22,Participanti!A:D,4,0)=0," ","New")</f>
        <v xml:space="preserve"> </v>
      </c>
      <c r="V22" s="89">
        <f t="shared" si="1"/>
        <v>2.4403125000000001</v>
      </c>
    </row>
    <row r="23" spans="1:22" ht="13.8" x14ac:dyDescent="0.3">
      <c r="A23" s="103">
        <v>22</v>
      </c>
      <c r="B23" s="36" t="s">
        <v>48</v>
      </c>
      <c r="C23" s="37" t="str">
        <f>IF(SUMIFS(Data!$U:$U,Data!$A:$A,$B23,Data!$C:$C,C$1)=0,"",SUMIFS(Data!$U:$U,Data!$A:$A,$B23,Data!$C:$C,C$1))</f>
        <v/>
      </c>
      <c r="D23" s="37">
        <f>IF(SUMIFS(Data!$U:$U,Data!$A:$A,$B23,Data!$C:$C,D$1)=0,"",SUMIFS(Data!$U:$U,Data!$A:$A,$B23,Data!$C:$C,D$1))</f>
        <v>2.8119047619047617</v>
      </c>
      <c r="E23" s="37">
        <f>IF(SUMIFS(Data!$U:$U,Data!$A:$A,$B23,Data!$C:$C,E$1)=0,"",SUMIFS(Data!$U:$U,Data!$A:$A,$B23,Data!$C:$C,E$1))</f>
        <v>1.5</v>
      </c>
      <c r="F23" s="37">
        <f>IF(SUMIFS(Data!$U:$U,Data!$A:$A,$B23,Data!$C:$C,F$1)=0,"",SUMIFS(Data!$U:$U,Data!$A:$A,$B23,Data!$C:$C,F$1))</f>
        <v>1.7958333333333334</v>
      </c>
      <c r="G23" s="37">
        <f>IF(SUMIFS(Data!$U:$U,Data!$A:$A,$B23,Data!$C:$C,G$1)=0,"",SUMIFS(Data!$U:$U,Data!$A:$A,$B23,Data!$C:$C,G$1))</f>
        <v>2.9357142857142859</v>
      </c>
      <c r="H23" s="37">
        <f>IF(SUMIFS(Data!$U:$U,Data!$A:$A,$B23,Data!$C:$C,H$1)=0,"",SUMIFS(Data!$U:$U,Data!$A:$A,$B23,Data!$C:$C,H$1))</f>
        <v>2.7440476190476186</v>
      </c>
      <c r="I23" s="37">
        <f>IF(SUMIFS(Data!$U:$U,Data!$A:$A,$B23,Data!$C:$C,I$1)=0,"",SUMIFS(Data!$U:$U,Data!$A:$A,$B23,Data!$C:$C,I$1))</f>
        <v>2.6583333333333332</v>
      </c>
      <c r="J23" s="37">
        <f>IF(SUMIFS(Data!$U:$U,Data!$A:$A,$B23,Data!$C:$C,J$1)=0,"",SUMIFS(Data!$U:$U,Data!$A:$A,$B23,Data!$C:$C,J$1))</f>
        <v>3.0065476190476188</v>
      </c>
      <c r="K23" s="37">
        <f>IF(SUMIFS(Data!$U:$U,Data!$A:$A,$B23,Data!$C:$C,K$1)=0,"",SUMIFS(Data!$U:$U,Data!$A:$A,$B23,Data!$C:$C,K$1))</f>
        <v>3.3041666666666667</v>
      </c>
      <c r="L23" s="37">
        <f>IF(SUMIFS(Data!$U:$U,Data!$A:$A,$B23,Data!$C:$C,L$1)=0,"",SUMIFS(Data!$U:$U,Data!$A:$A,$B23,Data!$C:$C,L$1))</f>
        <v>2.1864523809523808</v>
      </c>
      <c r="M23" s="37" t="str">
        <f>IF(SUMIFS(Data!$U:$U,Data!$A:$A,$B23,Data!$C:$C,M$1)=0,"",SUMIFS(Data!$U:$U,Data!$A:$A,$B23,Data!$C:$C,M$1))</f>
        <v/>
      </c>
      <c r="N23" s="37">
        <f>IF(SUMIFS(Data!$U:$U,Data!$A:$A,$B23,Data!$C:$C,N$1)=0,"",SUMIFS(Data!$U:$U,Data!$A:$A,$B23,Data!$C:$C,N$1))</f>
        <v>3.2530238095238095</v>
      </c>
      <c r="O23" s="37">
        <f>IF(SUMIFS(Data!$U:$U,Data!$A:$A,$B23,Data!$C:$C,O$1)=0,"",SUMIFS(Data!$U:$U,Data!$A:$A,$B23,Data!$C:$C,O$1))</f>
        <v>2.2108095238095236</v>
      </c>
      <c r="P23" s="37">
        <f>IF(SUMIFS(Data!$U:$U,Data!$A:$A,$B23,Data!$C:$C,P$1)=0,"",SUMIFS(Data!$U:$U,Data!$A:$A,$B23,Data!$C:$C,P$1))</f>
        <v>2.3511904761904763</v>
      </c>
      <c r="Q23" s="37">
        <f>IF(SUMIFS(Data!$U:$U,Data!$A:$A,$B23,Data!$C:$C,Q$1)=0,"",SUMIFS(Data!$U:$U,Data!$A:$A,$B23,Data!$C:$C,Q$1))</f>
        <v>3.0607619047619048</v>
      </c>
      <c r="R23" s="37">
        <f>IF(SUMIFS(Data!Z:Z,Data!A:A,'#ligaSYR'!B23)&lt;5,0,IF(SUMIFS(Data!Z:Z,Data!A:A,'#ligaSYR'!B23)&gt;14,10,SUMIFS(Data!Z:Z,Data!A:A,'#ligaSYR'!B23)-4))</f>
        <v>8</v>
      </c>
      <c r="S23" s="37">
        <f t="shared" si="0"/>
        <v>41.818785714285717</v>
      </c>
      <c r="T23" s="37">
        <f>SUMIFS(Data!D:D,Data!A:A,'#ligaSYR'!B23)</f>
        <v>142.16000000000003</v>
      </c>
      <c r="U23" s="38" t="str">
        <f>IF(VLOOKUP(B23,Participanti!A:D,4,0)=0," ","New")</f>
        <v xml:space="preserve"> </v>
      </c>
      <c r="V23" s="89">
        <f t="shared" si="1"/>
        <v>2.7440476190476186</v>
      </c>
    </row>
    <row r="24" spans="1:22" ht="13.8" x14ac:dyDescent="0.3">
      <c r="A24" s="103">
        <v>23</v>
      </c>
      <c r="B24" s="36" t="s">
        <v>142</v>
      </c>
      <c r="C24" s="37">
        <f>IF(SUMIFS(Data!$U:$U,Data!$A:$A,$B24,Data!$C:$C,C$1)=0,"",SUMIFS(Data!$U:$U,Data!$A:$A,$B24,Data!$C:$C,C$1))</f>
        <v>3.0571666666666668</v>
      </c>
      <c r="D24" s="37">
        <f>IF(SUMIFS(Data!$U:$U,Data!$A:$A,$B24,Data!$C:$C,D$1)=0,"",SUMIFS(Data!$U:$U,Data!$A:$A,$B24,Data!$C:$C,D$1))</f>
        <v>2.4855</v>
      </c>
      <c r="E24" s="37">
        <f>IF(SUMIFS(Data!$U:$U,Data!$A:$A,$B24,Data!$C:$C,E$1)=0,"",SUMIFS(Data!$U:$U,Data!$A:$A,$B24,Data!$C:$C,E$1))</f>
        <v>2.645083333333333</v>
      </c>
      <c r="F24" s="37">
        <f>IF(SUMIFS(Data!$U:$U,Data!$A:$A,$B24,Data!$C:$C,F$1)=0,"",SUMIFS(Data!$U:$U,Data!$A:$A,$B24,Data!$C:$C,F$1))</f>
        <v>2.5766666666666667</v>
      </c>
      <c r="G24" s="37">
        <f>IF(SUMIFS(Data!$U:$U,Data!$A:$A,$B24,Data!$C:$C,G$1)=0,"",SUMIFS(Data!$U:$U,Data!$A:$A,$B24,Data!$C:$C,G$1))</f>
        <v>2.9381249999999999</v>
      </c>
      <c r="H24" s="37">
        <f>IF(SUMIFS(Data!$U:$U,Data!$A:$A,$B24,Data!$C:$C,H$1)=0,"",SUMIFS(Data!$U:$U,Data!$A:$A,$B24,Data!$C:$C,H$1))</f>
        <v>2.4381249999999999</v>
      </c>
      <c r="I24" s="37">
        <f>IF(SUMIFS(Data!$U:$U,Data!$A:$A,$B24,Data!$C:$C,I$1)=0,"",SUMIFS(Data!$U:$U,Data!$A:$A,$B24,Data!$C:$C,I$1))</f>
        <v>2.0832499999999996</v>
      </c>
      <c r="J24" s="37">
        <f>IF(SUMIFS(Data!$U:$U,Data!$A:$A,$B24,Data!$C:$C,J$1)=0,"",SUMIFS(Data!$U:$U,Data!$A:$A,$B24,Data!$C:$C,J$1))</f>
        <v>3.3477499999999996</v>
      </c>
      <c r="K24" s="37">
        <f>IF(SUMIFS(Data!$U:$U,Data!$A:$A,$B24,Data!$C:$C,K$1)=0,"",SUMIFS(Data!$U:$U,Data!$A:$A,$B24,Data!$C:$C,K$1))</f>
        <v>2.7506249999999999</v>
      </c>
      <c r="L24" s="37">
        <f>IF(SUMIFS(Data!$U:$U,Data!$A:$A,$B24,Data!$C:$C,L$1)=0,"",SUMIFS(Data!$U:$U,Data!$A:$A,$B24,Data!$C:$C,L$1))</f>
        <v>2.6496249999999999</v>
      </c>
      <c r="M24" s="37">
        <f>IF(SUMIFS(Data!$U:$U,Data!$A:$A,$B24,Data!$C:$C,M$1)=0,"",SUMIFS(Data!$U:$U,Data!$A:$A,$B24,Data!$C:$C,M$1))</f>
        <v>3.1268750000000001</v>
      </c>
      <c r="N24" s="37" t="str">
        <f>IF(SUMIFS(Data!$U:$U,Data!$A:$A,$B24,Data!$C:$C,N$1)=0,"",SUMIFS(Data!$U:$U,Data!$A:$A,$B24,Data!$C:$C,N$1))</f>
        <v/>
      </c>
      <c r="O24" s="37" t="str">
        <f>IF(SUMIFS(Data!$U:$U,Data!$A:$A,$B24,Data!$C:$C,O$1)=0,"",SUMIFS(Data!$U:$U,Data!$A:$A,$B24,Data!$C:$C,O$1))</f>
        <v/>
      </c>
      <c r="P24" s="37">
        <f>IF(SUMIFS(Data!$U:$U,Data!$A:$A,$B24,Data!$C:$C,P$1)=0,"",SUMIFS(Data!$U:$U,Data!$A:$A,$B24,Data!$C:$C,P$1))</f>
        <v>2.8021249999999998</v>
      </c>
      <c r="Q24" s="37" t="str">
        <f>IF(SUMIFS(Data!$U:$U,Data!$A:$A,$B24,Data!$C:$C,Q$1)=0,"",SUMIFS(Data!$U:$U,Data!$A:$A,$B24,Data!$C:$C,Q$1))</f>
        <v/>
      </c>
      <c r="R24" s="37">
        <f>IF(SUMIFS(Data!Z:Z,Data!A:A,'#ligaSYR'!B24)&lt;5,0,IF(SUMIFS(Data!Z:Z,Data!A:A,'#ligaSYR'!B24)&gt;14,10,SUMIFS(Data!Z:Z,Data!A:A,'#ligaSYR'!B24)-4))</f>
        <v>7</v>
      </c>
      <c r="S24" s="37">
        <f t="shared" si="0"/>
        <v>39.90091666666666</v>
      </c>
      <c r="T24" s="37">
        <f>SUMIFS(Data!D:D,Data!A:A,'#ligaSYR'!B24)</f>
        <v>115.11000000000001</v>
      </c>
      <c r="U24" s="38" t="str">
        <f>IF(VLOOKUP(B24,Participanti!A:D,4,0)=0," ","New")</f>
        <v xml:space="preserve"> </v>
      </c>
      <c r="V24" s="89">
        <f t="shared" si="1"/>
        <v>2.7001249999999999</v>
      </c>
    </row>
    <row r="25" spans="1:22" ht="13.8" x14ac:dyDescent="0.3">
      <c r="A25" s="103">
        <v>24</v>
      </c>
      <c r="B25" s="36" t="s">
        <v>138</v>
      </c>
      <c r="C25" s="37">
        <f>IF(SUMIFS(Data!$U:$U,Data!$A:$A,$B25,Data!$C:$C,C$1)=0,"",SUMIFS(Data!$U:$U,Data!$A:$A,$B25,Data!$C:$C,C$1))</f>
        <v>1.7187500000000002</v>
      </c>
      <c r="D25" s="37">
        <f>IF(SUMIFS(Data!$U:$U,Data!$A:$A,$B25,Data!$C:$C,D$1)=0,"",SUMIFS(Data!$U:$U,Data!$A:$A,$B25,Data!$C:$C,D$1))</f>
        <v>1.5</v>
      </c>
      <c r="E25" s="37">
        <f>IF(SUMIFS(Data!$U:$U,Data!$A:$A,$B25,Data!$C:$C,E$1)=0,"",SUMIFS(Data!$U:$U,Data!$A:$A,$B25,Data!$C:$C,E$1))</f>
        <v>2.1881249999999999</v>
      </c>
      <c r="F25" s="37">
        <f>IF(SUMIFS(Data!$U:$U,Data!$A:$A,$B25,Data!$C:$C,F$1)=0,"",SUMIFS(Data!$U:$U,Data!$A:$A,$B25,Data!$C:$C,F$1))</f>
        <v>2.8406666666666665</v>
      </c>
      <c r="G25" s="37" t="str">
        <f>IF(SUMIFS(Data!$U:$U,Data!$A:$A,$B25,Data!$C:$C,G$1)=0,"",SUMIFS(Data!$U:$U,Data!$A:$A,$B25,Data!$C:$C,G$1))</f>
        <v/>
      </c>
      <c r="H25" s="37">
        <f>IF(SUMIFS(Data!$U:$U,Data!$A:$A,$B25,Data!$C:$C,H$1)=0,"",SUMIFS(Data!$U:$U,Data!$A:$A,$B25,Data!$C:$C,H$1))</f>
        <v>1.5619166666666666</v>
      </c>
      <c r="I25" s="37">
        <f>IF(SUMIFS(Data!$U:$U,Data!$A:$A,$B25,Data!$C:$C,I$1)=0,"",SUMIFS(Data!$U:$U,Data!$A:$A,$B25,Data!$C:$C,I$1))</f>
        <v>1.9723333333333333</v>
      </c>
      <c r="J25" s="37">
        <f>IF(SUMIFS(Data!$U:$U,Data!$A:$A,$B25,Data!$C:$C,J$1)=0,"",SUMIFS(Data!$U:$U,Data!$A:$A,$B25,Data!$C:$C,J$1))</f>
        <v>1.4901249999999999</v>
      </c>
      <c r="K25" s="37">
        <f>IF(SUMIFS(Data!$U:$U,Data!$A:$A,$B25,Data!$C:$C,K$1)=0,"",SUMIFS(Data!$U:$U,Data!$A:$A,$B25,Data!$C:$C,K$1))</f>
        <v>2.1744583333333334</v>
      </c>
      <c r="L25" s="37">
        <f>IF(SUMIFS(Data!$U:$U,Data!$A:$A,$B25,Data!$C:$C,L$1)=0,"",SUMIFS(Data!$U:$U,Data!$A:$A,$B25,Data!$C:$C,L$1))</f>
        <v>2.0637499999999998</v>
      </c>
      <c r="M25" s="37">
        <f>IF(SUMIFS(Data!$U:$U,Data!$A:$A,$B25,Data!$C:$C,M$1)=0,"",SUMIFS(Data!$U:$U,Data!$A:$A,$B25,Data!$C:$C,M$1))</f>
        <v>1.9774583333333333</v>
      </c>
      <c r="N25" s="37">
        <f>IF(SUMIFS(Data!$U:$U,Data!$A:$A,$B25,Data!$C:$C,N$1)=0,"",SUMIFS(Data!$U:$U,Data!$A:$A,$B25,Data!$C:$C,N$1))</f>
        <v>2.0024999999999999</v>
      </c>
      <c r="O25" s="37">
        <f>IF(SUMIFS(Data!$U:$U,Data!$A:$A,$B25,Data!$C:$C,O$1)=0,"",SUMIFS(Data!$U:$U,Data!$A:$A,$B25,Data!$C:$C,O$1))</f>
        <v>3.2503333333333333</v>
      </c>
      <c r="P25" s="37">
        <f>IF(SUMIFS(Data!$U:$U,Data!$A:$A,$B25,Data!$C:$C,P$1)=0,"",SUMIFS(Data!$U:$U,Data!$A:$A,$B25,Data!$C:$C,P$1))</f>
        <v>2.5631249999999999</v>
      </c>
      <c r="Q25" s="37">
        <f>IF(SUMIFS(Data!$U:$U,Data!$A:$A,$B25,Data!$C:$C,Q$1)=0,"",SUMIFS(Data!$U:$U,Data!$A:$A,$B25,Data!$C:$C,Q$1))</f>
        <v>2.0024999999999999</v>
      </c>
      <c r="R25" s="37">
        <f>IF(SUMIFS(Data!Z:Z,Data!A:A,'#ligaSYR'!B25)&lt;5,0,IF(SUMIFS(Data!Z:Z,Data!A:A,'#ligaSYR'!B25)&gt;14,10,SUMIFS(Data!Z:Z,Data!A:A,'#ligaSYR'!B25)-4))</f>
        <v>9</v>
      </c>
      <c r="S25" s="37">
        <f t="shared" si="0"/>
        <v>38.306041666666673</v>
      </c>
      <c r="T25" s="37">
        <f>SUMIFS(Data!D:D,Data!A:A,'#ligaSYR'!B25)</f>
        <v>92.42</v>
      </c>
      <c r="U25" s="38" t="str">
        <f>IF(VLOOKUP(B25,Participanti!A:D,4,0)=0," ","New")</f>
        <v xml:space="preserve"> </v>
      </c>
      <c r="V25" s="89">
        <f t="shared" si="1"/>
        <v>2.0024999999999999</v>
      </c>
    </row>
    <row r="26" spans="1:22" ht="13.8" x14ac:dyDescent="0.3">
      <c r="A26" s="103">
        <v>25</v>
      </c>
      <c r="B26" s="36" t="s">
        <v>60</v>
      </c>
      <c r="C26" s="37">
        <f>IF(SUMIFS(Data!$U:$U,Data!$A:$A,$B26,Data!$C:$C,C$1)=0,"",SUMIFS(Data!$U:$U,Data!$A:$A,$B26,Data!$C:$C,C$1))</f>
        <v>2.9910952380952378</v>
      </c>
      <c r="D26" s="37">
        <f>IF(SUMIFS(Data!$U:$U,Data!$A:$A,$B26,Data!$C:$C,D$1)=0,"",SUMIFS(Data!$U:$U,Data!$A:$A,$B26,Data!$C:$C,D$1))</f>
        <v>0.93511904761904763</v>
      </c>
      <c r="E26" s="37">
        <f>IF(SUMIFS(Data!$U:$U,Data!$A:$A,$B26,Data!$C:$C,E$1)=0,"",SUMIFS(Data!$U:$U,Data!$A:$A,$B26,Data!$C:$C,E$1))</f>
        <v>2.4829761904761907</v>
      </c>
      <c r="F26" s="37">
        <f>IF(SUMIFS(Data!$U:$U,Data!$A:$A,$B26,Data!$C:$C,F$1)=0,"",SUMIFS(Data!$U:$U,Data!$A:$A,$B26,Data!$C:$C,F$1))</f>
        <v>2.6494285714285715</v>
      </c>
      <c r="G26" s="37">
        <f>IF(SUMIFS(Data!$U:$U,Data!$A:$A,$B26,Data!$C:$C,G$1)=0,"",SUMIFS(Data!$U:$U,Data!$A:$A,$B26,Data!$C:$C,G$1))</f>
        <v>2.4690476190476192</v>
      </c>
      <c r="H26" s="37">
        <f>IF(SUMIFS(Data!$U:$U,Data!$A:$A,$B26,Data!$C:$C,H$1)=0,"",SUMIFS(Data!$U:$U,Data!$A:$A,$B26,Data!$C:$C,H$1))</f>
        <v>2.4827380952380951</v>
      </c>
      <c r="I26" s="37" t="str">
        <f>IF(SUMIFS(Data!$U:$U,Data!$A:$A,$B26,Data!$C:$C,I$1)=0,"",SUMIFS(Data!$U:$U,Data!$A:$A,$B26,Data!$C:$C,I$1))</f>
        <v/>
      </c>
      <c r="J26" s="37" t="str">
        <f>IF(SUMIFS(Data!$U:$U,Data!$A:$A,$B26,Data!$C:$C,J$1)=0,"",SUMIFS(Data!$U:$U,Data!$A:$A,$B26,Data!$C:$C,J$1))</f>
        <v/>
      </c>
      <c r="K26" s="37" t="str">
        <f>IF(SUMIFS(Data!$U:$U,Data!$A:$A,$B26,Data!$C:$C,K$1)=0,"",SUMIFS(Data!$U:$U,Data!$A:$A,$B26,Data!$C:$C,K$1))</f>
        <v/>
      </c>
      <c r="L26" s="37">
        <f>IF(SUMIFS(Data!$U:$U,Data!$A:$A,$B26,Data!$C:$C,L$1)=0,"",SUMIFS(Data!$U:$U,Data!$A:$A,$B26,Data!$C:$C,L$1))</f>
        <v>2.7130952380952378</v>
      </c>
      <c r="M26" s="37">
        <f>IF(SUMIFS(Data!$U:$U,Data!$A:$A,$B26,Data!$C:$C,M$1)=0,"",SUMIFS(Data!$U:$U,Data!$A:$A,$B26,Data!$C:$C,M$1))</f>
        <v>2.9913809523809523</v>
      </c>
      <c r="N26" s="37">
        <f>IF(SUMIFS(Data!$U:$U,Data!$A:$A,$B26,Data!$C:$C,N$1)=0,"",SUMIFS(Data!$U:$U,Data!$A:$A,$B26,Data!$C:$C,N$1))</f>
        <v>2.4064285714285716</v>
      </c>
      <c r="O26" s="37">
        <f>IF(SUMIFS(Data!$U:$U,Data!$A:$A,$B26,Data!$C:$C,O$1)=0,"",SUMIFS(Data!$U:$U,Data!$A:$A,$B26,Data!$C:$C,O$1))</f>
        <v>3.9919999999999995</v>
      </c>
      <c r="P26" s="37" t="str">
        <f>IF(SUMIFS(Data!$U:$U,Data!$A:$A,$B26,Data!$C:$C,P$1)=0,"",SUMIFS(Data!$U:$U,Data!$A:$A,$B26,Data!$C:$C,P$1))</f>
        <v/>
      </c>
      <c r="Q26" s="37">
        <f>IF(SUMIFS(Data!$U:$U,Data!$A:$A,$B26,Data!$C:$C,Q$1)=0,"",SUMIFS(Data!$U:$U,Data!$A:$A,$B26,Data!$C:$C,Q$1))</f>
        <v>2.6779761904761905</v>
      </c>
      <c r="R26" s="37">
        <f>IF(SUMIFS(Data!Z:Z,Data!A:A,'#ligaSYR'!B26)&lt;5,0,IF(SUMIFS(Data!Z:Z,Data!A:A,'#ligaSYR'!B26)&gt;14,10,SUMIFS(Data!Z:Z,Data!A:A,'#ligaSYR'!B26)-4))</f>
        <v>7</v>
      </c>
      <c r="S26" s="37">
        <f t="shared" si="0"/>
        <v>35.791285714285713</v>
      </c>
      <c r="T26" s="37">
        <f>SUMIFS(Data!D:D,Data!A:A,'#ligaSYR'!B26)</f>
        <v>109.07</v>
      </c>
      <c r="U26" s="38" t="str">
        <f>IF(VLOOKUP(B26,Participanti!A:D,4,0)=0," ","New")</f>
        <v xml:space="preserve"> </v>
      </c>
      <c r="V26" s="89">
        <f t="shared" si="1"/>
        <v>2.6494285714285715</v>
      </c>
    </row>
    <row r="27" spans="1:22" ht="13.8" x14ac:dyDescent="0.3">
      <c r="A27" s="103">
        <v>26</v>
      </c>
      <c r="B27" s="36" t="s">
        <v>116</v>
      </c>
      <c r="C27" s="37">
        <f>IF(SUMIFS(Data!$U:$U,Data!$A:$A,$B27,Data!$C:$C,C$1)=0,"",SUMIFS(Data!$U:$U,Data!$A:$A,$B27,Data!$C:$C,C$1))</f>
        <v>2.7452380952380953</v>
      </c>
      <c r="D27" s="37">
        <f>IF(SUMIFS(Data!$U:$U,Data!$A:$A,$B27,Data!$C:$C,D$1)=0,"",SUMIFS(Data!$U:$U,Data!$A:$A,$B27,Data!$C:$C,D$1))</f>
        <v>1.5</v>
      </c>
      <c r="E27" s="37">
        <f>IF(SUMIFS(Data!$U:$U,Data!$A:$A,$B27,Data!$C:$C,E$1)=0,"",SUMIFS(Data!$U:$U,Data!$A:$A,$B27,Data!$C:$C,E$1))</f>
        <v>2.3345238095238097</v>
      </c>
      <c r="F27" s="37">
        <f>IF(SUMIFS(Data!$U:$U,Data!$A:$A,$B27,Data!$C:$C,F$1)=0,"",SUMIFS(Data!$U:$U,Data!$A:$A,$B27,Data!$C:$C,F$1))</f>
        <v>2.7047619047619049</v>
      </c>
      <c r="G27" s="37">
        <f>IF(SUMIFS(Data!$U:$U,Data!$A:$A,$B27,Data!$C:$C,G$1)=0,"",SUMIFS(Data!$U:$U,Data!$A:$A,$B27,Data!$C:$C,G$1))</f>
        <v>3.3081428571428568</v>
      </c>
      <c r="H27" s="37">
        <f>IF(SUMIFS(Data!$U:$U,Data!$A:$A,$B27,Data!$C:$C,H$1)=0,"",SUMIFS(Data!$U:$U,Data!$A:$A,$B27,Data!$C:$C,H$1))</f>
        <v>3.1309523809523809</v>
      </c>
      <c r="I27" s="37">
        <f>IF(SUMIFS(Data!$U:$U,Data!$A:$A,$B27,Data!$C:$C,I$1)=0,"",SUMIFS(Data!$U:$U,Data!$A:$A,$B27,Data!$C:$C,I$1))</f>
        <v>2.0958333333333332</v>
      </c>
      <c r="J27" s="37">
        <f>IF(SUMIFS(Data!$U:$U,Data!$A:$A,$B27,Data!$C:$C,J$1)=0,"",SUMIFS(Data!$U:$U,Data!$A:$A,$B27,Data!$C:$C,J$1))</f>
        <v>1.8565476190476191</v>
      </c>
      <c r="K27" s="37">
        <f>IF(SUMIFS(Data!$U:$U,Data!$A:$A,$B27,Data!$C:$C,K$1)=0,"",SUMIFS(Data!$U:$U,Data!$A:$A,$B27,Data!$C:$C,K$1))</f>
        <v>2.2607142857142857</v>
      </c>
      <c r="L27" s="37" t="str">
        <f>IF(SUMIFS(Data!$U:$U,Data!$A:$A,$B27,Data!$C:$C,L$1)=0,"",SUMIFS(Data!$U:$U,Data!$A:$A,$B27,Data!$C:$C,L$1))</f>
        <v/>
      </c>
      <c r="M27" s="37">
        <f>IF(SUMIFS(Data!$U:$U,Data!$A:$A,$B27,Data!$C:$C,M$1)=0,"",SUMIFS(Data!$U:$U,Data!$A:$A,$B27,Data!$C:$C,M$1))</f>
        <v>2.4285714285714288</v>
      </c>
      <c r="N27" s="37" t="str">
        <f>IF(SUMIFS(Data!$U:$U,Data!$A:$A,$B27,Data!$C:$C,N$1)=0,"",SUMIFS(Data!$U:$U,Data!$A:$A,$B27,Data!$C:$C,N$1))</f>
        <v/>
      </c>
      <c r="O27" s="37">
        <f>IF(SUMIFS(Data!$U:$U,Data!$A:$A,$B27,Data!$C:$C,O$1)=0,"",SUMIFS(Data!$U:$U,Data!$A:$A,$B27,Data!$C:$C,O$1))</f>
        <v>1.9178571428571427</v>
      </c>
      <c r="P27" s="37" t="str">
        <f>IF(SUMIFS(Data!$U:$U,Data!$A:$A,$B27,Data!$C:$C,P$1)=0,"",SUMIFS(Data!$U:$U,Data!$A:$A,$B27,Data!$C:$C,P$1))</f>
        <v/>
      </c>
      <c r="Q27" s="37">
        <f>IF(SUMIFS(Data!$U:$U,Data!$A:$A,$B27,Data!$C:$C,Q$1)=0,"",SUMIFS(Data!$U:$U,Data!$A:$A,$B27,Data!$C:$C,Q$1))</f>
        <v>2.4232142857142858</v>
      </c>
      <c r="R27" s="37">
        <f>IF(SUMIFS(Data!Z:Z,Data!A:A,'#ligaSYR'!B27)&lt;5,0,IF(SUMIFS(Data!Z:Z,Data!A:A,'#ligaSYR'!B27)&gt;14,10,SUMIFS(Data!Z:Z,Data!A:A,'#ligaSYR'!B27)-4))</f>
        <v>7</v>
      </c>
      <c r="S27" s="37">
        <f t="shared" si="0"/>
        <v>35.706357142857144</v>
      </c>
      <c r="T27" s="37">
        <f>SUMIFS(Data!D:D,Data!A:A,'#ligaSYR'!B27)</f>
        <v>107.28000000000002</v>
      </c>
      <c r="U27" s="38" t="str">
        <f>IF(VLOOKUP(B27,Participanti!A:D,4,0)=0," ","New")</f>
        <v xml:space="preserve"> </v>
      </c>
      <c r="V27" s="89">
        <f t="shared" si="1"/>
        <v>2.3788690476190477</v>
      </c>
    </row>
    <row r="28" spans="1:22" ht="13.8" x14ac:dyDescent="0.3">
      <c r="A28" s="103">
        <v>27</v>
      </c>
      <c r="B28" s="36" t="s">
        <v>65</v>
      </c>
      <c r="C28" s="37">
        <f>IF(SUMIFS(Data!$U:$U,Data!$A:$A,$B28,Data!$C:$C,C$1)=0,"",SUMIFS(Data!$U:$U,Data!$A:$A,$B28,Data!$C:$C,C$1))</f>
        <v>1.839375</v>
      </c>
      <c r="D28" s="37">
        <f>IF(SUMIFS(Data!$U:$U,Data!$A:$A,$B28,Data!$C:$C,D$1)=0,"",SUMIFS(Data!$U:$U,Data!$A:$A,$B28,Data!$C:$C,D$1))</f>
        <v>2.9675000000000002</v>
      </c>
      <c r="E28" s="37">
        <f>IF(SUMIFS(Data!$U:$U,Data!$A:$A,$B28,Data!$C:$C,E$1)=0,"",SUMIFS(Data!$U:$U,Data!$A:$A,$B28,Data!$C:$C,E$1))</f>
        <v>2.5912500000000001</v>
      </c>
      <c r="F28" s="37">
        <f>IF(SUMIFS(Data!$U:$U,Data!$A:$A,$B28,Data!$C:$C,F$1)=0,"",SUMIFS(Data!$U:$U,Data!$A:$A,$B28,Data!$C:$C,F$1))</f>
        <v>2.3337500000000002</v>
      </c>
      <c r="G28" s="37">
        <f>IF(SUMIFS(Data!$U:$U,Data!$A:$A,$B28,Data!$C:$C,G$1)=0,"",SUMIFS(Data!$U:$U,Data!$A:$A,$B28,Data!$C:$C,G$1))</f>
        <v>2.7112499999999997</v>
      </c>
      <c r="H28" s="37">
        <f>IF(SUMIFS(Data!$U:$U,Data!$A:$A,$B28,Data!$C:$C,H$1)=0,"",SUMIFS(Data!$U:$U,Data!$A:$A,$B28,Data!$C:$C,H$1))</f>
        <v>2.34</v>
      </c>
      <c r="I28" s="37">
        <f>IF(SUMIFS(Data!$U:$U,Data!$A:$A,$B28,Data!$C:$C,I$1)=0,"",SUMIFS(Data!$U:$U,Data!$A:$A,$B28,Data!$C:$C,I$1))</f>
        <v>2.0843749999999996</v>
      </c>
      <c r="J28" s="37">
        <f>IF(SUMIFS(Data!$U:$U,Data!$A:$A,$B28,Data!$C:$C,J$1)=0,"",SUMIFS(Data!$U:$U,Data!$A:$A,$B28,Data!$C:$C,J$1))</f>
        <v>2.7</v>
      </c>
      <c r="K28" s="37">
        <f>IF(SUMIFS(Data!$U:$U,Data!$A:$A,$B28,Data!$C:$C,K$1)=0,"",SUMIFS(Data!$U:$U,Data!$A:$A,$B28,Data!$C:$C,K$1))</f>
        <v>2.2662500000000003</v>
      </c>
      <c r="L28" s="37">
        <f>IF(SUMIFS(Data!$U:$U,Data!$A:$A,$B28,Data!$C:$C,L$1)=0,"",SUMIFS(Data!$U:$U,Data!$A:$A,$B28,Data!$C:$C,L$1))</f>
        <v>1.9675</v>
      </c>
      <c r="M28" s="37">
        <f>IF(SUMIFS(Data!$U:$U,Data!$A:$A,$B28,Data!$C:$C,M$1)=0,"",SUMIFS(Data!$U:$U,Data!$A:$A,$B28,Data!$C:$C,M$1))</f>
        <v>2.4500000000000002</v>
      </c>
      <c r="N28" s="37" t="str">
        <f>IF(SUMIFS(Data!$U:$U,Data!$A:$A,$B28,Data!$C:$C,N$1)=0,"",SUMIFS(Data!$U:$U,Data!$A:$A,$B28,Data!$C:$C,N$1))</f>
        <v/>
      </c>
      <c r="O28" s="37">
        <f>IF(SUMIFS(Data!$U:$U,Data!$A:$A,$B28,Data!$C:$C,O$1)=0,"",SUMIFS(Data!$U:$U,Data!$A:$A,$B28,Data!$C:$C,O$1))</f>
        <v>1.7743749999999998</v>
      </c>
      <c r="P28" s="37" t="str">
        <f>IF(SUMIFS(Data!$U:$U,Data!$A:$A,$B28,Data!$C:$C,P$1)=0,"",SUMIFS(Data!$U:$U,Data!$A:$A,$B28,Data!$C:$C,P$1))</f>
        <v/>
      </c>
      <c r="Q28" s="37" t="str">
        <f>IF(SUMIFS(Data!$U:$U,Data!$A:$A,$B28,Data!$C:$C,Q$1)=0,"",SUMIFS(Data!$U:$U,Data!$A:$A,$B28,Data!$C:$C,Q$1))</f>
        <v/>
      </c>
      <c r="R28" s="37">
        <f>IF(SUMIFS(Data!Z:Z,Data!A:A,'#ligaSYR'!B28)&lt;5,0,IF(SUMIFS(Data!Z:Z,Data!A:A,'#ligaSYR'!B28)&gt;14,10,SUMIFS(Data!Z:Z,Data!A:A,'#ligaSYR'!B28)-4))</f>
        <v>3</v>
      </c>
      <c r="S28" s="37">
        <f t="shared" si="0"/>
        <v>31.025624999999998</v>
      </c>
      <c r="T28" s="37">
        <f>SUMIFS(Data!D:D,Data!A:A,'#ligaSYR'!B28)</f>
        <v>94.72999999999999</v>
      </c>
      <c r="U28" s="38" t="str">
        <f>IF(VLOOKUP(B28,Participanti!A:D,4,0)=0," ","New")</f>
        <v xml:space="preserve"> </v>
      </c>
      <c r="V28" s="89">
        <f t="shared" si="1"/>
        <v>2.336875</v>
      </c>
    </row>
    <row r="29" spans="1:22" ht="13.8" x14ac:dyDescent="0.3">
      <c r="A29" s="103">
        <v>28</v>
      </c>
      <c r="B29" s="36" t="s">
        <v>66</v>
      </c>
      <c r="C29" s="37">
        <f>IF(SUMIFS(Data!$U:$U,Data!$A:$A,$B29,Data!$C:$C,C$1)=0,"",SUMIFS(Data!$U:$U,Data!$A:$A,$B29,Data!$C:$C,C$1))</f>
        <v>3.35</v>
      </c>
      <c r="D29" s="37" t="str">
        <f>IF(SUMIFS(Data!$U:$U,Data!$A:$A,$B29,Data!$C:$C,D$1)=0,"",SUMIFS(Data!$U:$U,Data!$A:$A,$B29,Data!$C:$C,D$1))</f>
        <v/>
      </c>
      <c r="E29" s="37">
        <f>IF(SUMIFS(Data!$U:$U,Data!$A:$A,$B29,Data!$C:$C,E$1)=0,"",SUMIFS(Data!$U:$U,Data!$A:$A,$B29,Data!$C:$C,E$1))</f>
        <v>3.0566666666666666</v>
      </c>
      <c r="F29" s="37">
        <f>IF(SUMIFS(Data!$U:$U,Data!$A:$A,$B29,Data!$C:$C,F$1)=0,"",SUMIFS(Data!$U:$U,Data!$A:$A,$B29,Data!$C:$C,F$1))</f>
        <v>2.1732142857142858</v>
      </c>
      <c r="G29" s="37">
        <f>IF(SUMIFS(Data!$U:$U,Data!$A:$A,$B29,Data!$C:$C,G$1)=0,"",SUMIFS(Data!$U:$U,Data!$A:$A,$B29,Data!$C:$C,G$1))</f>
        <v>3.9336666666666669</v>
      </c>
      <c r="H29" s="37">
        <f>IF(SUMIFS(Data!$U:$U,Data!$A:$A,$B29,Data!$C:$C,H$1)=0,"",SUMIFS(Data!$U:$U,Data!$A:$A,$B29,Data!$C:$C,H$1))</f>
        <v>2.836904761904762</v>
      </c>
      <c r="I29" s="37" t="str">
        <f>IF(SUMIFS(Data!$U:$U,Data!$A:$A,$B29,Data!$C:$C,I$1)=0,"",SUMIFS(Data!$U:$U,Data!$A:$A,$B29,Data!$C:$C,I$1))</f>
        <v/>
      </c>
      <c r="J29" s="37">
        <f>IF(SUMIFS(Data!$U:$U,Data!$A:$A,$B29,Data!$C:$C,J$1)=0,"",SUMIFS(Data!$U:$U,Data!$A:$A,$B29,Data!$C:$C,J$1))</f>
        <v>2.2321428571428572</v>
      </c>
      <c r="K29" s="37" t="str">
        <f>IF(SUMIFS(Data!$U:$U,Data!$A:$A,$B29,Data!$C:$C,K$1)=0,"",SUMIFS(Data!$U:$U,Data!$A:$A,$B29,Data!$C:$C,K$1))</f>
        <v/>
      </c>
      <c r="L29" s="37" t="str">
        <f>IF(SUMIFS(Data!$U:$U,Data!$A:$A,$B29,Data!$C:$C,L$1)=0,"",SUMIFS(Data!$U:$U,Data!$A:$A,$B29,Data!$C:$C,L$1))</f>
        <v/>
      </c>
      <c r="M29" s="37">
        <f>IF(SUMIFS(Data!$U:$U,Data!$A:$A,$B29,Data!$C:$C,M$1)=0,"",SUMIFS(Data!$U:$U,Data!$A:$A,$B29,Data!$C:$C,M$1))</f>
        <v>1.9380952380952381</v>
      </c>
      <c r="N29" s="37">
        <f>IF(SUMIFS(Data!$U:$U,Data!$A:$A,$B29,Data!$C:$C,N$1)=0,"",SUMIFS(Data!$U:$U,Data!$A:$A,$B29,Data!$C:$C,N$1))</f>
        <v>3.625</v>
      </c>
      <c r="O29" s="37" t="str">
        <f>IF(SUMIFS(Data!$U:$U,Data!$A:$A,$B29,Data!$C:$C,O$1)=0,"",SUMIFS(Data!$U:$U,Data!$A:$A,$B29,Data!$C:$C,O$1))</f>
        <v/>
      </c>
      <c r="P29" s="37" t="str">
        <f>IF(SUMIFS(Data!$U:$U,Data!$A:$A,$B29,Data!$C:$C,P$1)=0,"",SUMIFS(Data!$U:$U,Data!$A:$A,$B29,Data!$C:$C,P$1))</f>
        <v/>
      </c>
      <c r="Q29" s="37" t="str">
        <f>IF(SUMIFS(Data!$U:$U,Data!$A:$A,$B29,Data!$C:$C,Q$1)=0,"",SUMIFS(Data!$U:$U,Data!$A:$A,$B29,Data!$C:$C,Q$1))</f>
        <v/>
      </c>
      <c r="R29" s="37">
        <f>IF(SUMIFS(Data!Z:Z,Data!A:A,'#ligaSYR'!B29)&lt;5,0,IF(SUMIFS(Data!Z:Z,Data!A:A,'#ligaSYR'!B29)&gt;14,10,SUMIFS(Data!Z:Z,Data!A:A,'#ligaSYR'!B29)-4))</f>
        <v>4</v>
      </c>
      <c r="S29" s="37">
        <f t="shared" si="0"/>
        <v>27.145690476190474</v>
      </c>
      <c r="T29" s="37">
        <f>SUMIFS(Data!D:D,Data!A:A,'#ligaSYR'!B29)</f>
        <v>125.99000000000001</v>
      </c>
      <c r="U29" s="38" t="str">
        <f>IF(VLOOKUP(B29,Participanti!A:D,4,0)=0," ","New")</f>
        <v xml:space="preserve"> </v>
      </c>
      <c r="V29" s="89">
        <f t="shared" si="1"/>
        <v>2.9467857142857143</v>
      </c>
    </row>
    <row r="30" spans="1:22" ht="13.8" x14ac:dyDescent="0.3">
      <c r="A30" s="103">
        <v>29</v>
      </c>
      <c r="B30" s="36" t="s">
        <v>219</v>
      </c>
      <c r="C30" s="37" t="str">
        <f>IF(SUMIFS(Data!$U:$U,Data!$A:$A,$B30,Data!$C:$C,C$1)=0,"",SUMIFS(Data!$U:$U,Data!$A:$A,$B30,Data!$C:$C,C$1))</f>
        <v/>
      </c>
      <c r="D30" s="37" t="str">
        <f>IF(SUMIFS(Data!$U:$U,Data!$A:$A,$B30,Data!$C:$C,D$1)=0,"",SUMIFS(Data!$U:$U,Data!$A:$A,$B30,Data!$C:$C,D$1))</f>
        <v/>
      </c>
      <c r="E30" s="37">
        <f>IF(SUMIFS(Data!$U:$U,Data!$A:$A,$B30,Data!$C:$C,E$1)=0,"",SUMIFS(Data!$U:$U,Data!$A:$A,$B30,Data!$C:$C,E$1))</f>
        <v>3.6613809523809522</v>
      </c>
      <c r="F30" s="37" t="str">
        <f>IF(SUMIFS(Data!$U:$U,Data!$A:$A,$B30,Data!$C:$C,F$1)=0,"",SUMIFS(Data!$U:$U,Data!$A:$A,$B30,Data!$C:$C,F$1))</f>
        <v/>
      </c>
      <c r="G30" s="37" t="str">
        <f>IF(SUMIFS(Data!$U:$U,Data!$A:$A,$B30,Data!$C:$C,G$1)=0,"",SUMIFS(Data!$U:$U,Data!$A:$A,$B30,Data!$C:$C,G$1))</f>
        <v/>
      </c>
      <c r="H30" s="37">
        <f>IF(SUMIFS(Data!$U:$U,Data!$A:$A,$B30,Data!$C:$C,H$1)=0,"",SUMIFS(Data!$U:$U,Data!$A:$A,$B30,Data!$C:$C,H$1))</f>
        <v>2.7483809523809528</v>
      </c>
      <c r="I30" s="37" t="str">
        <f>IF(SUMIFS(Data!$U:$U,Data!$A:$A,$B30,Data!$C:$C,I$1)=0,"",SUMIFS(Data!$U:$U,Data!$A:$A,$B30,Data!$C:$C,I$1))</f>
        <v/>
      </c>
      <c r="J30" s="37" t="str">
        <f>IF(SUMIFS(Data!$U:$U,Data!$A:$A,$B30,Data!$C:$C,J$1)=0,"",SUMIFS(Data!$U:$U,Data!$A:$A,$B30,Data!$C:$C,J$1))</f>
        <v/>
      </c>
      <c r="K30" s="37">
        <f>IF(SUMIFS(Data!$U:$U,Data!$A:$A,$B30,Data!$C:$C,K$1)=0,"",SUMIFS(Data!$U:$U,Data!$A:$A,$B30,Data!$C:$C,K$1))</f>
        <v>4.0255952380952378</v>
      </c>
      <c r="L30" s="37">
        <f>IF(SUMIFS(Data!$U:$U,Data!$A:$A,$B30,Data!$C:$C,L$1)=0,"",SUMIFS(Data!$U:$U,Data!$A:$A,$B30,Data!$C:$C,L$1))</f>
        <v>2.5277142857142856</v>
      </c>
      <c r="M30" s="37" t="str">
        <f>IF(SUMIFS(Data!$U:$U,Data!$A:$A,$B30,Data!$C:$C,M$1)=0,"",SUMIFS(Data!$U:$U,Data!$A:$A,$B30,Data!$C:$C,M$1))</f>
        <v/>
      </c>
      <c r="N30" s="37">
        <f>IF(SUMIFS(Data!$U:$U,Data!$A:$A,$B30,Data!$C:$C,N$1)=0,"",SUMIFS(Data!$U:$U,Data!$A:$A,$B30,Data!$C:$C,N$1))</f>
        <v>4.1072380952380954</v>
      </c>
      <c r="O30" s="37">
        <f>IF(SUMIFS(Data!$U:$U,Data!$A:$A,$B30,Data!$C:$C,O$1)=0,"",SUMIFS(Data!$U:$U,Data!$A:$A,$B30,Data!$C:$C,O$1))</f>
        <v>4.4079999999999995</v>
      </c>
      <c r="P30" s="37" t="str">
        <f>IF(SUMIFS(Data!$U:$U,Data!$A:$A,$B30,Data!$C:$C,P$1)=0,"",SUMIFS(Data!$U:$U,Data!$A:$A,$B30,Data!$C:$C,P$1))</f>
        <v/>
      </c>
      <c r="Q30" s="37" t="str">
        <f>IF(SUMIFS(Data!$U:$U,Data!$A:$A,$B30,Data!$C:$C,Q$1)=0,"",SUMIFS(Data!$U:$U,Data!$A:$A,$B30,Data!$C:$C,Q$1))</f>
        <v/>
      </c>
      <c r="R30" s="37">
        <f>IF(SUMIFS(Data!Z:Z,Data!A:A,'#ligaSYR'!B30)&lt;5,0,IF(SUMIFS(Data!Z:Z,Data!A:A,'#ligaSYR'!B30)&gt;14,10,SUMIFS(Data!Z:Z,Data!A:A,'#ligaSYR'!B30)-4))</f>
        <v>0</v>
      </c>
      <c r="S30" s="37">
        <f t="shared" si="0"/>
        <v>21.478309523809521</v>
      </c>
      <c r="T30" s="37">
        <f>SUMIFS(Data!D:D,Data!A:A,'#ligaSYR'!B30)</f>
        <v>120.91</v>
      </c>
      <c r="U30" s="38" t="str">
        <f>IF(VLOOKUP(B30,Participanti!A:D,4,0)=0," ","New")</f>
        <v xml:space="preserve"> </v>
      </c>
      <c r="V30" s="89">
        <f t="shared" si="1"/>
        <v>3.843488095238095</v>
      </c>
    </row>
    <row r="31" spans="1:22" ht="13.8" x14ac:dyDescent="0.3">
      <c r="A31" s="103">
        <v>30</v>
      </c>
      <c r="B31" s="36" t="s">
        <v>222</v>
      </c>
      <c r="C31" s="37">
        <f>IF(SUMIFS(Data!$U:$U,Data!$A:$A,$B31,Data!$C:$C,C$1)=0,"",SUMIFS(Data!$U:$U,Data!$A:$A,$B31,Data!$C:$C,C$1))</f>
        <v>2.1881249999999999</v>
      </c>
      <c r="D31" s="37" t="str">
        <f>IF(SUMIFS(Data!$U:$U,Data!$A:$A,$B31,Data!$C:$C,D$1)=0,"",SUMIFS(Data!$U:$U,Data!$A:$A,$B31,Data!$C:$C,D$1))</f>
        <v/>
      </c>
      <c r="E31" s="37">
        <f>IF(SUMIFS(Data!$U:$U,Data!$A:$A,$B31,Data!$C:$C,E$1)=0,"",SUMIFS(Data!$U:$U,Data!$A:$A,$B31,Data!$C:$C,E$1))</f>
        <v>3.8689999999999998</v>
      </c>
      <c r="F31" s="37">
        <f>IF(SUMIFS(Data!$U:$U,Data!$A:$A,$B31,Data!$C:$C,F$1)=0,"",SUMIFS(Data!$U:$U,Data!$A:$A,$B31,Data!$C:$C,F$1))</f>
        <v>1.6875</v>
      </c>
      <c r="G31" s="37">
        <f>IF(SUMIFS(Data!$U:$U,Data!$A:$A,$B31,Data!$C:$C,G$1)=0,"",SUMIFS(Data!$U:$U,Data!$A:$A,$B31,Data!$C:$C,G$1))</f>
        <v>2.8031666666666668</v>
      </c>
      <c r="H31" s="37">
        <f>IF(SUMIFS(Data!$U:$U,Data!$A:$A,$B31,Data!$C:$C,H$1)=0,"",SUMIFS(Data!$U:$U,Data!$A:$A,$B31,Data!$C:$C,H$1))</f>
        <v>1.6256249999999999</v>
      </c>
      <c r="I31" s="37">
        <f>IF(SUMIFS(Data!$U:$U,Data!$A:$A,$B31,Data!$C:$C,I$1)=0,"",SUMIFS(Data!$U:$U,Data!$A:$A,$B31,Data!$C:$C,I$1))</f>
        <v>1.8143750000000001</v>
      </c>
      <c r="J31" s="37">
        <f>IF(SUMIFS(Data!$U:$U,Data!$A:$A,$B31,Data!$C:$C,J$1)=0,"",SUMIFS(Data!$U:$U,Data!$A:$A,$B31,Data!$C:$C,J$1))</f>
        <v>2.5631249999999999</v>
      </c>
      <c r="K31" s="37" t="str">
        <f>IF(SUMIFS(Data!$U:$U,Data!$A:$A,$B31,Data!$C:$C,K$1)=0,"",SUMIFS(Data!$U:$U,Data!$A:$A,$B31,Data!$C:$C,K$1))</f>
        <v/>
      </c>
      <c r="L31" s="37" t="str">
        <f>IF(SUMIFS(Data!$U:$U,Data!$A:$A,$B31,Data!$C:$C,L$1)=0,"",SUMIFS(Data!$U:$U,Data!$A:$A,$B31,Data!$C:$C,L$1))</f>
        <v/>
      </c>
      <c r="M31" s="37" t="str">
        <f>IF(SUMIFS(Data!$U:$U,Data!$A:$A,$B31,Data!$C:$C,M$1)=0,"",SUMIFS(Data!$U:$U,Data!$A:$A,$B31,Data!$C:$C,M$1))</f>
        <v/>
      </c>
      <c r="N31" s="37" t="str">
        <f>IF(SUMIFS(Data!$U:$U,Data!$A:$A,$B31,Data!$C:$C,N$1)=0,"",SUMIFS(Data!$U:$U,Data!$A:$A,$B31,Data!$C:$C,N$1))</f>
        <v/>
      </c>
      <c r="O31" s="37">
        <f>IF(SUMIFS(Data!$U:$U,Data!$A:$A,$B31,Data!$C:$C,O$1)=0,"",SUMIFS(Data!$U:$U,Data!$A:$A,$B31,Data!$C:$C,O$1))</f>
        <v>2.6078333333333337</v>
      </c>
      <c r="P31" s="37" t="str">
        <f>IF(SUMIFS(Data!$U:$U,Data!$A:$A,$B31,Data!$C:$C,P$1)=0,"",SUMIFS(Data!$U:$U,Data!$A:$A,$B31,Data!$C:$C,P$1))</f>
        <v/>
      </c>
      <c r="Q31" s="37" t="str">
        <f>IF(SUMIFS(Data!$U:$U,Data!$A:$A,$B31,Data!$C:$C,Q$1)=0,"",SUMIFS(Data!$U:$U,Data!$A:$A,$B31,Data!$C:$C,Q$1))</f>
        <v/>
      </c>
      <c r="R31" s="37">
        <f>IF(SUMIFS(Data!Z:Z,Data!A:A,'#ligaSYR'!B31)&lt;5,0,IF(SUMIFS(Data!Z:Z,Data!A:A,'#ligaSYR'!B31)&gt;14,10,SUMIFS(Data!Z:Z,Data!A:A,'#ligaSYR'!B31)-4))</f>
        <v>2</v>
      </c>
      <c r="S31" s="37">
        <f t="shared" si="0"/>
        <v>21.158749999999998</v>
      </c>
      <c r="T31" s="37">
        <f>SUMIFS(Data!D:D,Data!A:A,'#ligaSYR'!B31)</f>
        <v>81.83</v>
      </c>
      <c r="U31" s="38" t="str">
        <f>IF(VLOOKUP(B31,Participanti!A:D,4,0)=0," ","New")</f>
        <v xml:space="preserve"> </v>
      </c>
      <c r="V31" s="89">
        <f t="shared" si="1"/>
        <v>2.3756249999999999</v>
      </c>
    </row>
    <row r="32" spans="1:22" ht="13.8" x14ac:dyDescent="0.3">
      <c r="A32" s="103">
        <v>31</v>
      </c>
      <c r="B32" s="36" t="s">
        <v>54</v>
      </c>
      <c r="C32" s="37" t="str">
        <f>IF(SUMIFS(Data!$U:$U,Data!$A:$A,$B32,Data!$C:$C,C$1)=0,"",SUMIFS(Data!$U:$U,Data!$A:$A,$B32,Data!$C:$C,C$1))</f>
        <v/>
      </c>
      <c r="D32" s="37" t="str">
        <f>IF(SUMIFS(Data!$U:$U,Data!$A:$A,$B32,Data!$C:$C,D$1)=0,"",SUMIFS(Data!$U:$U,Data!$A:$A,$B32,Data!$C:$C,D$1))</f>
        <v/>
      </c>
      <c r="E32" s="37" t="str">
        <f>IF(SUMIFS(Data!$U:$U,Data!$A:$A,$B32,Data!$C:$C,E$1)=0,"",SUMIFS(Data!$U:$U,Data!$A:$A,$B32,Data!$C:$C,E$1))</f>
        <v/>
      </c>
      <c r="F32" s="37">
        <f>IF(SUMIFS(Data!$U:$U,Data!$A:$A,$B32,Data!$C:$C,F$1)=0,"",SUMIFS(Data!$U:$U,Data!$A:$A,$B32,Data!$C:$C,F$1))</f>
        <v>1.9928333333333332</v>
      </c>
      <c r="G32" s="37">
        <f>IF(SUMIFS(Data!$U:$U,Data!$A:$A,$B32,Data!$C:$C,G$1)=0,"",SUMIFS(Data!$U:$U,Data!$A:$A,$B32,Data!$C:$C,G$1))</f>
        <v>1.9434523809523809</v>
      </c>
      <c r="H32" s="37">
        <f>IF(SUMIFS(Data!$U:$U,Data!$A:$A,$B32,Data!$C:$C,H$1)=0,"",SUMIFS(Data!$U:$U,Data!$A:$A,$B32,Data!$C:$C,H$1))</f>
        <v>2.5869523809523809</v>
      </c>
      <c r="I32" s="37" t="str">
        <f>IF(SUMIFS(Data!$U:$U,Data!$A:$A,$B32,Data!$C:$C,I$1)=0,"",SUMIFS(Data!$U:$U,Data!$A:$A,$B32,Data!$C:$C,I$1))</f>
        <v/>
      </c>
      <c r="J32" s="37" t="str">
        <f>IF(SUMIFS(Data!$U:$U,Data!$A:$A,$B32,Data!$C:$C,J$1)=0,"",SUMIFS(Data!$U:$U,Data!$A:$A,$B32,Data!$C:$C,J$1))</f>
        <v/>
      </c>
      <c r="K32" s="37">
        <f>IF(SUMIFS(Data!$U:$U,Data!$A:$A,$B32,Data!$C:$C,K$1)=0,"",SUMIFS(Data!$U:$U,Data!$A:$A,$B32,Data!$C:$C,K$1))</f>
        <v>2.8361428571428569</v>
      </c>
      <c r="L32" s="37">
        <f>IF(SUMIFS(Data!$U:$U,Data!$A:$A,$B32,Data!$C:$C,L$1)=0,"",SUMIFS(Data!$U:$U,Data!$A:$A,$B32,Data!$C:$C,L$1))</f>
        <v>1.4589285714285714</v>
      </c>
      <c r="M32" s="37">
        <f>IF(SUMIFS(Data!$U:$U,Data!$A:$A,$B32,Data!$C:$C,M$1)=0,"",SUMIFS(Data!$U:$U,Data!$A:$A,$B32,Data!$C:$C,M$1))</f>
        <v>3.3180000000000001</v>
      </c>
      <c r="N32" s="37">
        <f>IF(SUMIFS(Data!$U:$U,Data!$A:$A,$B32,Data!$C:$C,N$1)=0,"",SUMIFS(Data!$U:$U,Data!$A:$A,$B32,Data!$C:$C,N$1))</f>
        <v>3.125</v>
      </c>
      <c r="O32" s="37" t="str">
        <f>IF(SUMIFS(Data!$U:$U,Data!$A:$A,$B32,Data!$C:$C,O$1)=0,"",SUMIFS(Data!$U:$U,Data!$A:$A,$B32,Data!$C:$C,O$1))</f>
        <v/>
      </c>
      <c r="P32" s="37" t="str">
        <f>IF(SUMIFS(Data!$U:$U,Data!$A:$A,$B32,Data!$C:$C,P$1)=0,"",SUMIFS(Data!$U:$U,Data!$A:$A,$B32,Data!$C:$C,P$1))</f>
        <v/>
      </c>
      <c r="Q32" s="37" t="str">
        <f>IF(SUMIFS(Data!$U:$U,Data!$A:$A,$B32,Data!$C:$C,Q$1)=0,"",SUMIFS(Data!$U:$U,Data!$A:$A,$B32,Data!$C:$C,Q$1))</f>
        <v/>
      </c>
      <c r="R32" s="37">
        <f>IF(SUMIFS(Data!Z:Z,Data!A:A,'#ligaSYR'!B32)&lt;5,0,IF(SUMIFS(Data!Z:Z,Data!A:A,'#ligaSYR'!B32)&gt;14,10,SUMIFS(Data!Z:Z,Data!A:A,'#ligaSYR'!B32)-4))</f>
        <v>3</v>
      </c>
      <c r="S32" s="37">
        <f t="shared" si="0"/>
        <v>20.261309523809523</v>
      </c>
      <c r="T32" s="37">
        <f>SUMIFS(Data!D:D,Data!A:A,'#ligaSYR'!B32)</f>
        <v>118.92</v>
      </c>
      <c r="U32" s="38" t="str">
        <f>IF(VLOOKUP(B32,Participanti!A:D,4,0)=0," ","New")</f>
        <v xml:space="preserve"> </v>
      </c>
      <c r="V32" s="89">
        <f t="shared" si="1"/>
        <v>2.5869523809523809</v>
      </c>
    </row>
    <row r="33" spans="1:22" ht="13.8" x14ac:dyDescent="0.3">
      <c r="A33" s="103">
        <v>32</v>
      </c>
      <c r="B33" s="36" t="s">
        <v>221</v>
      </c>
      <c r="C33" s="37" t="str">
        <f>IF(SUMIFS(Data!$U:$U,Data!$A:$A,$B33,Data!$C:$C,C$1)=0,"",SUMIFS(Data!$U:$U,Data!$A:$A,$B33,Data!$C:$C,C$1))</f>
        <v/>
      </c>
      <c r="D33" s="37">
        <f>IF(SUMIFS(Data!$U:$U,Data!$A:$A,$B33,Data!$C:$C,D$1)=0,"",SUMIFS(Data!$U:$U,Data!$A:$A,$B33,Data!$C:$C,D$1))</f>
        <v>2.6660714285714286</v>
      </c>
      <c r="E33" s="37" t="str">
        <f>IF(SUMIFS(Data!$U:$U,Data!$A:$A,$B33,Data!$C:$C,E$1)=0,"",SUMIFS(Data!$U:$U,Data!$A:$A,$B33,Data!$C:$C,E$1))</f>
        <v/>
      </c>
      <c r="F33" s="37">
        <f>IF(SUMIFS(Data!$U:$U,Data!$A:$A,$B33,Data!$C:$C,F$1)=0,"",SUMIFS(Data!$U:$U,Data!$A:$A,$B33,Data!$C:$C,F$1))</f>
        <v>3.4096666666666668</v>
      </c>
      <c r="G33" s="37" t="str">
        <f>IF(SUMIFS(Data!$U:$U,Data!$A:$A,$B33,Data!$C:$C,G$1)=0,"",SUMIFS(Data!$U:$U,Data!$A:$A,$B33,Data!$C:$C,G$1))</f>
        <v/>
      </c>
      <c r="H33" s="37">
        <f>IF(SUMIFS(Data!$U:$U,Data!$A:$A,$B33,Data!$C:$C,H$1)=0,"",SUMIFS(Data!$U:$U,Data!$A:$A,$B33,Data!$C:$C,H$1))</f>
        <v>2.3697619047619045</v>
      </c>
      <c r="I33" s="37" t="str">
        <f>IF(SUMIFS(Data!$U:$U,Data!$A:$A,$B33,Data!$C:$C,I$1)=0,"",SUMIFS(Data!$U:$U,Data!$A:$A,$B33,Data!$C:$C,I$1))</f>
        <v/>
      </c>
      <c r="J33" s="37" t="str">
        <f>IF(SUMIFS(Data!$U:$U,Data!$A:$A,$B33,Data!$C:$C,J$1)=0,"",SUMIFS(Data!$U:$U,Data!$A:$A,$B33,Data!$C:$C,J$1))</f>
        <v/>
      </c>
      <c r="K33" s="37" t="str">
        <f>IF(SUMIFS(Data!$U:$U,Data!$A:$A,$B33,Data!$C:$C,K$1)=0,"",SUMIFS(Data!$U:$U,Data!$A:$A,$B33,Data!$C:$C,K$1))</f>
        <v/>
      </c>
      <c r="L33" s="37" t="str">
        <f>IF(SUMIFS(Data!$U:$U,Data!$A:$A,$B33,Data!$C:$C,L$1)=0,"",SUMIFS(Data!$U:$U,Data!$A:$A,$B33,Data!$C:$C,L$1))</f>
        <v/>
      </c>
      <c r="M33" s="37" t="str">
        <f>IF(SUMIFS(Data!$U:$U,Data!$A:$A,$B33,Data!$C:$C,M$1)=0,"",SUMIFS(Data!$U:$U,Data!$A:$A,$B33,Data!$C:$C,M$1))</f>
        <v/>
      </c>
      <c r="N33" s="37" t="str">
        <f>IF(SUMIFS(Data!$U:$U,Data!$A:$A,$B33,Data!$C:$C,N$1)=0,"",SUMIFS(Data!$U:$U,Data!$A:$A,$B33,Data!$C:$C,N$1))</f>
        <v/>
      </c>
      <c r="O33" s="37">
        <f>IF(SUMIFS(Data!$U:$U,Data!$A:$A,$B33,Data!$C:$C,O$1)=0,"",SUMIFS(Data!$U:$U,Data!$A:$A,$B33,Data!$C:$C,O$1))</f>
        <v>5.4889999999999999</v>
      </c>
      <c r="P33" s="37" t="str">
        <f>IF(SUMIFS(Data!$U:$U,Data!$A:$A,$B33,Data!$C:$C,P$1)=0,"",SUMIFS(Data!$U:$U,Data!$A:$A,$B33,Data!$C:$C,P$1))</f>
        <v/>
      </c>
      <c r="Q33" s="37" t="str">
        <f>IF(SUMIFS(Data!$U:$U,Data!$A:$A,$B33,Data!$C:$C,Q$1)=0,"",SUMIFS(Data!$U:$U,Data!$A:$A,$B33,Data!$C:$C,Q$1))</f>
        <v/>
      </c>
      <c r="R33" s="37">
        <f>IF(SUMIFS(Data!Z:Z,Data!A:A,'#ligaSYR'!B33)&lt;5,0,IF(SUMIFS(Data!Z:Z,Data!A:A,'#ligaSYR'!B33)&gt;14,10,SUMIFS(Data!Z:Z,Data!A:A,'#ligaSYR'!B33)-4))</f>
        <v>0</v>
      </c>
      <c r="S33" s="37">
        <f t="shared" si="0"/>
        <v>13.9345</v>
      </c>
      <c r="T33" s="37">
        <f>SUMIFS(Data!D:D,Data!A:A,'#ligaSYR'!B33)</f>
        <v>85.6</v>
      </c>
      <c r="U33" s="38" t="str">
        <f>IF(VLOOKUP(B33,Participanti!A:D,4,0)=0," ","New")</f>
        <v xml:space="preserve"> </v>
      </c>
      <c r="V33" s="89">
        <f t="shared" si="1"/>
        <v>3.037869047619048</v>
      </c>
    </row>
    <row r="34" spans="1:22" ht="13.8" x14ac:dyDescent="0.3">
      <c r="A34" s="103">
        <v>33</v>
      </c>
      <c r="B34" s="36" t="s">
        <v>59</v>
      </c>
      <c r="C34" s="37">
        <f>IF(SUMIFS(Data!$U:$U,Data!$A:$A,$B34,Data!$C:$C,C$1)=0,"",SUMIFS(Data!$U:$U,Data!$A:$A,$B34,Data!$C:$C,C$1))</f>
        <v>1.7220238095238094</v>
      </c>
      <c r="D34" s="37" t="str">
        <f>IF(SUMIFS(Data!$U:$U,Data!$A:$A,$B34,Data!$C:$C,D$1)=0,"",SUMIFS(Data!$U:$U,Data!$A:$A,$B34,Data!$C:$C,D$1))</f>
        <v/>
      </c>
      <c r="E34" s="37" t="str">
        <f>IF(SUMIFS(Data!$U:$U,Data!$A:$A,$B34,Data!$C:$C,E$1)=0,"",SUMIFS(Data!$U:$U,Data!$A:$A,$B34,Data!$C:$C,E$1))</f>
        <v/>
      </c>
      <c r="F34" s="37" t="str">
        <f>IF(SUMIFS(Data!$U:$U,Data!$A:$A,$B34,Data!$C:$C,F$1)=0,"",SUMIFS(Data!$U:$U,Data!$A:$A,$B34,Data!$C:$C,F$1))</f>
        <v/>
      </c>
      <c r="G34" s="37">
        <f>IF(SUMIFS(Data!$U:$U,Data!$A:$A,$B34,Data!$C:$C,G$1)=0,"",SUMIFS(Data!$U:$U,Data!$A:$A,$B34,Data!$C:$C,G$1))</f>
        <v>2.875</v>
      </c>
      <c r="H34" s="37">
        <f>IF(SUMIFS(Data!$U:$U,Data!$A:$A,$B34,Data!$C:$C,H$1)=0,"",SUMIFS(Data!$U:$U,Data!$A:$A,$B34,Data!$C:$C,H$1))</f>
        <v>2.0773809523809526</v>
      </c>
      <c r="I34" s="37" t="str">
        <f>IF(SUMIFS(Data!$U:$U,Data!$A:$A,$B34,Data!$C:$C,I$1)=0,"",SUMIFS(Data!$U:$U,Data!$A:$A,$B34,Data!$C:$C,I$1))</f>
        <v/>
      </c>
      <c r="J34" s="37">
        <f>IF(SUMIFS(Data!$U:$U,Data!$A:$A,$B34,Data!$C:$C,J$1)=0,"",SUMIFS(Data!$U:$U,Data!$A:$A,$B34,Data!$C:$C,J$1))</f>
        <v>2.8441904761904762</v>
      </c>
      <c r="K34" s="37" t="str">
        <f>IF(SUMIFS(Data!$U:$U,Data!$A:$A,$B34,Data!$C:$C,K$1)=0,"",SUMIFS(Data!$U:$U,Data!$A:$A,$B34,Data!$C:$C,K$1))</f>
        <v/>
      </c>
      <c r="L34" s="37" t="str">
        <f>IF(SUMIFS(Data!$U:$U,Data!$A:$A,$B34,Data!$C:$C,L$1)=0,"",SUMIFS(Data!$U:$U,Data!$A:$A,$B34,Data!$C:$C,L$1))</f>
        <v/>
      </c>
      <c r="M34" s="37" t="str">
        <f>IF(SUMIFS(Data!$U:$U,Data!$A:$A,$B34,Data!$C:$C,M$1)=0,"",SUMIFS(Data!$U:$U,Data!$A:$A,$B34,Data!$C:$C,M$1))</f>
        <v/>
      </c>
      <c r="N34" s="37" t="str">
        <f>IF(SUMIFS(Data!$U:$U,Data!$A:$A,$B34,Data!$C:$C,N$1)=0,"",SUMIFS(Data!$U:$U,Data!$A:$A,$B34,Data!$C:$C,N$1))</f>
        <v/>
      </c>
      <c r="O34" s="37" t="str">
        <f>IF(SUMIFS(Data!$U:$U,Data!$A:$A,$B34,Data!$C:$C,O$1)=0,"",SUMIFS(Data!$U:$U,Data!$A:$A,$B34,Data!$C:$C,O$1))</f>
        <v/>
      </c>
      <c r="P34" s="37" t="str">
        <f>IF(SUMIFS(Data!$U:$U,Data!$A:$A,$B34,Data!$C:$C,P$1)=0,"",SUMIFS(Data!$U:$U,Data!$A:$A,$B34,Data!$C:$C,P$1))</f>
        <v/>
      </c>
      <c r="Q34" s="37" t="str">
        <f>IF(SUMIFS(Data!$U:$U,Data!$A:$A,$B34,Data!$C:$C,Q$1)=0,"",SUMIFS(Data!$U:$U,Data!$A:$A,$B34,Data!$C:$C,Q$1))</f>
        <v/>
      </c>
      <c r="R34" s="37">
        <f>IF(SUMIFS(Data!Z:Z,Data!A:A,'#ligaSYR'!B34)&lt;5,0,IF(SUMIFS(Data!Z:Z,Data!A:A,'#ligaSYR'!B34)&gt;14,10,SUMIFS(Data!Z:Z,Data!A:A,'#ligaSYR'!B34)-4))</f>
        <v>0</v>
      </c>
      <c r="S34" s="37">
        <f t="shared" si="0"/>
        <v>9.518595238095239</v>
      </c>
      <c r="T34" s="37">
        <f>SUMIFS(Data!D:D,Data!A:A,'#ligaSYR'!B34)</f>
        <v>58.480000000000004</v>
      </c>
      <c r="U34" s="38" t="str">
        <f>IF(VLOOKUP(B34,Participanti!A:D,4,0)=0," ","New")</f>
        <v xml:space="preserve"> </v>
      </c>
      <c r="V34" s="89">
        <f t="shared" si="1"/>
        <v>2.4607857142857146</v>
      </c>
    </row>
    <row r="35" spans="1:22" ht="13.8" x14ac:dyDescent="0.3">
      <c r="A35" s="103">
        <v>34</v>
      </c>
      <c r="B35" s="36" t="s">
        <v>184</v>
      </c>
      <c r="C35" s="37">
        <f>IF(SUMIFS(Data!$U:$U,Data!$A:$A,$B35,Data!$C:$C,C$1)=0,"",SUMIFS(Data!$U:$U,Data!$A:$A,$B35,Data!$C:$C,C$1))</f>
        <v>1.3131249999999999</v>
      </c>
      <c r="D35" s="37">
        <f>IF(SUMIFS(Data!$U:$U,Data!$A:$A,$B35,Data!$C:$C,D$1)=0,"",SUMIFS(Data!$U:$U,Data!$A:$A,$B35,Data!$C:$C,D$1))</f>
        <v>1.7524999999999999</v>
      </c>
      <c r="E35" s="37" t="str">
        <f>IF(SUMIFS(Data!$U:$U,Data!$A:$A,$B35,Data!$C:$C,E$1)=0,"",SUMIFS(Data!$U:$U,Data!$A:$A,$B35,Data!$C:$C,E$1))</f>
        <v/>
      </c>
      <c r="F35" s="37" t="str">
        <f>IF(SUMIFS(Data!$U:$U,Data!$A:$A,$B35,Data!$C:$C,F$1)=0,"",SUMIFS(Data!$U:$U,Data!$A:$A,$B35,Data!$C:$C,F$1))</f>
        <v/>
      </c>
      <c r="G35" s="37" t="str">
        <f>IF(SUMIFS(Data!$U:$U,Data!$A:$A,$B35,Data!$C:$C,G$1)=0,"",SUMIFS(Data!$U:$U,Data!$A:$A,$B35,Data!$C:$C,G$1))</f>
        <v/>
      </c>
      <c r="H35" s="37" t="str">
        <f>IF(SUMIFS(Data!$U:$U,Data!$A:$A,$B35,Data!$C:$C,H$1)=0,"",SUMIFS(Data!$U:$U,Data!$A:$A,$B35,Data!$C:$C,H$1))</f>
        <v/>
      </c>
      <c r="I35" s="37" t="str">
        <f>IF(SUMIFS(Data!$U:$U,Data!$A:$A,$B35,Data!$C:$C,I$1)=0,"",SUMIFS(Data!$U:$U,Data!$A:$A,$B35,Data!$C:$C,I$1))</f>
        <v/>
      </c>
      <c r="J35" s="37" t="str">
        <f>IF(SUMIFS(Data!$U:$U,Data!$A:$A,$B35,Data!$C:$C,J$1)=0,"",SUMIFS(Data!$U:$U,Data!$A:$A,$B35,Data!$C:$C,J$1))</f>
        <v/>
      </c>
      <c r="K35" s="37" t="str">
        <f>IF(SUMIFS(Data!$U:$U,Data!$A:$A,$B35,Data!$C:$C,K$1)=0,"",SUMIFS(Data!$U:$U,Data!$A:$A,$B35,Data!$C:$C,K$1))</f>
        <v/>
      </c>
      <c r="L35" s="37" t="str">
        <f>IF(SUMIFS(Data!$U:$U,Data!$A:$A,$B35,Data!$C:$C,L$1)=0,"",SUMIFS(Data!$U:$U,Data!$A:$A,$B35,Data!$C:$C,L$1))</f>
        <v/>
      </c>
      <c r="M35" s="37" t="str">
        <f>IF(SUMIFS(Data!$U:$U,Data!$A:$A,$B35,Data!$C:$C,M$1)=0,"",SUMIFS(Data!$U:$U,Data!$A:$A,$B35,Data!$C:$C,M$1))</f>
        <v/>
      </c>
      <c r="N35" s="37" t="str">
        <f>IF(SUMIFS(Data!$U:$U,Data!$A:$A,$B35,Data!$C:$C,N$1)=0,"",SUMIFS(Data!$U:$U,Data!$A:$A,$B35,Data!$C:$C,N$1))</f>
        <v/>
      </c>
      <c r="O35" s="37" t="str">
        <f>IF(SUMIFS(Data!$U:$U,Data!$A:$A,$B35,Data!$C:$C,O$1)=0,"",SUMIFS(Data!$U:$U,Data!$A:$A,$B35,Data!$C:$C,O$1))</f>
        <v/>
      </c>
      <c r="P35" s="37" t="str">
        <f>IF(SUMIFS(Data!$U:$U,Data!$A:$A,$B35,Data!$C:$C,P$1)=0,"",SUMIFS(Data!$U:$U,Data!$A:$A,$B35,Data!$C:$C,P$1))</f>
        <v/>
      </c>
      <c r="Q35" s="37" t="str">
        <f>IF(SUMIFS(Data!$U:$U,Data!$A:$A,$B35,Data!$C:$C,Q$1)=0,"",SUMIFS(Data!$U:$U,Data!$A:$A,$B35,Data!$C:$C,Q$1))</f>
        <v/>
      </c>
      <c r="R35" s="37">
        <f>IF(SUMIFS(Data!Z:Z,Data!A:A,'#ligaSYR'!B35)&lt;5,0,IF(SUMIFS(Data!Z:Z,Data!A:A,'#ligaSYR'!B35)&gt;14,10,SUMIFS(Data!Z:Z,Data!A:A,'#ligaSYR'!B35)-4))</f>
        <v>0</v>
      </c>
      <c r="S35" s="37">
        <f t="shared" si="0"/>
        <v>3.0656249999999998</v>
      </c>
      <c r="T35" s="37">
        <f>SUMIFS(Data!D:D,Data!A:A,'#ligaSYR'!B35)</f>
        <v>15.049999999999999</v>
      </c>
      <c r="U35" s="38" t="str">
        <f>IF(VLOOKUP(B35,Participanti!A:D,4,0)=0," ","New")</f>
        <v xml:space="preserve"> </v>
      </c>
      <c r="V35" s="89">
        <f t="shared" si="1"/>
        <v>1.5328124999999999</v>
      </c>
    </row>
    <row r="36" spans="1:22" ht="13.8" x14ac:dyDescent="0.3">
      <c r="A36" s="103">
        <v>35</v>
      </c>
      <c r="B36" s="36" t="s">
        <v>273</v>
      </c>
      <c r="C36" s="37" t="str">
        <f>IF(SUMIFS(Data!$U:$U,Data!$A:$A,$B36,Data!$C:$C,C$1)=0,"",SUMIFS(Data!$U:$U,Data!$A:$A,$B36,Data!$C:$C,C$1))</f>
        <v/>
      </c>
      <c r="D36" s="37" t="str">
        <f>IF(SUMIFS(Data!$U:$U,Data!$A:$A,$B36,Data!$C:$C,D$1)=0,"",SUMIFS(Data!$U:$U,Data!$A:$A,$B36,Data!$C:$C,D$1))</f>
        <v/>
      </c>
      <c r="E36" s="37" t="str">
        <f>IF(SUMIFS(Data!$U:$U,Data!$A:$A,$B36,Data!$C:$C,E$1)=0,"",SUMIFS(Data!$U:$U,Data!$A:$A,$B36,Data!$C:$C,E$1))</f>
        <v/>
      </c>
      <c r="F36" s="37" t="str">
        <f>IF(SUMIFS(Data!$U:$U,Data!$A:$A,$B36,Data!$C:$C,F$1)=0,"",SUMIFS(Data!$U:$U,Data!$A:$A,$B36,Data!$C:$C,F$1))</f>
        <v/>
      </c>
      <c r="G36" s="37" t="str">
        <f>IF(SUMIFS(Data!$U:$U,Data!$A:$A,$B36,Data!$C:$C,G$1)=0,"",SUMIFS(Data!$U:$U,Data!$A:$A,$B36,Data!$C:$C,G$1))</f>
        <v/>
      </c>
      <c r="H36" s="37">
        <f>IF(SUMIFS(Data!$U:$U,Data!$A:$A,$B36,Data!$C:$C,H$1)=0,"",SUMIFS(Data!$U:$U,Data!$A:$A,$B36,Data!$C:$C,H$1))</f>
        <v>1.44</v>
      </c>
      <c r="I36" s="37">
        <f>IF(SUMIFS(Data!$U:$U,Data!$A:$A,$B36,Data!$C:$C,I$1)=0,"",SUMIFS(Data!$U:$U,Data!$A:$A,$B36,Data!$C:$C,I$1))</f>
        <v>1.5</v>
      </c>
      <c r="J36" s="37" t="str">
        <f>IF(SUMIFS(Data!$U:$U,Data!$A:$A,$B36,Data!$C:$C,J$1)=0,"",SUMIFS(Data!$U:$U,Data!$A:$A,$B36,Data!$C:$C,J$1))</f>
        <v/>
      </c>
      <c r="K36" s="37" t="str">
        <f>IF(SUMIFS(Data!$U:$U,Data!$A:$A,$B36,Data!$C:$C,K$1)=0,"",SUMIFS(Data!$U:$U,Data!$A:$A,$B36,Data!$C:$C,K$1))</f>
        <v/>
      </c>
      <c r="L36" s="37" t="str">
        <f>IF(SUMIFS(Data!$U:$U,Data!$A:$A,$B36,Data!$C:$C,L$1)=0,"",SUMIFS(Data!$U:$U,Data!$A:$A,$B36,Data!$C:$C,L$1))</f>
        <v/>
      </c>
      <c r="M36" s="37" t="str">
        <f>IF(SUMIFS(Data!$U:$U,Data!$A:$A,$B36,Data!$C:$C,M$1)=0,"",SUMIFS(Data!$U:$U,Data!$A:$A,$B36,Data!$C:$C,M$1))</f>
        <v/>
      </c>
      <c r="N36" s="37" t="str">
        <f>IF(SUMIFS(Data!$U:$U,Data!$A:$A,$B36,Data!$C:$C,N$1)=0,"",SUMIFS(Data!$U:$U,Data!$A:$A,$B36,Data!$C:$C,N$1))</f>
        <v/>
      </c>
      <c r="O36" s="37" t="str">
        <f>IF(SUMIFS(Data!$U:$U,Data!$A:$A,$B36,Data!$C:$C,O$1)=0,"",SUMIFS(Data!$U:$U,Data!$A:$A,$B36,Data!$C:$C,O$1))</f>
        <v/>
      </c>
      <c r="P36" s="37" t="str">
        <f>IF(SUMIFS(Data!$U:$U,Data!$A:$A,$B36,Data!$C:$C,P$1)=0,"",SUMIFS(Data!$U:$U,Data!$A:$A,$B36,Data!$C:$C,P$1))</f>
        <v/>
      </c>
      <c r="Q36" s="37" t="str">
        <f>IF(SUMIFS(Data!$U:$U,Data!$A:$A,$B36,Data!$C:$C,Q$1)=0,"",SUMIFS(Data!$U:$U,Data!$A:$A,$B36,Data!$C:$C,Q$1))</f>
        <v/>
      </c>
      <c r="R36" s="37">
        <f>IF(SUMIFS(Data!Z:Z,Data!A:A,'#ligaSYR'!B36)&lt;5,0,IF(SUMIFS(Data!Z:Z,Data!A:A,'#ligaSYR'!B36)&gt;14,10,SUMIFS(Data!Z:Z,Data!A:A,'#ligaSYR'!B36)-4))</f>
        <v>0</v>
      </c>
      <c r="S36" s="37">
        <f t="shared" si="0"/>
        <v>2.94</v>
      </c>
      <c r="T36" s="37">
        <f>SUMIFS(Data!D:D,Data!A:A,'#ligaSYR'!B36)</f>
        <v>10.52</v>
      </c>
      <c r="U36" s="38" t="str">
        <f>IF(VLOOKUP(B36,Participanti!A:D,4,0)=0," ","New")</f>
        <v>New</v>
      </c>
      <c r="V36" s="89">
        <f t="shared" si="1"/>
        <v>1.47</v>
      </c>
    </row>
  </sheetData>
  <autoFilter ref="A1:V36"/>
  <sortState ref="B2:V36">
    <sortCondition descending="1" ref="S2:S36"/>
    <sortCondition descending="1" ref="T2:T36"/>
  </sortState>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V16"/>
  <sheetViews>
    <sheetView workbookViewId="0">
      <selection activeCell="E21" sqref="E21"/>
    </sheetView>
  </sheetViews>
  <sheetFormatPr defaultColWidth="9.109375" defaultRowHeight="12" x14ac:dyDescent="0.25"/>
  <cols>
    <col min="1" max="1" width="7.88671875" style="106" bestFit="1" customWidth="1"/>
    <col min="2" max="2" width="23.6640625" style="22" bestFit="1" customWidth="1"/>
    <col min="3" max="5" width="6.33203125" style="22" bestFit="1" customWidth="1"/>
    <col min="6" max="17" width="5.77734375" style="22" customWidth="1"/>
    <col min="18" max="18" width="8" style="22" customWidth="1"/>
    <col min="19" max="19" width="10.21875" style="22" customWidth="1"/>
    <col min="20" max="20" width="13" style="22" bestFit="1" customWidth="1"/>
    <col min="21" max="16384" width="9.109375" style="22"/>
  </cols>
  <sheetData>
    <row r="1" spans="1:22" ht="13.8" x14ac:dyDescent="0.3">
      <c r="A1" s="105" t="s">
        <v>68</v>
      </c>
      <c r="B1" s="40" t="s">
        <v>32</v>
      </c>
      <c r="C1" s="43">
        <v>1</v>
      </c>
      <c r="D1" s="43">
        <v>2</v>
      </c>
      <c r="E1" s="43">
        <v>3</v>
      </c>
      <c r="F1" s="43">
        <v>4</v>
      </c>
      <c r="G1" s="43">
        <v>5</v>
      </c>
      <c r="H1" s="43">
        <v>6</v>
      </c>
      <c r="I1" s="43">
        <v>7</v>
      </c>
      <c r="J1" s="43">
        <v>8</v>
      </c>
      <c r="K1" s="43">
        <v>9</v>
      </c>
      <c r="L1" s="43">
        <v>10</v>
      </c>
      <c r="M1" s="43">
        <v>11</v>
      </c>
      <c r="N1" s="43">
        <v>12</v>
      </c>
      <c r="O1" s="43">
        <v>13</v>
      </c>
      <c r="P1" s="43">
        <v>14</v>
      </c>
      <c r="Q1" s="43">
        <v>15</v>
      </c>
      <c r="R1" s="91" t="s">
        <v>84</v>
      </c>
      <c r="S1" s="40" t="s">
        <v>70</v>
      </c>
      <c r="T1" s="40" t="s">
        <v>69</v>
      </c>
    </row>
    <row r="2" spans="1:22" ht="13.8" x14ac:dyDescent="0.3">
      <c r="A2" s="103">
        <v>1</v>
      </c>
      <c r="B2" s="36" t="s">
        <v>141</v>
      </c>
      <c r="C2" s="37">
        <f>IF(SUMIFS(Data!$U:$U,Data!$A:$A,$B2,Data!$C:$C,C$1)=0,"",SUMIFS(Data!$U:$U,Data!$A:$A,$B2,Data!$C:$C,C$1))</f>
        <v>2.7548750000000002</v>
      </c>
      <c r="D2" s="37">
        <f>IF(SUMIFS(Data!$U:$U,Data!$A:$A,$B2,Data!$C:$C,D$1)=0,"",SUMIFS(Data!$U:$U,Data!$A:$A,$B2,Data!$C:$C,D$1))</f>
        <v>4.2009999999999996</v>
      </c>
      <c r="E2" s="37">
        <f>IF(SUMIFS(Data!$U:$U,Data!$A:$A,$B2,Data!$C:$C,E$1)=0,"",SUMIFS(Data!$U:$U,Data!$A:$A,$B2,Data!$C:$C,E$1))</f>
        <v>2.3807916666666666</v>
      </c>
      <c r="F2" s="37">
        <f>IF(SUMIFS(Data!$U:$U,Data!$A:$A,$B2,Data!$C:$C,F$1)=0,"",SUMIFS(Data!$U:$U,Data!$A:$A,$B2,Data!$C:$C,F$1))</f>
        <v>3.7485833333333334</v>
      </c>
      <c r="G2" s="37">
        <f>IF(SUMIFS(Data!$U:$U,Data!$A:$A,$B2,Data!$C:$C,G$1)=0,"",SUMIFS(Data!$U:$U,Data!$A:$A,$B2,Data!$C:$C,G$1))</f>
        <v>4.8193333333333337</v>
      </c>
      <c r="H2" s="37">
        <f>IF(SUMIFS(Data!$U:$U,Data!$A:$A,$B2,Data!$C:$C,H$1)=0,"",SUMIFS(Data!$U:$U,Data!$A:$A,$B2,Data!$C:$C,H$1))</f>
        <v>4.1375000000000002</v>
      </c>
      <c r="I2" s="37">
        <f>IF(SUMIFS(Data!$U:$U,Data!$A:$A,$B2,Data!$C:$C,I$1)=0,"",SUMIFS(Data!$U:$U,Data!$A:$A,$B2,Data!$C:$C,I$1))</f>
        <v>3.9939999999999998</v>
      </c>
      <c r="J2" s="37">
        <f>IF(SUMIFS(Data!$U:$U,Data!$A:$A,$B2,Data!$C:$C,J$1)=0,"",SUMIFS(Data!$U:$U,Data!$A:$A,$B2,Data!$C:$C,J$1))</f>
        <v>3.7573333333333334</v>
      </c>
      <c r="K2" s="37">
        <f>IF(SUMIFS(Data!$U:$U,Data!$A:$A,$B2,Data!$C:$C,K$1)=0,"",SUMIFS(Data!$U:$U,Data!$A:$A,$B2,Data!$C:$C,K$1))</f>
        <v>3.9006249999999998</v>
      </c>
      <c r="L2" s="37">
        <f>IF(SUMIFS(Data!$U:$U,Data!$A:$A,$B2,Data!$C:$C,L$1)=0,"",SUMIFS(Data!$U:$U,Data!$A:$A,$B2,Data!$C:$C,L$1))</f>
        <v>5.1568749999999994</v>
      </c>
      <c r="M2" s="37">
        <f>IF(SUMIFS(Data!$U:$U,Data!$A:$A,$B2,Data!$C:$C,M$1)=0,"",SUMIFS(Data!$U:$U,Data!$A:$A,$B2,Data!$C:$C,M$1))</f>
        <v>3.3125</v>
      </c>
      <c r="N2" s="37">
        <f>IF(SUMIFS(Data!$U:$U,Data!$A:$A,$B2,Data!$C:$C,N$1)=0,"",SUMIFS(Data!$U:$U,Data!$A:$A,$B2,Data!$C:$C,N$1))</f>
        <v>3.5</v>
      </c>
      <c r="O2" s="37">
        <f>IF(SUMIFS(Data!$U:$U,Data!$A:$A,$B2,Data!$C:$C,O$1)=0,"",SUMIFS(Data!$U:$U,Data!$A:$A,$B2,Data!$C:$C,O$1))</f>
        <v>4.453333333333334</v>
      </c>
      <c r="P2" s="37">
        <f>IF(SUMIFS(Data!$U:$U,Data!$A:$A,$B2,Data!$C:$C,P$1)=0,"",SUMIFS(Data!$U:$U,Data!$A:$A,$B2,Data!$C:$C,P$1))</f>
        <v>4.1660000000000004</v>
      </c>
      <c r="Q2" s="37">
        <f>IF(SUMIFS(Data!$U:$U,Data!$A:$A,$B2,Data!$C:$C,Q$1)=0,"",SUMIFS(Data!$U:$U,Data!$A:$A,$B2,Data!$C:$C,Q$1))</f>
        <v>3.875</v>
      </c>
      <c r="R2" s="37">
        <f>IF(SUMIFS(Data!Z:Z,Data!A:A,B2)&lt;5,0,IF(SUMIFS(Data!Z:Z,Data!A:A,B2)&gt;14,10,SUMIFS(Data!Z:Z,Data!A:A,B2)-4))</f>
        <v>10</v>
      </c>
      <c r="S2" s="37">
        <f>SUM(C2:R2)</f>
        <v>68.157749999999993</v>
      </c>
      <c r="T2" s="37">
        <f>SUMIFS(Data!D:D,Data!A:A,B2)</f>
        <v>242.19999999999996</v>
      </c>
    </row>
    <row r="3" spans="1:22" ht="13.8" x14ac:dyDescent="0.3">
      <c r="A3" s="103">
        <v>2</v>
      </c>
      <c r="B3" s="36" t="s">
        <v>255</v>
      </c>
      <c r="C3" s="37">
        <f>IF(SUMIFS(Data!$U:$U,Data!$A:$A,$B3,Data!$C:$C,C$1)=0,"",SUMIFS(Data!$U:$U,Data!$A:$A,$B3,Data!$C:$C,C$1))</f>
        <v>3.3289166666666667</v>
      </c>
      <c r="D3" s="37">
        <f>IF(SUMIFS(Data!$U:$U,Data!$A:$A,$B3,Data!$C:$C,D$1)=0,"",SUMIFS(Data!$U:$U,Data!$A:$A,$B3,Data!$C:$C,D$1))</f>
        <v>3.0937916666666667</v>
      </c>
      <c r="E3" s="37">
        <f>IF(SUMIFS(Data!$U:$U,Data!$A:$A,$B3,Data!$C:$C,E$1)=0,"",SUMIFS(Data!$U:$U,Data!$A:$A,$B3,Data!$C:$C,E$1))</f>
        <v>3.9403333333333332</v>
      </c>
      <c r="F3" s="37">
        <f>IF(SUMIFS(Data!$U:$U,Data!$A:$A,$B3,Data!$C:$C,F$1)=0,"",SUMIFS(Data!$U:$U,Data!$A:$A,$B3,Data!$C:$C,F$1))</f>
        <v>2.2506249999999999</v>
      </c>
      <c r="G3" s="37">
        <f>IF(SUMIFS(Data!$U:$U,Data!$A:$A,$B3,Data!$C:$C,G$1)=0,"",SUMIFS(Data!$U:$U,Data!$A:$A,$B3,Data!$C:$C,G$1))</f>
        <v>3.8756250000000003</v>
      </c>
      <c r="H3" s="37">
        <f>IF(SUMIFS(Data!$U:$U,Data!$A:$A,$B3,Data!$C:$C,H$1)=0,"",SUMIFS(Data!$U:$U,Data!$A:$A,$B3,Data!$C:$C,H$1))</f>
        <v>3.5640833333333335</v>
      </c>
      <c r="I3" s="37">
        <f>IF(SUMIFS(Data!$U:$U,Data!$A:$A,$B3,Data!$C:$C,I$1)=0,"",SUMIFS(Data!$U:$U,Data!$A:$A,$B3,Data!$C:$C,I$1))</f>
        <v>2.9222916666666672</v>
      </c>
      <c r="J3" s="37">
        <f>IF(SUMIFS(Data!$U:$U,Data!$A:$A,$B3,Data!$C:$C,J$1)=0,"",SUMIFS(Data!$U:$U,Data!$A:$A,$B3,Data!$C:$C,J$1))</f>
        <v>3.1741249999999996</v>
      </c>
      <c r="K3" s="37">
        <f>IF(SUMIFS(Data!$U:$U,Data!$A:$A,$B3,Data!$C:$C,K$1)=0,"",SUMIFS(Data!$U:$U,Data!$A:$A,$B3,Data!$C:$C,K$1))</f>
        <v>3.2126666666666668</v>
      </c>
      <c r="L3" s="37">
        <f>IF(SUMIFS(Data!$U:$U,Data!$A:$A,$B3,Data!$C:$C,L$1)=0,"",SUMIFS(Data!$U:$U,Data!$A:$A,$B3,Data!$C:$C,L$1))</f>
        <v>3.0006249999999999</v>
      </c>
      <c r="M3" s="37">
        <f>IF(SUMIFS(Data!$U:$U,Data!$A:$A,$B3,Data!$C:$C,M$1)=0,"",SUMIFS(Data!$U:$U,Data!$A:$A,$B3,Data!$C:$C,M$1))</f>
        <v>3.8443333333333332</v>
      </c>
      <c r="N3" s="37">
        <f>IF(SUMIFS(Data!$U:$U,Data!$A:$A,$B3,Data!$C:$C,N$1)=0,"",SUMIFS(Data!$U:$U,Data!$A:$A,$B3,Data!$C:$C,N$1))</f>
        <v>2.4381249999999999</v>
      </c>
      <c r="O3" s="37">
        <f>IF(SUMIFS(Data!$U:$U,Data!$A:$A,$B3,Data!$C:$C,O$1)=0,"",SUMIFS(Data!$U:$U,Data!$A:$A,$B3,Data!$C:$C,O$1))</f>
        <v>3.3695833333333334</v>
      </c>
      <c r="P3" s="37">
        <f>IF(SUMIFS(Data!$U:$U,Data!$A:$A,$B3,Data!$C:$C,P$1)=0,"",SUMIFS(Data!$U:$U,Data!$A:$A,$B3,Data!$C:$C,P$1))</f>
        <v>2.980083333333333</v>
      </c>
      <c r="Q3" s="37">
        <f>IF(SUMIFS(Data!$U:$U,Data!$A:$A,$B3,Data!$C:$C,Q$1)=0,"",SUMIFS(Data!$U:$U,Data!$A:$A,$B3,Data!$C:$C,Q$1))</f>
        <v>3.5012500000000002</v>
      </c>
      <c r="R3" s="37">
        <f>IF(SUMIFS(Data!Z:Z,Data!A:A,B3)&lt;5,0,IF(SUMIFS(Data!Z:Z,Data!A:A,B3)&gt;14,10,SUMIFS(Data!Z:Z,Data!A:A,B3)-4))</f>
        <v>10</v>
      </c>
      <c r="S3" s="37">
        <f t="shared" ref="S3:S13" si="0">SUM(C3:R3)</f>
        <v>58.496458333333329</v>
      </c>
      <c r="T3" s="37">
        <f>SUMIFS(Data!D:D,Data!A:A,B3)</f>
        <v>224.82</v>
      </c>
    </row>
    <row r="4" spans="1:22" ht="13.8" x14ac:dyDescent="0.3">
      <c r="A4" s="103">
        <v>3</v>
      </c>
      <c r="B4" s="36" t="s">
        <v>185</v>
      </c>
      <c r="C4" s="37">
        <f>IF(SUMIFS(Data!$U:$U,Data!$A:$A,$B4,Data!$C:$C,C$1)=0,"",SUMIFS(Data!$U:$U,Data!$A:$A,$B4,Data!$C:$C,C$1))</f>
        <v>1.8125</v>
      </c>
      <c r="D4" s="37">
        <f>IF(SUMIFS(Data!$U:$U,Data!$A:$A,$B4,Data!$C:$C,D$1)=0,"",SUMIFS(Data!$U:$U,Data!$A:$A,$B4,Data!$C:$C,D$1))</f>
        <v>2.4449999999999998</v>
      </c>
      <c r="E4" s="37">
        <f>IF(SUMIFS(Data!$U:$U,Data!$A:$A,$B4,Data!$C:$C,E$1)=0,"",SUMIFS(Data!$U:$U,Data!$A:$A,$B4,Data!$C:$C,E$1))</f>
        <v>1.8774999999999999</v>
      </c>
      <c r="F4" s="37">
        <f>IF(SUMIFS(Data!$U:$U,Data!$A:$A,$B4,Data!$C:$C,F$1)=0,"",SUMIFS(Data!$U:$U,Data!$A:$A,$B4,Data!$C:$C,F$1))</f>
        <v>1.7825</v>
      </c>
      <c r="G4" s="37">
        <f>IF(SUMIFS(Data!$U:$U,Data!$A:$A,$B4,Data!$C:$C,G$1)=0,"",SUMIFS(Data!$U:$U,Data!$A:$A,$B4,Data!$C:$C,G$1))</f>
        <v>3.56</v>
      </c>
      <c r="H4" s="37">
        <f>IF(SUMIFS(Data!$U:$U,Data!$A:$A,$B4,Data!$C:$C,H$1)=0,"",SUMIFS(Data!$U:$U,Data!$A:$A,$B4,Data!$C:$C,H$1))</f>
        <v>3</v>
      </c>
      <c r="I4" s="37">
        <f>IF(SUMIFS(Data!$U:$U,Data!$A:$A,$B4,Data!$C:$C,I$1)=0,"",SUMIFS(Data!$U:$U,Data!$A:$A,$B4,Data!$C:$C,I$1))</f>
        <v>2.4631249999999998</v>
      </c>
      <c r="J4" s="37">
        <f>IF(SUMIFS(Data!$U:$U,Data!$A:$A,$B4,Data!$C:$C,J$1)=0,"",SUMIFS(Data!$U:$U,Data!$A:$A,$B4,Data!$C:$C,J$1))</f>
        <v>2.5625</v>
      </c>
      <c r="K4" s="37">
        <f>IF(SUMIFS(Data!$U:$U,Data!$A:$A,$B4,Data!$C:$C,K$1)=0,"",SUMIFS(Data!$U:$U,Data!$A:$A,$B4,Data!$C:$C,K$1))</f>
        <v>3.25</v>
      </c>
      <c r="L4" s="37">
        <f>IF(SUMIFS(Data!$U:$U,Data!$A:$A,$B4,Data!$C:$C,L$1)=0,"",SUMIFS(Data!$U:$U,Data!$A:$A,$B4,Data!$C:$C,L$1))</f>
        <v>2.5625</v>
      </c>
      <c r="M4" s="37">
        <f>IF(SUMIFS(Data!$U:$U,Data!$A:$A,$B4,Data!$C:$C,M$1)=0,"",SUMIFS(Data!$U:$U,Data!$A:$A,$B4,Data!$C:$C,M$1))</f>
        <v>2.875</v>
      </c>
      <c r="N4" s="37">
        <f>IF(SUMIFS(Data!$U:$U,Data!$A:$A,$B4,Data!$C:$C,N$1)=0,"",SUMIFS(Data!$U:$U,Data!$A:$A,$B4,Data!$C:$C,N$1))</f>
        <v>1.93875</v>
      </c>
      <c r="O4" s="37">
        <f>IF(SUMIFS(Data!$U:$U,Data!$A:$A,$B4,Data!$C:$C,O$1)=0,"",SUMIFS(Data!$U:$U,Data!$A:$A,$B4,Data!$C:$C,O$1))</f>
        <v>3.8125</v>
      </c>
      <c r="P4" s="37">
        <f>IF(SUMIFS(Data!$U:$U,Data!$A:$A,$B4,Data!$C:$C,P$1)=0,"",SUMIFS(Data!$U:$U,Data!$A:$A,$B4,Data!$C:$C,P$1))</f>
        <v>2.4518750000000002</v>
      </c>
      <c r="Q4" s="37">
        <f>IF(SUMIFS(Data!$U:$U,Data!$A:$A,$B4,Data!$C:$C,Q$1)=0,"",SUMIFS(Data!$U:$U,Data!$A:$A,$B4,Data!$C:$C,Q$1))</f>
        <v>2.1256249999999999</v>
      </c>
      <c r="R4" s="37">
        <f>IF(SUMIFS(Data!Z:Z,Data!A:A,B4)&lt;5,0,IF(SUMIFS(Data!Z:Z,Data!A:A,B4)&gt;14,10,SUMIFS(Data!Z:Z,Data!A:A,B4)-4))</f>
        <v>10</v>
      </c>
      <c r="S4" s="37">
        <f t="shared" si="0"/>
        <v>48.519374999999997</v>
      </c>
      <c r="T4" s="37">
        <f>SUMIFS(Data!D:D,Data!A:A,B4)</f>
        <v>136.88</v>
      </c>
      <c r="V4" s="182"/>
    </row>
    <row r="5" spans="1:22" ht="13.8" x14ac:dyDescent="0.3">
      <c r="A5" s="103">
        <v>4</v>
      </c>
      <c r="B5" s="36" t="s">
        <v>179</v>
      </c>
      <c r="C5" s="37" t="str">
        <f>IF(SUMIFS(Data!$U:$U,Data!$A:$A,$B5,Data!$C:$C,C$1)=0,"",SUMIFS(Data!$U:$U,Data!$A:$A,$B5,Data!$C:$C,C$1))</f>
        <v/>
      </c>
      <c r="D5" s="37">
        <f>IF(SUMIFS(Data!$U:$U,Data!$A:$A,$B5,Data!$C:$C,D$1)=0,"",SUMIFS(Data!$U:$U,Data!$A:$A,$B5,Data!$C:$C,D$1))</f>
        <v>2.1262499999999998</v>
      </c>
      <c r="E5" s="37">
        <f>IF(SUMIFS(Data!$U:$U,Data!$A:$A,$B5,Data!$C:$C,E$1)=0,"",SUMIFS(Data!$U:$U,Data!$A:$A,$B5,Data!$C:$C,E$1))</f>
        <v>2.7512499999999998</v>
      </c>
      <c r="F5" s="37">
        <f>IF(SUMIFS(Data!$U:$U,Data!$A:$A,$B5,Data!$C:$C,F$1)=0,"",SUMIFS(Data!$U:$U,Data!$A:$A,$B5,Data!$C:$C,F$1))</f>
        <v>2.3108333333333331</v>
      </c>
      <c r="G5" s="37">
        <f>IF(SUMIFS(Data!$U:$U,Data!$A:$A,$B5,Data!$C:$C,G$1)=0,"",SUMIFS(Data!$U:$U,Data!$A:$A,$B5,Data!$C:$C,G$1))</f>
        <v>3.31175</v>
      </c>
      <c r="H5" s="37">
        <f>IF(SUMIFS(Data!$U:$U,Data!$A:$A,$B5,Data!$C:$C,H$1)=0,"",SUMIFS(Data!$U:$U,Data!$A:$A,$B5,Data!$C:$C,H$1))</f>
        <v>1.3440000000000001</v>
      </c>
      <c r="I5" s="37">
        <f>IF(SUMIFS(Data!$U:$U,Data!$A:$A,$B5,Data!$C:$C,I$1)=0,"",SUMIFS(Data!$U:$U,Data!$A:$A,$B5,Data!$C:$C,I$1))</f>
        <v>2</v>
      </c>
      <c r="J5" s="37">
        <f>IF(SUMIFS(Data!$U:$U,Data!$A:$A,$B5,Data!$C:$C,J$1)=0,"",SUMIFS(Data!$U:$U,Data!$A:$A,$B5,Data!$C:$C,J$1))</f>
        <v>2.2506250000000003</v>
      </c>
      <c r="K5" s="37">
        <f>IF(SUMIFS(Data!$U:$U,Data!$A:$A,$B5,Data!$C:$C,K$1)=0,"",SUMIFS(Data!$U:$U,Data!$A:$A,$B5,Data!$C:$C,K$1))</f>
        <v>3.7469999999999999</v>
      </c>
      <c r="L5" s="37">
        <f>IF(SUMIFS(Data!$U:$U,Data!$A:$A,$B5,Data!$C:$C,L$1)=0,"",SUMIFS(Data!$U:$U,Data!$A:$A,$B5,Data!$C:$C,L$1))</f>
        <v>2.691875</v>
      </c>
      <c r="M5" s="37">
        <f>IF(SUMIFS(Data!$U:$U,Data!$A:$A,$B5,Data!$C:$C,M$1)=0,"",SUMIFS(Data!$U:$U,Data!$A:$A,$B5,Data!$C:$C,M$1))</f>
        <v>4.674666666666667</v>
      </c>
      <c r="N5" s="37">
        <f>IF(SUMIFS(Data!$U:$U,Data!$A:$A,$B5,Data!$C:$C,N$1)=0,"",SUMIFS(Data!$U:$U,Data!$A:$A,$B5,Data!$C:$C,N$1))</f>
        <v>2.629375</v>
      </c>
      <c r="O5" s="37">
        <f>IF(SUMIFS(Data!$U:$U,Data!$A:$A,$B5,Data!$C:$C,O$1)=0,"",SUMIFS(Data!$U:$U,Data!$A:$A,$B5,Data!$C:$C,O$1))</f>
        <v>2.3643749999999999</v>
      </c>
      <c r="P5" s="37">
        <f>IF(SUMIFS(Data!$U:$U,Data!$A:$A,$B5,Data!$C:$C,P$1)=0,"",SUMIFS(Data!$U:$U,Data!$A:$A,$B5,Data!$C:$C,P$1))</f>
        <v>2.2531249999999998</v>
      </c>
      <c r="Q5" s="37">
        <f>IF(SUMIFS(Data!$U:$U,Data!$A:$A,$B5,Data!$C:$C,Q$1)=0,"",SUMIFS(Data!$U:$U,Data!$A:$A,$B5,Data!$C:$C,Q$1))</f>
        <v>3.2241666666666666</v>
      </c>
      <c r="R5" s="37">
        <f>IF(SUMIFS(Data!Z:Z,Data!A:A,B5)&lt;5,0,IF(SUMIFS(Data!Z:Z,Data!A:A,B5)&gt;14,10,SUMIFS(Data!Z:Z,Data!A:A,B5)-4))</f>
        <v>9</v>
      </c>
      <c r="S5" s="37">
        <f t="shared" si="0"/>
        <v>46.679291666666664</v>
      </c>
      <c r="T5" s="37">
        <f>SUMIFS(Data!D:D,Data!A:A,B5)</f>
        <v>214.36000000000004</v>
      </c>
      <c r="U5" s="44"/>
    </row>
    <row r="6" spans="1:22" ht="13.8" x14ac:dyDescent="0.3">
      <c r="A6" s="103">
        <v>5</v>
      </c>
      <c r="B6" s="36" t="s">
        <v>102</v>
      </c>
      <c r="C6" s="37">
        <f>IF(SUMIFS(Data!$U:$U,Data!$A:$A,$B6,Data!$C:$C,C$1)=0,"",SUMIFS(Data!$U:$U,Data!$A:$A,$B6,Data!$C:$C,C$1))</f>
        <v>2.3125</v>
      </c>
      <c r="D6" s="37">
        <f>IF(SUMIFS(Data!$U:$U,Data!$A:$A,$B6,Data!$C:$C,D$1)=0,"",SUMIFS(Data!$U:$U,Data!$A:$A,$B6,Data!$C:$C,D$1))</f>
        <v>2.4381249999999999</v>
      </c>
      <c r="E6" s="37">
        <f>IF(SUMIFS(Data!$U:$U,Data!$A:$A,$B6,Data!$C:$C,E$1)=0,"",SUMIFS(Data!$U:$U,Data!$A:$A,$B6,Data!$C:$C,E$1))</f>
        <v>2.1262499999999998</v>
      </c>
      <c r="F6" s="37">
        <f>IF(SUMIFS(Data!$U:$U,Data!$A:$A,$B6,Data!$C:$C,F$1)=0,"",SUMIFS(Data!$U:$U,Data!$A:$A,$B6,Data!$C:$C,F$1))</f>
        <v>2.3131249999999999</v>
      </c>
      <c r="G6" s="37">
        <f>IF(SUMIFS(Data!$U:$U,Data!$A:$A,$B6,Data!$C:$C,G$1)=0,"",SUMIFS(Data!$U:$U,Data!$A:$A,$B6,Data!$C:$C,G$1))</f>
        <v>2.8341666666666665</v>
      </c>
      <c r="H6" s="37">
        <f>IF(SUMIFS(Data!$U:$U,Data!$A:$A,$B6,Data!$C:$C,H$1)=0,"",SUMIFS(Data!$U:$U,Data!$A:$A,$B6,Data!$C:$C,H$1))</f>
        <v>2.1881249999999999</v>
      </c>
      <c r="I6" s="37">
        <f>IF(SUMIFS(Data!$U:$U,Data!$A:$A,$B6,Data!$C:$C,I$1)=0,"",SUMIFS(Data!$U:$U,Data!$A:$A,$B6,Data!$C:$C,I$1))</f>
        <v>2.3762499999999998</v>
      </c>
      <c r="J6" s="37">
        <f>IF(SUMIFS(Data!$U:$U,Data!$A:$A,$B6,Data!$C:$C,J$1)=0,"",SUMIFS(Data!$U:$U,Data!$A:$A,$B6,Data!$C:$C,J$1))</f>
        <v>2.8762499999999998</v>
      </c>
      <c r="K6" s="37">
        <f>IF(SUMIFS(Data!$U:$U,Data!$A:$A,$B6,Data!$C:$C,K$1)=0,"",SUMIFS(Data!$U:$U,Data!$A:$A,$B6,Data!$C:$C,K$1))</f>
        <v>2.1881249999999999</v>
      </c>
      <c r="L6" s="37">
        <f>IF(SUMIFS(Data!$U:$U,Data!$A:$A,$B6,Data!$C:$C,L$1)=0,"",SUMIFS(Data!$U:$U,Data!$A:$A,$B6,Data!$C:$C,L$1))</f>
        <v>2.3591249999999997</v>
      </c>
      <c r="M6" s="37">
        <f>IF(SUMIFS(Data!$U:$U,Data!$A:$A,$B6,Data!$C:$C,M$1)=0,"",SUMIFS(Data!$U:$U,Data!$A:$A,$B6,Data!$C:$C,M$1))</f>
        <v>2.832583333333333</v>
      </c>
      <c r="N6" s="37">
        <f>IF(SUMIFS(Data!$U:$U,Data!$A:$A,$B6,Data!$C:$C,N$1)=0,"",SUMIFS(Data!$U:$U,Data!$A:$A,$B6,Data!$C:$C,N$1))</f>
        <v>1.8149999999999999</v>
      </c>
      <c r="O6" s="37">
        <f>IF(SUMIFS(Data!$U:$U,Data!$A:$A,$B6,Data!$C:$C,O$1)=0,"",SUMIFS(Data!$U:$U,Data!$A:$A,$B6,Data!$C:$C,O$1))</f>
        <v>2.8436249999999998</v>
      </c>
      <c r="P6" s="37">
        <f>IF(SUMIFS(Data!$U:$U,Data!$A:$A,$B6,Data!$C:$C,P$1)=0,"",SUMIFS(Data!$U:$U,Data!$A:$A,$B6,Data!$C:$C,P$1))</f>
        <v>2.5631249999999999</v>
      </c>
      <c r="Q6" s="37">
        <f>IF(SUMIFS(Data!$U:$U,Data!$A:$A,$B6,Data!$C:$C,Q$1)=0,"",SUMIFS(Data!$U:$U,Data!$A:$A,$B6,Data!$C:$C,Q$1))</f>
        <v>2.5631249999999999</v>
      </c>
      <c r="R6" s="37">
        <f>IF(SUMIFS(Data!Z:Z,Data!A:A,B6)&lt;5,0,IF(SUMIFS(Data!Z:Z,Data!A:A,B6)&gt;14,10,SUMIFS(Data!Z:Z,Data!A:A,B6)-4))</f>
        <v>10</v>
      </c>
      <c r="S6" s="37">
        <f t="shared" si="0"/>
        <v>46.629499999999993</v>
      </c>
      <c r="T6" s="37">
        <f>SUMIFS(Data!D:D,Data!A:A,B6)</f>
        <v>122.14000000000003</v>
      </c>
    </row>
    <row r="7" spans="1:22" ht="13.8" x14ac:dyDescent="0.3">
      <c r="A7" s="103">
        <v>6</v>
      </c>
      <c r="B7" s="36" t="s">
        <v>119</v>
      </c>
      <c r="C7" s="37">
        <f>IF(SUMIFS(Data!$U:$U,Data!$A:$A,$B7,Data!$C:$C,C$1)=0,"",SUMIFS(Data!$U:$U,Data!$A:$A,$B7,Data!$C:$C,C$1))</f>
        <v>2.4424999999999999</v>
      </c>
      <c r="D7" s="37">
        <f>IF(SUMIFS(Data!$U:$U,Data!$A:$A,$B7,Data!$C:$C,D$1)=0,"",SUMIFS(Data!$U:$U,Data!$A:$A,$B7,Data!$C:$C,D$1))</f>
        <v>2.2986666666666666</v>
      </c>
      <c r="E7" s="37">
        <f>IF(SUMIFS(Data!$U:$U,Data!$A:$A,$B7,Data!$C:$C,E$1)=0,"",SUMIFS(Data!$U:$U,Data!$A:$A,$B7,Data!$C:$C,E$1))</f>
        <v>2.8908333333333331</v>
      </c>
      <c r="F7" s="37">
        <f>IF(SUMIFS(Data!$U:$U,Data!$A:$A,$B7,Data!$C:$C,F$1)=0,"",SUMIFS(Data!$U:$U,Data!$A:$A,$B7,Data!$C:$C,F$1))</f>
        <v>2.6262499999999998</v>
      </c>
      <c r="G7" s="37">
        <f>IF(SUMIFS(Data!$U:$U,Data!$A:$A,$B7,Data!$C:$C,G$1)=0,"",SUMIFS(Data!$U:$U,Data!$A:$A,$B7,Data!$C:$C,G$1))</f>
        <v>2.4575</v>
      </c>
      <c r="H7" s="37">
        <f>IF(SUMIFS(Data!$U:$U,Data!$A:$A,$B7,Data!$C:$C,H$1)=0,"",SUMIFS(Data!$U:$U,Data!$A:$A,$B7,Data!$C:$C,H$1))</f>
        <v>2.6881249999999999</v>
      </c>
      <c r="I7" s="37">
        <f>IF(SUMIFS(Data!$U:$U,Data!$A:$A,$B7,Data!$C:$C,I$1)=0,"",SUMIFS(Data!$U:$U,Data!$A:$A,$B7,Data!$C:$C,I$1))</f>
        <v>2.3562500000000002</v>
      </c>
      <c r="J7" s="37">
        <f>IF(SUMIFS(Data!$U:$U,Data!$A:$A,$B7,Data!$C:$C,J$1)=0,"",SUMIFS(Data!$U:$U,Data!$A:$A,$B7,Data!$C:$C,J$1))</f>
        <v>2.2675000000000001</v>
      </c>
      <c r="K7" s="37">
        <f>IF(SUMIFS(Data!$U:$U,Data!$A:$A,$B7,Data!$C:$C,K$1)=0,"",SUMIFS(Data!$U:$U,Data!$A:$A,$B7,Data!$C:$C,K$1))</f>
        <v>2.4381249999999999</v>
      </c>
      <c r="L7" s="37">
        <f>IF(SUMIFS(Data!$U:$U,Data!$A:$A,$B7,Data!$C:$C,L$1)=0,"",SUMIFS(Data!$U:$U,Data!$A:$A,$B7,Data!$C:$C,L$1))</f>
        <v>2.4024999999999999</v>
      </c>
      <c r="M7" s="37">
        <f>IF(SUMIFS(Data!$U:$U,Data!$A:$A,$B7,Data!$C:$C,M$1)=0,"",SUMIFS(Data!$U:$U,Data!$A:$A,$B7,Data!$C:$C,M$1))</f>
        <v>2.6937500000000001</v>
      </c>
      <c r="N7" s="37">
        <f>IF(SUMIFS(Data!$U:$U,Data!$A:$A,$B7,Data!$C:$C,N$1)=0,"",SUMIFS(Data!$U:$U,Data!$A:$A,$B7,Data!$C:$C,N$1))</f>
        <v>1.5</v>
      </c>
      <c r="O7" s="37">
        <f>IF(SUMIFS(Data!$U:$U,Data!$A:$A,$B7,Data!$C:$C,O$1)=0,"",SUMIFS(Data!$U:$U,Data!$A:$A,$B7,Data!$C:$C,O$1))</f>
        <v>2.9056250000000001</v>
      </c>
      <c r="P7" s="37">
        <f>IF(SUMIFS(Data!$U:$U,Data!$A:$A,$B7,Data!$C:$C,P$1)=0,"",SUMIFS(Data!$U:$U,Data!$A:$A,$B7,Data!$C:$C,P$1))</f>
        <v>1.4975000000000001</v>
      </c>
      <c r="Q7" s="37" t="str">
        <f>IF(SUMIFS(Data!$U:$U,Data!$A:$A,$B7,Data!$C:$C,Q$1)=0,"",SUMIFS(Data!$U:$U,Data!$A:$A,$B7,Data!$C:$C,Q$1))</f>
        <v/>
      </c>
      <c r="R7" s="37">
        <f>IF(SUMIFS(Data!Z:Z,Data!A:A,B7)&lt;5,0,IF(SUMIFS(Data!Z:Z,Data!A:A,B7)&gt;14,10,SUMIFS(Data!Z:Z,Data!A:A,B7)-4))</f>
        <v>9</v>
      </c>
      <c r="S7" s="37">
        <f t="shared" si="0"/>
        <v>42.465125</v>
      </c>
      <c r="T7" s="37">
        <f>SUMIFS(Data!D:D,Data!A:A,B7)</f>
        <v>98.32</v>
      </c>
    </row>
    <row r="8" spans="1:22" ht="13.8" x14ac:dyDescent="0.3">
      <c r="A8" s="103">
        <v>7</v>
      </c>
      <c r="B8" s="36" t="s">
        <v>142</v>
      </c>
      <c r="C8" s="37">
        <f>IF(SUMIFS(Data!$U:$U,Data!$A:$A,$B8,Data!$C:$C,C$1)=0,"",SUMIFS(Data!$U:$U,Data!$A:$A,$B8,Data!$C:$C,C$1))</f>
        <v>3.0571666666666668</v>
      </c>
      <c r="D8" s="37">
        <f>IF(SUMIFS(Data!$U:$U,Data!$A:$A,$B8,Data!$C:$C,D$1)=0,"",SUMIFS(Data!$U:$U,Data!$A:$A,$B8,Data!$C:$C,D$1))</f>
        <v>2.4855</v>
      </c>
      <c r="E8" s="37">
        <f>IF(SUMIFS(Data!$U:$U,Data!$A:$A,$B8,Data!$C:$C,E$1)=0,"",SUMIFS(Data!$U:$U,Data!$A:$A,$B8,Data!$C:$C,E$1))</f>
        <v>2.645083333333333</v>
      </c>
      <c r="F8" s="37">
        <f>IF(SUMIFS(Data!$U:$U,Data!$A:$A,$B8,Data!$C:$C,F$1)=0,"",SUMIFS(Data!$U:$U,Data!$A:$A,$B8,Data!$C:$C,F$1))</f>
        <v>2.5766666666666667</v>
      </c>
      <c r="G8" s="37">
        <f>IF(SUMIFS(Data!$U:$U,Data!$A:$A,$B8,Data!$C:$C,G$1)=0,"",SUMIFS(Data!$U:$U,Data!$A:$A,$B8,Data!$C:$C,G$1))</f>
        <v>2.9381249999999999</v>
      </c>
      <c r="H8" s="37">
        <f>IF(SUMIFS(Data!$U:$U,Data!$A:$A,$B8,Data!$C:$C,H$1)=0,"",SUMIFS(Data!$U:$U,Data!$A:$A,$B8,Data!$C:$C,H$1))</f>
        <v>2.4381249999999999</v>
      </c>
      <c r="I8" s="37">
        <f>IF(SUMIFS(Data!$U:$U,Data!$A:$A,$B8,Data!$C:$C,I$1)=0,"",SUMIFS(Data!$U:$U,Data!$A:$A,$B8,Data!$C:$C,I$1))</f>
        <v>2.0832499999999996</v>
      </c>
      <c r="J8" s="37">
        <f>IF(SUMIFS(Data!$U:$U,Data!$A:$A,$B8,Data!$C:$C,J$1)=0,"",SUMIFS(Data!$U:$U,Data!$A:$A,$B8,Data!$C:$C,J$1))</f>
        <v>3.3477499999999996</v>
      </c>
      <c r="K8" s="37">
        <f>IF(SUMIFS(Data!$U:$U,Data!$A:$A,$B8,Data!$C:$C,K$1)=0,"",SUMIFS(Data!$U:$U,Data!$A:$A,$B8,Data!$C:$C,K$1))</f>
        <v>2.7506249999999999</v>
      </c>
      <c r="L8" s="37">
        <f>IF(SUMIFS(Data!$U:$U,Data!$A:$A,$B8,Data!$C:$C,L$1)=0,"",SUMIFS(Data!$U:$U,Data!$A:$A,$B8,Data!$C:$C,L$1))</f>
        <v>2.6496249999999999</v>
      </c>
      <c r="M8" s="37">
        <f>IF(SUMIFS(Data!$U:$U,Data!$A:$A,$B8,Data!$C:$C,M$1)=0,"",SUMIFS(Data!$U:$U,Data!$A:$A,$B8,Data!$C:$C,M$1))</f>
        <v>3.1268750000000001</v>
      </c>
      <c r="N8" s="37" t="str">
        <f>IF(SUMIFS(Data!$U:$U,Data!$A:$A,$B8,Data!$C:$C,N$1)=0,"",SUMIFS(Data!$U:$U,Data!$A:$A,$B8,Data!$C:$C,N$1))</f>
        <v/>
      </c>
      <c r="O8" s="37" t="str">
        <f>IF(SUMIFS(Data!$U:$U,Data!$A:$A,$B8,Data!$C:$C,O$1)=0,"",SUMIFS(Data!$U:$U,Data!$A:$A,$B8,Data!$C:$C,O$1))</f>
        <v/>
      </c>
      <c r="P8" s="37">
        <f>IF(SUMIFS(Data!$U:$U,Data!$A:$A,$B8,Data!$C:$C,P$1)=0,"",SUMIFS(Data!$U:$U,Data!$A:$A,$B8,Data!$C:$C,P$1))</f>
        <v>2.8021249999999998</v>
      </c>
      <c r="Q8" s="37" t="str">
        <f>IF(SUMIFS(Data!$U:$U,Data!$A:$A,$B8,Data!$C:$C,Q$1)=0,"",SUMIFS(Data!$U:$U,Data!$A:$A,$B8,Data!$C:$C,Q$1))</f>
        <v/>
      </c>
      <c r="R8" s="37">
        <f>IF(SUMIFS(Data!Z:Z,Data!A:A,B8)&lt;5,0,IF(SUMIFS(Data!Z:Z,Data!A:A,B8)&gt;14,10,SUMIFS(Data!Z:Z,Data!A:A,B8)-4))</f>
        <v>7</v>
      </c>
      <c r="S8" s="37">
        <f t="shared" si="0"/>
        <v>39.90091666666666</v>
      </c>
      <c r="T8" s="37">
        <f>SUMIFS(Data!D:D,Data!A:A,B8)</f>
        <v>115.11000000000001</v>
      </c>
    </row>
    <row r="9" spans="1:22" ht="13.8" x14ac:dyDescent="0.3">
      <c r="A9" s="103">
        <v>8</v>
      </c>
      <c r="B9" s="36" t="s">
        <v>138</v>
      </c>
      <c r="C9" s="37">
        <f>IF(SUMIFS(Data!$U:$U,Data!$A:$A,$B9,Data!$C:$C,C$1)=0,"",SUMIFS(Data!$U:$U,Data!$A:$A,$B9,Data!$C:$C,C$1))</f>
        <v>1.7187500000000002</v>
      </c>
      <c r="D9" s="37">
        <f>IF(SUMIFS(Data!$U:$U,Data!$A:$A,$B9,Data!$C:$C,D$1)=0,"",SUMIFS(Data!$U:$U,Data!$A:$A,$B9,Data!$C:$C,D$1))</f>
        <v>1.5</v>
      </c>
      <c r="E9" s="37">
        <f>IF(SUMIFS(Data!$U:$U,Data!$A:$A,$B9,Data!$C:$C,E$1)=0,"",SUMIFS(Data!$U:$U,Data!$A:$A,$B9,Data!$C:$C,E$1))</f>
        <v>2.1881249999999999</v>
      </c>
      <c r="F9" s="37">
        <f>IF(SUMIFS(Data!$U:$U,Data!$A:$A,$B9,Data!$C:$C,F$1)=0,"",SUMIFS(Data!$U:$U,Data!$A:$A,$B9,Data!$C:$C,F$1))</f>
        <v>2.8406666666666665</v>
      </c>
      <c r="G9" s="37" t="str">
        <f>IF(SUMIFS(Data!$U:$U,Data!$A:$A,$B9,Data!$C:$C,G$1)=0,"",SUMIFS(Data!$U:$U,Data!$A:$A,$B9,Data!$C:$C,G$1))</f>
        <v/>
      </c>
      <c r="H9" s="37">
        <f>IF(SUMIFS(Data!$U:$U,Data!$A:$A,$B9,Data!$C:$C,H$1)=0,"",SUMIFS(Data!$U:$U,Data!$A:$A,$B9,Data!$C:$C,H$1))</f>
        <v>1.5619166666666666</v>
      </c>
      <c r="I9" s="37">
        <f>IF(SUMIFS(Data!$U:$U,Data!$A:$A,$B9,Data!$C:$C,I$1)=0,"",SUMIFS(Data!$U:$U,Data!$A:$A,$B9,Data!$C:$C,I$1))</f>
        <v>1.9723333333333333</v>
      </c>
      <c r="J9" s="37">
        <f>IF(SUMIFS(Data!$U:$U,Data!$A:$A,$B9,Data!$C:$C,J$1)=0,"",SUMIFS(Data!$U:$U,Data!$A:$A,$B9,Data!$C:$C,J$1))</f>
        <v>1.4901249999999999</v>
      </c>
      <c r="K9" s="37">
        <f>IF(SUMIFS(Data!$U:$U,Data!$A:$A,$B9,Data!$C:$C,K$1)=0,"",SUMIFS(Data!$U:$U,Data!$A:$A,$B9,Data!$C:$C,K$1))</f>
        <v>2.1744583333333334</v>
      </c>
      <c r="L9" s="37">
        <f>IF(SUMIFS(Data!$U:$U,Data!$A:$A,$B9,Data!$C:$C,L$1)=0,"",SUMIFS(Data!$U:$U,Data!$A:$A,$B9,Data!$C:$C,L$1))</f>
        <v>2.0637499999999998</v>
      </c>
      <c r="M9" s="37">
        <f>IF(SUMIFS(Data!$U:$U,Data!$A:$A,$B9,Data!$C:$C,M$1)=0,"",SUMIFS(Data!$U:$U,Data!$A:$A,$B9,Data!$C:$C,M$1))</f>
        <v>1.9774583333333333</v>
      </c>
      <c r="N9" s="37">
        <f>IF(SUMIFS(Data!$U:$U,Data!$A:$A,$B9,Data!$C:$C,N$1)=0,"",SUMIFS(Data!$U:$U,Data!$A:$A,$B9,Data!$C:$C,N$1))</f>
        <v>2.0024999999999999</v>
      </c>
      <c r="O9" s="37">
        <f>IF(SUMIFS(Data!$U:$U,Data!$A:$A,$B9,Data!$C:$C,O$1)=0,"",SUMIFS(Data!$U:$U,Data!$A:$A,$B9,Data!$C:$C,O$1))</f>
        <v>3.2503333333333333</v>
      </c>
      <c r="P9" s="37">
        <f>IF(SUMIFS(Data!$U:$U,Data!$A:$A,$B9,Data!$C:$C,P$1)=0,"",SUMIFS(Data!$U:$U,Data!$A:$A,$B9,Data!$C:$C,P$1))</f>
        <v>2.5631249999999999</v>
      </c>
      <c r="Q9" s="37">
        <f>IF(SUMIFS(Data!$U:$U,Data!$A:$A,$B9,Data!$C:$C,Q$1)=0,"",SUMIFS(Data!$U:$U,Data!$A:$A,$B9,Data!$C:$C,Q$1))</f>
        <v>2.0024999999999999</v>
      </c>
      <c r="R9" s="37">
        <f>IF(SUMIFS(Data!Z:Z,Data!A:A,B9)&lt;5,0,IF(SUMIFS(Data!Z:Z,Data!A:A,B9)&gt;14,10,SUMIFS(Data!Z:Z,Data!A:A,B9)-4))</f>
        <v>9</v>
      </c>
      <c r="S9" s="37">
        <f t="shared" si="0"/>
        <v>38.306041666666673</v>
      </c>
      <c r="T9" s="37">
        <f>SUMIFS(Data!D:D,Data!A:A,B9)</f>
        <v>92.42</v>
      </c>
    </row>
    <row r="10" spans="1:22" ht="13.8" x14ac:dyDescent="0.3">
      <c r="A10" s="103">
        <v>9</v>
      </c>
      <c r="B10" s="36" t="s">
        <v>65</v>
      </c>
      <c r="C10" s="37">
        <f>IF(SUMIFS(Data!$U:$U,Data!$A:$A,$B10,Data!$C:$C,C$1)=0,"",SUMIFS(Data!$U:$U,Data!$A:$A,$B10,Data!$C:$C,C$1))</f>
        <v>1.839375</v>
      </c>
      <c r="D10" s="37">
        <f>IF(SUMIFS(Data!$U:$U,Data!$A:$A,$B10,Data!$C:$C,D$1)=0,"",SUMIFS(Data!$U:$U,Data!$A:$A,$B10,Data!$C:$C,D$1))</f>
        <v>2.9675000000000002</v>
      </c>
      <c r="E10" s="37">
        <f>IF(SUMIFS(Data!$U:$U,Data!$A:$A,$B10,Data!$C:$C,E$1)=0,"",SUMIFS(Data!$U:$U,Data!$A:$A,$B10,Data!$C:$C,E$1))</f>
        <v>2.5912500000000001</v>
      </c>
      <c r="F10" s="37">
        <f>IF(SUMIFS(Data!$U:$U,Data!$A:$A,$B10,Data!$C:$C,F$1)=0,"",SUMIFS(Data!$U:$U,Data!$A:$A,$B10,Data!$C:$C,F$1))</f>
        <v>2.3337500000000002</v>
      </c>
      <c r="G10" s="37">
        <f>IF(SUMIFS(Data!$U:$U,Data!$A:$A,$B10,Data!$C:$C,G$1)=0,"",SUMIFS(Data!$U:$U,Data!$A:$A,$B10,Data!$C:$C,G$1))</f>
        <v>2.7112499999999997</v>
      </c>
      <c r="H10" s="37">
        <f>IF(SUMIFS(Data!$U:$U,Data!$A:$A,$B10,Data!$C:$C,H$1)=0,"",SUMIFS(Data!$U:$U,Data!$A:$A,$B10,Data!$C:$C,H$1))</f>
        <v>2.34</v>
      </c>
      <c r="I10" s="37">
        <f>IF(SUMIFS(Data!$U:$U,Data!$A:$A,$B10,Data!$C:$C,I$1)=0,"",SUMIFS(Data!$U:$U,Data!$A:$A,$B10,Data!$C:$C,I$1))</f>
        <v>2.0843749999999996</v>
      </c>
      <c r="J10" s="37">
        <f>IF(SUMIFS(Data!$U:$U,Data!$A:$A,$B10,Data!$C:$C,J$1)=0,"",SUMIFS(Data!$U:$U,Data!$A:$A,$B10,Data!$C:$C,J$1))</f>
        <v>2.7</v>
      </c>
      <c r="K10" s="37">
        <f>IF(SUMIFS(Data!$U:$U,Data!$A:$A,$B10,Data!$C:$C,K$1)=0,"",SUMIFS(Data!$U:$U,Data!$A:$A,$B10,Data!$C:$C,K$1))</f>
        <v>2.2662500000000003</v>
      </c>
      <c r="L10" s="37">
        <f>IF(SUMIFS(Data!$U:$U,Data!$A:$A,$B10,Data!$C:$C,L$1)=0,"",SUMIFS(Data!$U:$U,Data!$A:$A,$B10,Data!$C:$C,L$1))</f>
        <v>1.9675</v>
      </c>
      <c r="M10" s="37">
        <f>IF(SUMIFS(Data!$U:$U,Data!$A:$A,$B10,Data!$C:$C,M$1)=0,"",SUMIFS(Data!$U:$U,Data!$A:$A,$B10,Data!$C:$C,M$1))</f>
        <v>2.4500000000000002</v>
      </c>
      <c r="N10" s="37" t="str">
        <f>IF(SUMIFS(Data!$U:$U,Data!$A:$A,$B10,Data!$C:$C,N$1)=0,"",SUMIFS(Data!$U:$U,Data!$A:$A,$B10,Data!$C:$C,N$1))</f>
        <v/>
      </c>
      <c r="O10" s="37">
        <f>IF(SUMIFS(Data!$U:$U,Data!$A:$A,$B10,Data!$C:$C,O$1)=0,"",SUMIFS(Data!$U:$U,Data!$A:$A,$B10,Data!$C:$C,O$1))</f>
        <v>1.7743749999999998</v>
      </c>
      <c r="P10" s="37" t="str">
        <f>IF(SUMIFS(Data!$U:$U,Data!$A:$A,$B10,Data!$C:$C,P$1)=0,"",SUMIFS(Data!$U:$U,Data!$A:$A,$B10,Data!$C:$C,P$1))</f>
        <v/>
      </c>
      <c r="Q10" s="37" t="str">
        <f>IF(SUMIFS(Data!$U:$U,Data!$A:$A,$B10,Data!$C:$C,Q$1)=0,"",SUMIFS(Data!$U:$U,Data!$A:$A,$B10,Data!$C:$C,Q$1))</f>
        <v/>
      </c>
      <c r="R10" s="37">
        <f>IF(SUMIFS(Data!Z:Z,Data!A:A,B10)&lt;5,0,IF(SUMIFS(Data!Z:Z,Data!A:A,B10)&gt;14,10,SUMIFS(Data!Z:Z,Data!A:A,B10)-4))</f>
        <v>3</v>
      </c>
      <c r="S10" s="37">
        <f t="shared" si="0"/>
        <v>31.025624999999998</v>
      </c>
      <c r="T10" s="37">
        <f>SUMIFS(Data!D:D,Data!A:A,B10)</f>
        <v>94.72999999999999</v>
      </c>
    </row>
    <row r="11" spans="1:22" ht="13.8" x14ac:dyDescent="0.3">
      <c r="A11" s="103">
        <v>10</v>
      </c>
      <c r="B11" s="36" t="s">
        <v>222</v>
      </c>
      <c r="C11" s="37">
        <f>IF(SUMIFS(Data!$U:$U,Data!$A:$A,$B11,Data!$C:$C,C$1)=0,"",SUMIFS(Data!$U:$U,Data!$A:$A,$B11,Data!$C:$C,C$1))</f>
        <v>2.1881249999999999</v>
      </c>
      <c r="D11" s="37" t="str">
        <f>IF(SUMIFS(Data!$U:$U,Data!$A:$A,$B11,Data!$C:$C,D$1)=0,"",SUMIFS(Data!$U:$U,Data!$A:$A,$B11,Data!$C:$C,D$1))</f>
        <v/>
      </c>
      <c r="E11" s="37">
        <f>IF(SUMIFS(Data!$U:$U,Data!$A:$A,$B11,Data!$C:$C,E$1)=0,"",SUMIFS(Data!$U:$U,Data!$A:$A,$B11,Data!$C:$C,E$1))</f>
        <v>3.8689999999999998</v>
      </c>
      <c r="F11" s="37">
        <f>IF(SUMIFS(Data!$U:$U,Data!$A:$A,$B11,Data!$C:$C,F$1)=0,"",SUMIFS(Data!$U:$U,Data!$A:$A,$B11,Data!$C:$C,F$1))</f>
        <v>1.6875</v>
      </c>
      <c r="G11" s="37">
        <f>IF(SUMIFS(Data!$U:$U,Data!$A:$A,$B11,Data!$C:$C,G$1)=0,"",SUMIFS(Data!$U:$U,Data!$A:$A,$B11,Data!$C:$C,G$1))</f>
        <v>2.8031666666666668</v>
      </c>
      <c r="H11" s="37">
        <f>IF(SUMIFS(Data!$U:$U,Data!$A:$A,$B11,Data!$C:$C,H$1)=0,"",SUMIFS(Data!$U:$U,Data!$A:$A,$B11,Data!$C:$C,H$1))</f>
        <v>1.6256249999999999</v>
      </c>
      <c r="I11" s="37">
        <f>IF(SUMIFS(Data!$U:$U,Data!$A:$A,$B11,Data!$C:$C,I$1)=0,"",SUMIFS(Data!$U:$U,Data!$A:$A,$B11,Data!$C:$C,I$1))</f>
        <v>1.8143750000000001</v>
      </c>
      <c r="J11" s="37">
        <f>IF(SUMIFS(Data!$U:$U,Data!$A:$A,$B11,Data!$C:$C,J$1)=0,"",SUMIFS(Data!$U:$U,Data!$A:$A,$B11,Data!$C:$C,J$1))</f>
        <v>2.5631249999999999</v>
      </c>
      <c r="K11" s="37" t="str">
        <f>IF(SUMIFS(Data!$U:$U,Data!$A:$A,$B11,Data!$C:$C,K$1)=0,"",SUMIFS(Data!$U:$U,Data!$A:$A,$B11,Data!$C:$C,K$1))</f>
        <v/>
      </c>
      <c r="L11" s="37" t="str">
        <f>IF(SUMIFS(Data!$U:$U,Data!$A:$A,$B11,Data!$C:$C,L$1)=0,"",SUMIFS(Data!$U:$U,Data!$A:$A,$B11,Data!$C:$C,L$1))</f>
        <v/>
      </c>
      <c r="M11" s="37" t="str">
        <f>IF(SUMIFS(Data!$U:$U,Data!$A:$A,$B11,Data!$C:$C,M$1)=0,"",SUMIFS(Data!$U:$U,Data!$A:$A,$B11,Data!$C:$C,M$1))</f>
        <v/>
      </c>
      <c r="N11" s="37" t="str">
        <f>IF(SUMIFS(Data!$U:$U,Data!$A:$A,$B11,Data!$C:$C,N$1)=0,"",SUMIFS(Data!$U:$U,Data!$A:$A,$B11,Data!$C:$C,N$1))</f>
        <v/>
      </c>
      <c r="O11" s="37">
        <f>IF(SUMIFS(Data!$U:$U,Data!$A:$A,$B11,Data!$C:$C,O$1)=0,"",SUMIFS(Data!$U:$U,Data!$A:$A,$B11,Data!$C:$C,O$1))</f>
        <v>2.6078333333333337</v>
      </c>
      <c r="P11" s="37" t="str">
        <f>IF(SUMIFS(Data!$U:$U,Data!$A:$A,$B11,Data!$C:$C,P$1)=0,"",SUMIFS(Data!$U:$U,Data!$A:$A,$B11,Data!$C:$C,P$1))</f>
        <v/>
      </c>
      <c r="Q11" s="37" t="str">
        <f>IF(SUMIFS(Data!$U:$U,Data!$A:$A,$B11,Data!$C:$C,Q$1)=0,"",SUMIFS(Data!$U:$U,Data!$A:$A,$B11,Data!$C:$C,Q$1))</f>
        <v/>
      </c>
      <c r="R11" s="37">
        <f>IF(SUMIFS(Data!Z:Z,Data!A:A,B11)&lt;5,0,IF(SUMIFS(Data!Z:Z,Data!A:A,B11)&gt;14,10,SUMIFS(Data!Z:Z,Data!A:A,B11)-4))</f>
        <v>2</v>
      </c>
      <c r="S11" s="37">
        <f t="shared" si="0"/>
        <v>21.158749999999998</v>
      </c>
      <c r="T11" s="37">
        <f>SUMIFS(Data!D:D,Data!A:A,B11)</f>
        <v>81.83</v>
      </c>
    </row>
    <row r="12" spans="1:22" ht="13.8" x14ac:dyDescent="0.3">
      <c r="A12" s="103">
        <v>11</v>
      </c>
      <c r="B12" s="36" t="s">
        <v>184</v>
      </c>
      <c r="C12" s="37">
        <f>IF(SUMIFS(Data!$U:$U,Data!$A:$A,$B12,Data!$C:$C,C$1)=0,"",SUMIFS(Data!$U:$U,Data!$A:$A,$B12,Data!$C:$C,C$1))</f>
        <v>1.3131249999999999</v>
      </c>
      <c r="D12" s="37">
        <f>IF(SUMIFS(Data!$U:$U,Data!$A:$A,$B12,Data!$C:$C,D$1)=0,"",SUMIFS(Data!$U:$U,Data!$A:$A,$B12,Data!$C:$C,D$1))</f>
        <v>1.7524999999999999</v>
      </c>
      <c r="E12" s="37" t="str">
        <f>IF(SUMIFS(Data!$U:$U,Data!$A:$A,$B12,Data!$C:$C,E$1)=0,"",SUMIFS(Data!$U:$U,Data!$A:$A,$B12,Data!$C:$C,E$1))</f>
        <v/>
      </c>
      <c r="F12" s="37" t="str">
        <f>IF(SUMIFS(Data!$U:$U,Data!$A:$A,$B12,Data!$C:$C,F$1)=0,"",SUMIFS(Data!$U:$U,Data!$A:$A,$B12,Data!$C:$C,F$1))</f>
        <v/>
      </c>
      <c r="G12" s="37" t="str">
        <f>IF(SUMIFS(Data!$U:$U,Data!$A:$A,$B12,Data!$C:$C,G$1)=0,"",SUMIFS(Data!$U:$U,Data!$A:$A,$B12,Data!$C:$C,G$1))</f>
        <v/>
      </c>
      <c r="H12" s="37" t="str">
        <f>IF(SUMIFS(Data!$U:$U,Data!$A:$A,$B12,Data!$C:$C,H$1)=0,"",SUMIFS(Data!$U:$U,Data!$A:$A,$B12,Data!$C:$C,H$1))</f>
        <v/>
      </c>
      <c r="I12" s="37" t="str">
        <f>IF(SUMIFS(Data!$U:$U,Data!$A:$A,$B12,Data!$C:$C,I$1)=0,"",SUMIFS(Data!$U:$U,Data!$A:$A,$B12,Data!$C:$C,I$1))</f>
        <v/>
      </c>
      <c r="J12" s="37" t="str">
        <f>IF(SUMIFS(Data!$U:$U,Data!$A:$A,$B12,Data!$C:$C,J$1)=0,"",SUMIFS(Data!$U:$U,Data!$A:$A,$B12,Data!$C:$C,J$1))</f>
        <v/>
      </c>
      <c r="K12" s="37" t="str">
        <f>IF(SUMIFS(Data!$U:$U,Data!$A:$A,$B12,Data!$C:$C,K$1)=0,"",SUMIFS(Data!$U:$U,Data!$A:$A,$B12,Data!$C:$C,K$1))</f>
        <v/>
      </c>
      <c r="L12" s="37" t="str">
        <f>IF(SUMIFS(Data!$U:$U,Data!$A:$A,$B12,Data!$C:$C,L$1)=0,"",SUMIFS(Data!$U:$U,Data!$A:$A,$B12,Data!$C:$C,L$1))</f>
        <v/>
      </c>
      <c r="M12" s="37" t="str">
        <f>IF(SUMIFS(Data!$U:$U,Data!$A:$A,$B12,Data!$C:$C,M$1)=0,"",SUMIFS(Data!$U:$U,Data!$A:$A,$B12,Data!$C:$C,M$1))</f>
        <v/>
      </c>
      <c r="N12" s="37" t="str">
        <f>IF(SUMIFS(Data!$U:$U,Data!$A:$A,$B12,Data!$C:$C,N$1)=0,"",SUMIFS(Data!$U:$U,Data!$A:$A,$B12,Data!$C:$C,N$1))</f>
        <v/>
      </c>
      <c r="O12" s="37" t="str">
        <f>IF(SUMIFS(Data!$U:$U,Data!$A:$A,$B12,Data!$C:$C,O$1)=0,"",SUMIFS(Data!$U:$U,Data!$A:$A,$B12,Data!$C:$C,O$1))</f>
        <v/>
      </c>
      <c r="P12" s="37" t="str">
        <f>IF(SUMIFS(Data!$U:$U,Data!$A:$A,$B12,Data!$C:$C,P$1)=0,"",SUMIFS(Data!$U:$U,Data!$A:$A,$B12,Data!$C:$C,P$1))</f>
        <v/>
      </c>
      <c r="Q12" s="37" t="str">
        <f>IF(SUMIFS(Data!$U:$U,Data!$A:$A,$B12,Data!$C:$C,Q$1)=0,"",SUMIFS(Data!$U:$U,Data!$A:$A,$B12,Data!$C:$C,Q$1))</f>
        <v/>
      </c>
      <c r="R12" s="37">
        <f>IF(SUMIFS(Data!Z:Z,Data!A:A,B12)&lt;5,0,IF(SUMIFS(Data!Z:Z,Data!A:A,B12)&gt;14,10,SUMIFS(Data!Z:Z,Data!A:A,B12)-4))</f>
        <v>0</v>
      </c>
      <c r="S12" s="37">
        <f t="shared" si="0"/>
        <v>3.0656249999999998</v>
      </c>
      <c r="T12" s="37">
        <f>SUMIFS(Data!D:D,Data!A:A,B12)</f>
        <v>15.049999999999999</v>
      </c>
    </row>
    <row r="13" spans="1:22" ht="13.8" x14ac:dyDescent="0.3">
      <c r="A13" s="103">
        <v>12</v>
      </c>
      <c r="B13" s="36" t="s">
        <v>273</v>
      </c>
      <c r="C13" s="37" t="str">
        <f>IF(SUMIFS(Data!$U:$U,Data!$A:$A,$B13,Data!$C:$C,C$1)=0,"",SUMIFS(Data!$U:$U,Data!$A:$A,$B13,Data!$C:$C,C$1))</f>
        <v/>
      </c>
      <c r="D13" s="37" t="str">
        <f>IF(SUMIFS(Data!$U:$U,Data!$A:$A,$B13,Data!$C:$C,D$1)=0,"",SUMIFS(Data!$U:$U,Data!$A:$A,$B13,Data!$C:$C,D$1))</f>
        <v/>
      </c>
      <c r="E13" s="37" t="str">
        <f>IF(SUMIFS(Data!$U:$U,Data!$A:$A,$B13,Data!$C:$C,E$1)=0,"",SUMIFS(Data!$U:$U,Data!$A:$A,$B13,Data!$C:$C,E$1))</f>
        <v/>
      </c>
      <c r="F13" s="37" t="str">
        <f>IF(SUMIFS(Data!$U:$U,Data!$A:$A,$B13,Data!$C:$C,F$1)=0,"",SUMIFS(Data!$U:$U,Data!$A:$A,$B13,Data!$C:$C,F$1))</f>
        <v/>
      </c>
      <c r="G13" s="37" t="str">
        <f>IF(SUMIFS(Data!$U:$U,Data!$A:$A,$B13,Data!$C:$C,G$1)=0,"",SUMIFS(Data!$U:$U,Data!$A:$A,$B13,Data!$C:$C,G$1))</f>
        <v/>
      </c>
      <c r="H13" s="37">
        <f>IF(SUMIFS(Data!$U:$U,Data!$A:$A,$B13,Data!$C:$C,H$1)=0,"",SUMIFS(Data!$U:$U,Data!$A:$A,$B13,Data!$C:$C,H$1))</f>
        <v>1.44</v>
      </c>
      <c r="I13" s="37">
        <f>IF(SUMIFS(Data!$U:$U,Data!$A:$A,$B13,Data!$C:$C,I$1)=0,"",SUMIFS(Data!$U:$U,Data!$A:$A,$B13,Data!$C:$C,I$1))</f>
        <v>1.5</v>
      </c>
      <c r="J13" s="37" t="str">
        <f>IF(SUMIFS(Data!$U:$U,Data!$A:$A,$B13,Data!$C:$C,J$1)=0,"",SUMIFS(Data!$U:$U,Data!$A:$A,$B13,Data!$C:$C,J$1))</f>
        <v/>
      </c>
      <c r="K13" s="37" t="str">
        <f>IF(SUMIFS(Data!$U:$U,Data!$A:$A,$B13,Data!$C:$C,K$1)=0,"",SUMIFS(Data!$U:$U,Data!$A:$A,$B13,Data!$C:$C,K$1))</f>
        <v/>
      </c>
      <c r="L13" s="37" t="str">
        <f>IF(SUMIFS(Data!$U:$U,Data!$A:$A,$B13,Data!$C:$C,L$1)=0,"",SUMIFS(Data!$U:$U,Data!$A:$A,$B13,Data!$C:$C,L$1))</f>
        <v/>
      </c>
      <c r="M13" s="37" t="str">
        <f>IF(SUMIFS(Data!$U:$U,Data!$A:$A,$B13,Data!$C:$C,M$1)=0,"",SUMIFS(Data!$U:$U,Data!$A:$A,$B13,Data!$C:$C,M$1))</f>
        <v/>
      </c>
      <c r="N13" s="37" t="str">
        <f>IF(SUMIFS(Data!$U:$U,Data!$A:$A,$B13,Data!$C:$C,N$1)=0,"",SUMIFS(Data!$U:$U,Data!$A:$A,$B13,Data!$C:$C,N$1))</f>
        <v/>
      </c>
      <c r="O13" s="37" t="str">
        <f>IF(SUMIFS(Data!$U:$U,Data!$A:$A,$B13,Data!$C:$C,O$1)=0,"",SUMIFS(Data!$U:$U,Data!$A:$A,$B13,Data!$C:$C,O$1))</f>
        <v/>
      </c>
      <c r="P13" s="37" t="str">
        <f>IF(SUMIFS(Data!$U:$U,Data!$A:$A,$B13,Data!$C:$C,P$1)=0,"",SUMIFS(Data!$U:$U,Data!$A:$A,$B13,Data!$C:$C,P$1))</f>
        <v/>
      </c>
      <c r="Q13" s="37" t="str">
        <f>IF(SUMIFS(Data!$U:$U,Data!$A:$A,$B13,Data!$C:$C,Q$1)=0,"",SUMIFS(Data!$U:$U,Data!$A:$A,$B13,Data!$C:$C,Q$1))</f>
        <v/>
      </c>
      <c r="R13" s="37">
        <f>IF(SUMIFS(Data!Z:Z,Data!A:A,B13)&lt;5,0,IF(SUMIFS(Data!Z:Z,Data!A:A,B13)&gt;14,10,SUMIFS(Data!Z:Z,Data!A:A,B13)-4))</f>
        <v>0</v>
      </c>
      <c r="S13" s="37">
        <f t="shared" si="0"/>
        <v>2.94</v>
      </c>
      <c r="T13" s="37">
        <f>SUMIFS(Data!D:D,Data!A:A,B13)</f>
        <v>10.52</v>
      </c>
    </row>
    <row r="14" spans="1:22" s="159" customFormat="1" ht="13.8" x14ac:dyDescent="0.3">
      <c r="A14" s="160"/>
      <c r="B14" s="161"/>
      <c r="C14" s="162"/>
      <c r="D14" s="162"/>
      <c r="E14" s="162"/>
      <c r="F14" s="162"/>
      <c r="G14" s="162"/>
      <c r="H14" s="162"/>
      <c r="I14" s="162"/>
      <c r="J14" s="162"/>
      <c r="K14" s="162"/>
      <c r="L14" s="162"/>
      <c r="M14" s="162"/>
      <c r="N14" s="162"/>
      <c r="O14" s="162"/>
      <c r="P14" s="162"/>
      <c r="Q14" s="162"/>
      <c r="R14" s="162"/>
      <c r="S14" s="162"/>
      <c r="T14" s="162"/>
    </row>
    <row r="15" spans="1:22" s="159" customFormat="1" ht="13.8" x14ac:dyDescent="0.3">
      <c r="A15" s="160"/>
      <c r="B15" s="161"/>
      <c r="C15" s="162"/>
      <c r="D15" s="162"/>
      <c r="E15" s="162"/>
      <c r="F15" s="162"/>
      <c r="G15" s="162"/>
      <c r="H15" s="162"/>
      <c r="I15" s="162"/>
      <c r="J15" s="162"/>
      <c r="K15" s="162"/>
      <c r="L15" s="162"/>
      <c r="M15" s="162"/>
      <c r="N15" s="162"/>
      <c r="O15" s="162"/>
      <c r="P15" s="162"/>
      <c r="Q15" s="162"/>
      <c r="R15" s="162"/>
      <c r="S15" s="162"/>
      <c r="T15" s="162"/>
    </row>
    <row r="16" spans="1:22" s="159" customFormat="1" ht="13.8" x14ac:dyDescent="0.3">
      <c r="A16" s="160"/>
      <c r="B16" s="161"/>
      <c r="C16" s="162"/>
      <c r="D16" s="162"/>
      <c r="E16" s="162"/>
      <c r="F16" s="162"/>
      <c r="G16" s="162"/>
      <c r="H16" s="162"/>
      <c r="I16" s="162"/>
      <c r="J16" s="162"/>
      <c r="K16" s="162"/>
      <c r="L16" s="162"/>
      <c r="M16" s="162"/>
      <c r="N16" s="162"/>
      <c r="O16" s="162"/>
      <c r="P16" s="162"/>
      <c r="Q16" s="162"/>
      <c r="R16" s="162"/>
      <c r="S16" s="162"/>
      <c r="T16" s="162"/>
    </row>
  </sheetData>
  <autoFilter ref="A1:T13"/>
  <sortState ref="B2:T13">
    <sortCondition descending="1" ref="S2:S13"/>
    <sortCondition descending="1" ref="T2:T13"/>
  </sortState>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Istoric</vt:lpstr>
      <vt:lpstr>Regulament S13</vt:lpstr>
      <vt:lpstr>5 ani SYR</vt:lpstr>
      <vt:lpstr>Barem</vt:lpstr>
      <vt:lpstr>Participanti</vt:lpstr>
      <vt:lpstr>Prezente</vt:lpstr>
      <vt:lpstr>Data</vt:lpstr>
      <vt:lpstr>#ligaSYR</vt:lpstr>
      <vt:lpstr>Open F</vt:lpstr>
      <vt:lpstr>Open M</vt:lpstr>
      <vt:lpstr>Cataratorii</vt:lpstr>
      <vt:lpstr>Vitezistii</vt:lpstr>
      <vt:lpstr>Echipe</vt:lpstr>
      <vt:lpstr>Data_echipe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2022-04-27T20:34:22Z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MSIP_Label_ad40dd0f-9293-401f-8d94-6b4375d1a5c3_Enabled">
    <vt:lpwstr>True</vt:lpwstr>
  </property>
  <property fmtid="{D5CDD505-2E9C-101B-9397-08002B2CF9AE}" pid="4" name="MSIP_Label_ad40dd0f-9293-401f-8d94-6b4375d1a5c3_SiteId">
    <vt:lpwstr>1ea4ca96-f2e9-4770-a86f-ee95d877c0d8</vt:lpwstr>
  </property>
  <property fmtid="{D5CDD505-2E9C-101B-9397-08002B2CF9AE}" pid="5" name="MSIP_Label_ad40dd0f-9293-401f-8d94-6b4375d1a5c3_Owner">
    <vt:lpwstr>gumirea@alphaleasing.ro</vt:lpwstr>
  </property>
  <property fmtid="{D5CDD505-2E9C-101B-9397-08002B2CF9AE}" pid="6" name="MSIP_Label_ad40dd0f-9293-401f-8d94-6b4375d1a5c3_SetDate">
    <vt:lpwstr>2020-10-12T20:23:00.2912110Z</vt:lpwstr>
  </property>
  <property fmtid="{D5CDD505-2E9C-101B-9397-08002B2CF9AE}" pid="7" name="MSIP_Label_ad40dd0f-9293-401f-8d94-6b4375d1a5c3_Name">
    <vt:lpwstr>PUBLIC</vt:lpwstr>
  </property>
  <property fmtid="{D5CDD505-2E9C-101B-9397-08002B2CF9AE}" pid="8" name="MSIP_Label_ad40dd0f-9293-401f-8d94-6b4375d1a5c3_Application">
    <vt:lpwstr>Microsoft Azure Information Protection</vt:lpwstr>
  </property>
  <property fmtid="{D5CDD505-2E9C-101B-9397-08002B2CF9AE}" pid="9" name="MSIP_Label_ad40dd0f-9293-401f-8d94-6b4375d1a5c3_ActionId">
    <vt:lpwstr>b3d4303b-4d3f-4518-920e-608d33b3774f</vt:lpwstr>
  </property>
  <property fmtid="{D5CDD505-2E9C-101B-9397-08002B2CF9AE}" pid="10" name="MSIP_Label_ad40dd0f-9293-401f-8d94-6b4375d1a5c3_Extended_MSFT_Method">
    <vt:lpwstr>Manual</vt:lpwstr>
  </property>
  <property fmtid="{D5CDD505-2E9C-101B-9397-08002B2CF9AE}" pid="11" name="MSIP_Label_899d74fd-a48c-4042-a2b4-34eef1184746_Enabled">
    <vt:lpwstr>True</vt:lpwstr>
  </property>
  <property fmtid="{D5CDD505-2E9C-101B-9397-08002B2CF9AE}" pid="12" name="MSIP_Label_899d74fd-a48c-4042-a2b4-34eef1184746_SiteId">
    <vt:lpwstr>1ea4ca96-f2e9-4770-a86f-ee95d877c0d8</vt:lpwstr>
  </property>
  <property fmtid="{D5CDD505-2E9C-101B-9397-08002B2CF9AE}" pid="13" name="MSIP_Label_899d74fd-a48c-4042-a2b4-34eef1184746_Owner">
    <vt:lpwstr>gumirea@alphaleasing.ro</vt:lpwstr>
  </property>
  <property fmtid="{D5CDD505-2E9C-101B-9397-08002B2CF9AE}" pid="14" name="MSIP_Label_899d74fd-a48c-4042-a2b4-34eef1184746_SetDate">
    <vt:lpwstr>2020-10-12T20:23:00.2912110Z</vt:lpwstr>
  </property>
  <property fmtid="{D5CDD505-2E9C-101B-9397-08002B2CF9AE}" pid="15" name="MSIP_Label_899d74fd-a48c-4042-a2b4-34eef1184746_Name">
    <vt:lpwstr>Fara Eticheta</vt:lpwstr>
  </property>
  <property fmtid="{D5CDD505-2E9C-101B-9397-08002B2CF9AE}" pid="16" name="MSIP_Label_899d74fd-a48c-4042-a2b4-34eef1184746_Application">
    <vt:lpwstr>Microsoft Azure Information Protection</vt:lpwstr>
  </property>
  <property fmtid="{D5CDD505-2E9C-101B-9397-08002B2CF9AE}" pid="17" name="MSIP_Label_899d74fd-a48c-4042-a2b4-34eef1184746_ActionId">
    <vt:lpwstr>b3d4303b-4d3f-4518-920e-608d33b3774f</vt:lpwstr>
  </property>
  <property fmtid="{D5CDD505-2E9C-101B-9397-08002B2CF9AE}" pid="18" name="MSIP_Label_899d74fd-a48c-4042-a2b4-34eef1184746_Parent">
    <vt:lpwstr>ad40dd0f-9293-401f-8d94-6b4375d1a5c3</vt:lpwstr>
  </property>
  <property fmtid="{D5CDD505-2E9C-101B-9397-08002B2CF9AE}" pid="19" name="MSIP_Label_899d74fd-a48c-4042-a2b4-34eef1184746_Extended_MSFT_Method">
    <vt:lpwstr>Manual</vt:lpwstr>
  </property>
  <property fmtid="{D5CDD505-2E9C-101B-9397-08002B2CF9AE}" pid="20" name="Sensitivity">
    <vt:lpwstr>PUBLIC Fara Eticheta</vt:lpwstr>
  </property>
  <property fmtid="{D5CDD505-2E9C-101B-9397-08002B2CF9AE}" pid="21" name="SV_HIDDEN_GRID_QUERY_LIST_4F35BF76-6C0D-4D9B-82B2-816C12CF3733">
    <vt:lpwstr>empty_477D106A-C0D6-4607-AEBD-E2C9D60EA279</vt:lpwstr>
  </property>
</Properties>
</file>